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311E2E56-EB73-4A7D-846A-0697E859FB52}"/>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406" i="43" l="1"/>
  <c r="O1405" i="43"/>
  <c r="O1404" i="43"/>
  <c r="O1403" i="43"/>
  <c r="O1402" i="43"/>
  <c r="O1401" i="43"/>
  <c r="O1400" i="43"/>
  <c r="O1399" i="43"/>
  <c r="O1398" i="43"/>
  <c r="O1397" i="43"/>
  <c r="O1396" i="43"/>
  <c r="O1395" i="43"/>
  <c r="O1394" i="43"/>
  <c r="O1393" i="43"/>
  <c r="O1392" i="43"/>
  <c r="O1391" i="43"/>
  <c r="O1390" i="43"/>
  <c r="O1389" i="43"/>
  <c r="O1388" i="43"/>
  <c r="O1387" i="43"/>
  <c r="O1386" i="43"/>
  <c r="O1385" i="43"/>
  <c r="O1384" i="43"/>
  <c r="O1383" i="43"/>
  <c r="O1382" i="43"/>
  <c r="O1381" i="43"/>
  <c r="O1380" i="43"/>
  <c r="O1379" i="43"/>
  <c r="O1378" i="43"/>
  <c r="O1377" i="43"/>
  <c r="O1376" i="43"/>
  <c r="O1375" i="43"/>
  <c r="O1374" i="43"/>
  <c r="O1373" i="43"/>
  <c r="O1372" i="43"/>
  <c r="O1371" i="43"/>
  <c r="O1370" i="43"/>
  <c r="O1369" i="43"/>
  <c r="O1368" i="43"/>
  <c r="O1367" i="43"/>
  <c r="O1366" i="43"/>
  <c r="O1365" i="43"/>
  <c r="O1364" i="43"/>
  <c r="O1363" i="43"/>
  <c r="O1362" i="43"/>
  <c r="O1361" i="43"/>
  <c r="O1360" i="43"/>
  <c r="O1359" i="43"/>
  <c r="O1358" i="43"/>
  <c r="O1357" i="43"/>
  <c r="O1356" i="43"/>
  <c r="O1355" i="43"/>
  <c r="O1354" i="43"/>
  <c r="O1353" i="43"/>
  <c r="O1352" i="43"/>
  <c r="O1351" i="43"/>
  <c r="O1350" i="43"/>
  <c r="O1349" i="43"/>
  <c r="O1348" i="43"/>
  <c r="O1347" i="43"/>
  <c r="O1346" i="43"/>
  <c r="O1345" i="43"/>
  <c r="O1344" i="43"/>
  <c r="O1343" i="43"/>
  <c r="O1342" i="43"/>
  <c r="O1341" i="43"/>
  <c r="O1340" i="43"/>
  <c r="O1339" i="43"/>
  <c r="O1338" i="43"/>
  <c r="O1337" i="43"/>
  <c r="O1336" i="43"/>
  <c r="O1335" i="43"/>
  <c r="O1334" i="43"/>
  <c r="O1333" i="43"/>
  <c r="O1332" i="43"/>
  <c r="O1331" i="43"/>
  <c r="O1330" i="43"/>
  <c r="O1329" i="43"/>
  <c r="O1328" i="43"/>
  <c r="O1327" i="43"/>
  <c r="O1326" i="43"/>
  <c r="O1325" i="43"/>
  <c r="O1324" i="43"/>
  <c r="O1323" i="43"/>
  <c r="O1322" i="43"/>
  <c r="O1321" i="43"/>
  <c r="O1320" i="43"/>
  <c r="O1319" i="43"/>
  <c r="O1318" i="43"/>
  <c r="O1317" i="43"/>
  <c r="O1316" i="43"/>
  <c r="O1315" i="43"/>
  <c r="O1314" i="43"/>
  <c r="O1313" i="43"/>
  <c r="O1312" i="43"/>
  <c r="O1311" i="43"/>
  <c r="O1310" i="43"/>
  <c r="O1309" i="43"/>
  <c r="O1308" i="43"/>
  <c r="O1307" i="43"/>
  <c r="O1306" i="43"/>
  <c r="O1305" i="43"/>
  <c r="O1304" i="43"/>
  <c r="O1303" i="43"/>
  <c r="O1302" i="43"/>
  <c r="O1301" i="43"/>
  <c r="O1300" i="43"/>
  <c r="O1299" i="43"/>
  <c r="O1298" i="43"/>
  <c r="O1297" i="43"/>
  <c r="O1296" i="43"/>
  <c r="O1295" i="43"/>
  <c r="O1294" i="43"/>
  <c r="O1293" i="43"/>
  <c r="O1292" i="43"/>
  <c r="O1291" i="43"/>
  <c r="O1290" i="43"/>
  <c r="O1289" i="43"/>
  <c r="O1288" i="43"/>
  <c r="O1287" i="43"/>
  <c r="O1286" i="43"/>
  <c r="O1285" i="43"/>
  <c r="O1284" i="43"/>
  <c r="O1283" i="43"/>
  <c r="O1282" i="43"/>
  <c r="O1281" i="43"/>
  <c r="O1280" i="43"/>
  <c r="O1279" i="43"/>
  <c r="O1278" i="43"/>
  <c r="O1277" i="43"/>
  <c r="O1276" i="43"/>
  <c r="O1275" i="43"/>
  <c r="O1274" i="43"/>
  <c r="O1273" i="43"/>
  <c r="O1272" i="43"/>
  <c r="O1271" i="43"/>
  <c r="O1270" i="43"/>
  <c r="O1269" i="43"/>
  <c r="O1268" i="43"/>
  <c r="O1267" i="43"/>
  <c r="O1266" i="43"/>
  <c r="O1265" i="43"/>
  <c r="O1264" i="43"/>
  <c r="O1263" i="43"/>
  <c r="O1262" i="43"/>
  <c r="O1261" i="43"/>
  <c r="O1260" i="43"/>
  <c r="O1259" i="43"/>
  <c r="O1258" i="43"/>
  <c r="O1257" i="43"/>
  <c r="O1256" i="43"/>
  <c r="O1255" i="43"/>
  <c r="O1254" i="43"/>
  <c r="O1253" i="43"/>
  <c r="O1252" i="43"/>
  <c r="O1251" i="43"/>
  <c r="O1250" i="43"/>
  <c r="O1249" i="43"/>
  <c r="O1248" i="43"/>
  <c r="O1247" i="43"/>
  <c r="O1246" i="43"/>
  <c r="O1245" i="43"/>
  <c r="O1244" i="43"/>
  <c r="O1243" i="43"/>
  <c r="O1242" i="43"/>
  <c r="O1241" i="43"/>
  <c r="O1240" i="43"/>
  <c r="O1239" i="43"/>
  <c r="O1238" i="43"/>
  <c r="O1237" i="43"/>
  <c r="O1236" i="43"/>
  <c r="O1235" i="43"/>
  <c r="O1234" i="43"/>
  <c r="O1233" i="43"/>
  <c r="O1232" i="43"/>
  <c r="O1231" i="43"/>
  <c r="O1230" i="43"/>
  <c r="O1229" i="43"/>
  <c r="O1228" i="43"/>
  <c r="O1227" i="43"/>
  <c r="O1226" i="43"/>
  <c r="O1225" i="43"/>
  <c r="O1224" i="43"/>
  <c r="O1223" i="43"/>
  <c r="O1222" i="43"/>
  <c r="O1221" i="43"/>
  <c r="O1220" i="43"/>
  <c r="O1219" i="43"/>
  <c r="O1218" i="43"/>
  <c r="O1217" i="43"/>
  <c r="O1216" i="43"/>
  <c r="O1215" i="43"/>
  <c r="O1214" i="43"/>
  <c r="O1213" i="43"/>
  <c r="O1212" i="43"/>
  <c r="O1211" i="43"/>
  <c r="O1210" i="43"/>
  <c r="O1209" i="43"/>
  <c r="O1208" i="43"/>
  <c r="O1207" i="43"/>
  <c r="O1206" i="43"/>
  <c r="O1205" i="43"/>
  <c r="O1204" i="43"/>
  <c r="O1203" i="43"/>
  <c r="O1202" i="43"/>
  <c r="O1201" i="43"/>
  <c r="O1200" i="43"/>
  <c r="O1199" i="43"/>
  <c r="O1198" i="43"/>
  <c r="O1197" i="43"/>
  <c r="O1196" i="43"/>
  <c r="O1195" i="43"/>
  <c r="O1194" i="43"/>
  <c r="O1193" i="43"/>
  <c r="O1192" i="43"/>
  <c r="O1191" i="43"/>
  <c r="O1190" i="43"/>
  <c r="O1189" i="43"/>
  <c r="O1188" i="43"/>
  <c r="O1187" i="43"/>
  <c r="O1186" i="43"/>
  <c r="O1185" i="43"/>
  <c r="O1184" i="43"/>
  <c r="O1183" i="43"/>
  <c r="O1182" i="43"/>
  <c r="O1181" i="43"/>
  <c r="O1180" i="43"/>
  <c r="O1179" i="43"/>
  <c r="O1178" i="43"/>
  <c r="O1177" i="43"/>
  <c r="O1176" i="43"/>
  <c r="O1175" i="43"/>
  <c r="O1174" i="43"/>
  <c r="O1173" i="43"/>
  <c r="O1172" i="43"/>
  <c r="O1171" i="43"/>
  <c r="O1170" i="43"/>
  <c r="O1169" i="43"/>
  <c r="O1168" i="43"/>
  <c r="O1167" i="43"/>
  <c r="O1166" i="43"/>
  <c r="O1165" i="43"/>
  <c r="O1164" i="43"/>
  <c r="O1163" i="43"/>
  <c r="O1162" i="43"/>
  <c r="O1161" i="43"/>
  <c r="O1160" i="43"/>
  <c r="O1159" i="43"/>
  <c r="O1158" i="43"/>
  <c r="O1157" i="43"/>
  <c r="O1156" i="43"/>
  <c r="O1155" i="43"/>
  <c r="O1154" i="43"/>
  <c r="O1153" i="43"/>
  <c r="O1152" i="43"/>
  <c r="O1151" i="43"/>
  <c r="O1150" i="43"/>
  <c r="O1149" i="43"/>
  <c r="O1148" i="43"/>
  <c r="O1147" i="43"/>
  <c r="O1146" i="43"/>
  <c r="O1145" i="43"/>
  <c r="O1144" i="43"/>
  <c r="O1143" i="43"/>
  <c r="O1142" i="43"/>
  <c r="O1141" i="43"/>
  <c r="O1140" i="43"/>
  <c r="O1139" i="43"/>
  <c r="O1138" i="43"/>
  <c r="O1137" i="43"/>
  <c r="O1136" i="43"/>
  <c r="O1135" i="43"/>
  <c r="O1134" i="43"/>
  <c r="O1133" i="43"/>
  <c r="O1132" i="43"/>
  <c r="O1131" i="43"/>
  <c r="O1130" i="43"/>
  <c r="O1129" i="43"/>
  <c r="O1128" i="43"/>
  <c r="O1127" i="43"/>
  <c r="O1126" i="43"/>
  <c r="O1125" i="43"/>
  <c r="O1124" i="43"/>
  <c r="O1123" i="43"/>
  <c r="O1122" i="43"/>
  <c r="O1121" i="43"/>
  <c r="O1120" i="43"/>
  <c r="O1119" i="43"/>
  <c r="O1118" i="43"/>
  <c r="O1117" i="43"/>
  <c r="O1116" i="43"/>
  <c r="O1115" i="43"/>
  <c r="O1114" i="43"/>
  <c r="O1113" i="43"/>
  <c r="O1112" i="43"/>
  <c r="O1111" i="43"/>
  <c r="O1110" i="43"/>
  <c r="O1109" i="43"/>
  <c r="O1108" i="43"/>
  <c r="O1107" i="43"/>
  <c r="O1106" i="43"/>
  <c r="O1105" i="43"/>
  <c r="O1104" i="43"/>
  <c r="O1103" i="43"/>
  <c r="O1102" i="43"/>
  <c r="O1101" i="43"/>
  <c r="O1100" i="43"/>
  <c r="O1099" i="43"/>
  <c r="O1098" i="43"/>
  <c r="O1097" i="43"/>
  <c r="O1096" i="43"/>
  <c r="O1095" i="43"/>
  <c r="O1094" i="43"/>
  <c r="O1093" i="43"/>
  <c r="O1092" i="43"/>
  <c r="O1091" i="43"/>
  <c r="O1090" i="43"/>
  <c r="O1089" i="43"/>
  <c r="O1088" i="43"/>
  <c r="O1087" i="43"/>
  <c r="O1086" i="43"/>
  <c r="O1085" i="43"/>
  <c r="O1084" i="43"/>
  <c r="O1083" i="43"/>
  <c r="O1082" i="43"/>
  <c r="O1081" i="43"/>
  <c r="O1080" i="43"/>
  <c r="O1079" i="43"/>
  <c r="O1078" i="43"/>
  <c r="O1077" i="43"/>
  <c r="O1076" i="43"/>
  <c r="O1075" i="43"/>
  <c r="O1074" i="43"/>
  <c r="O1073" i="43"/>
  <c r="O1072" i="43"/>
  <c r="O1071" i="43"/>
  <c r="O1070" i="43"/>
  <c r="O1069" i="43"/>
  <c r="O1068" i="43"/>
  <c r="O1067" i="43"/>
  <c r="O1066" i="43"/>
  <c r="O1065" i="43"/>
  <c r="O1064" i="43"/>
  <c r="O1063" i="43"/>
  <c r="O1062" i="43"/>
  <c r="O1061" i="43"/>
  <c r="O1060" i="43"/>
  <c r="O1059" i="43"/>
  <c r="O1058" i="43"/>
  <c r="O1057" i="43"/>
  <c r="O1056" i="43"/>
  <c r="O1055" i="43"/>
  <c r="O1054" i="43"/>
  <c r="O1053" i="43"/>
  <c r="O1052" i="43"/>
  <c r="O1051" i="43"/>
  <c r="O1050" i="43"/>
  <c r="O1049" i="43"/>
  <c r="O1048" i="43"/>
  <c r="O1047" i="43"/>
  <c r="O1046" i="43"/>
  <c r="O1045" i="43"/>
  <c r="O1044" i="43"/>
  <c r="O1043" i="43"/>
  <c r="O1042" i="43"/>
  <c r="O1041" i="43"/>
  <c r="O1040" i="43"/>
  <c r="O1039" i="43"/>
  <c r="O1038" i="43"/>
  <c r="O1037" i="43"/>
  <c r="O1036" i="43"/>
  <c r="O1035" i="43"/>
  <c r="O1034" i="43"/>
  <c r="O1033" i="43"/>
  <c r="O1032" i="43"/>
  <c r="O1031" i="43"/>
  <c r="O1030" i="43"/>
  <c r="O1029" i="43"/>
  <c r="O1028" i="43"/>
  <c r="O1027" i="43"/>
  <c r="O1026" i="43"/>
  <c r="O1025" i="43"/>
  <c r="O1024" i="43"/>
  <c r="O1023" i="43"/>
  <c r="O1022" i="43"/>
  <c r="O1021" i="43"/>
  <c r="O1020" i="43"/>
  <c r="O1019" i="43"/>
  <c r="O1018" i="43"/>
  <c r="O1017" i="43"/>
  <c r="O1016" i="43"/>
  <c r="O1015" i="43"/>
  <c r="O1014" i="43"/>
  <c r="O1013" i="43"/>
  <c r="O1012" i="43"/>
  <c r="O1011" i="43"/>
  <c r="O1010" i="43"/>
  <c r="O1009" i="43"/>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E11" i="29" s="1"/>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AK39" i="8" s="1"/>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9" i="8"/>
  <c r="AK28" i="8"/>
  <c r="AK27" i="8"/>
  <c r="AK23"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<sst xmlns="http://schemas.openxmlformats.org/spreadsheetml/2006/main" count="20682" uniqueCount="2322">
  <si>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</si>
  <si>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</si>
  <si>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</si>
  <si>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</si>
  <si>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</si>
  <si>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</si>
  <si>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</si>
  <si>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</si>
  <si>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</si>
  <si>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</si>
  <si>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</si>
  <si>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</si>
  <si>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</si>
  <si>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</si>
  <si>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</si>
  <si>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</si>
  <si>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</si>
  <si>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</si>
  <si>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</si>
  <si>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</si>
  <si>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</si>
  <si>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</si>
  <si>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</si>
  <si>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</si>
  <si>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</si>
  <si>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</si>
  <si>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</si>
  <si>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</si>
  <si>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</si>
  <si>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</si>
  <si>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</si>
  <si>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</si>
  <si>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</si>
  <si>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</si>
  <si>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</si>
  <si>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</si>
  <si>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</si>
  <si>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</si>
  <si>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</si>
  <si>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</si>
  <si>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</si>
  <si>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</si>
  <si>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</si>
  <si>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</si>
  <si>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</si>
  <si>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</si>
  <si>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</si>
  <si>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</si>
  <si>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</si>
  <si>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</si>
  <si>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</si>
  <si>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</si>
  <si>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</si>
  <si>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</si>
  <si>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</si>
  <si>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</si>
  <si>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</si>
  <si>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</si>
  <si>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</si>
  <si>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</si>
  <si>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</si>
  <si>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</si>
  <si>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</si>
  <si>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</si>
  <si>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</si>
  <si>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</si>
  <si>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</si>
  <si>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</si>
  <si>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</si>
  <si>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</si>
  <si>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</si>
  <si>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</si>
  <si>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</si>
  <si>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</si>
  <si>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</si>
  <si>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</si>
  <si>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</si>
  <si>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</si>
  <si>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</si>
  <si>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</si>
  <si>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</si>
  <si>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</si>
  <si>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</si>
  <si>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</si>
  <si>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</si>
  <si>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</si>
  <si>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</si>
  <si>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</si>
  <si>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</si>
  <si>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</si>
  <si>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</si>
  <si>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</si>
  <si>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</si>
  <si>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</si>
  <si>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</si>
  <si>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</si>
  <si>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</si>
  <si>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</si>
  <si>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</si>
  <si>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</si>
  <si>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</si>
  <si>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</si>
  <si>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</si>
  <si>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</si>
  <si>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</si>
  <si>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</si>
  <si>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</si>
  <si>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</si>
  <si>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</si>
  <si>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</si>
  <si>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</si>
  <si>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</si>
  <si>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</si>
  <si>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</si>
  <si>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</si>
  <si>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</si>
  <si>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</si>
  <si>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</si>
  <si>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</si>
  <si>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</si>
  <si>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</si>
  <si>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</si>
  <si>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</si>
  <si>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</si>
  <si>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</si>
  <si>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</si>
  <si>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</si>
  <si>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</si>
  <si>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</si>
  <si>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</si>
  <si>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</si>
  <si>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</si>
  <si>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</si>
  <si>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</si>
  <si>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</si>
  <si>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</si>
  <si>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</si>
  <si>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</si>
  <si>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</si>
  <si>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</si>
  <si>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</si>
  <si>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</si>
  <si>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</si>
  <si>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</si>
  <si>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</si>
  <si>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</si>
  <si>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</si>
  <si>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</si>
  <si>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</si>
  <si>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</si>
  <si>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</si>
  <si>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</si>
  <si>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</si>
  <si>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</si>
  <si>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</si>
  <si>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</si>
  <si>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</si>
  <si>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</si>
  <si>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</si>
  <si>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</si>
  <si>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</si>
  <si>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</si>
  <si>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</si>
  <si>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</si>
  <si>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</si>
  <si>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</si>
  <si>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</si>
  <si>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</si>
  <si>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</si>
  <si>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</si>
  <si>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</si>
  <si>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</si>
  <si>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</si>
  <si>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</si>
  <si>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</si>
  <si>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</si>
  <si>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</si>
  <si>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</si>
  <si>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</si>
  <si>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</si>
  <si>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</si>
  <si>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</si>
  <si>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</si>
  <si>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</si>
  <si>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</si>
  <si>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</si>
  <si>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</si>
  <si>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</si>
  <si>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</si>
  <si>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</si>
  <si>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</si>
  <si>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</si>
  <si>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</si>
  <si>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</si>
  <si>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</si>
  <si>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</si>
  <si>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</si>
  <si>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</si>
  <si>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</si>
  <si>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</si>
  <si>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</si>
  <si>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</si>
  <si>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</si>
  <si>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</si>
  <si>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</si>
  <si>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</si>
  <si>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</si>
  <si>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</si>
  <si>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</si>
  <si>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</si>
  <si>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</si>
  <si>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</si>
  <si>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</si>
  <si>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</si>
  <si>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</si>
  <si>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</si>
  <si>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</si>
  <si>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</si>
  <si>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</si>
  <si>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</si>
  <si>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</si>
  <si>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</si>
  <si>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</si>
  <si>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</si>
  <si>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</si>
  <si>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</si>
  <si>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</si>
  <si>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</si>
  <si>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</si>
  <si>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</si>
  <si>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</si>
  <si>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</si>
  <si>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</si>
  <si>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</si>
  <si>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</si>
  <si>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</si>
  <si>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</si>
  <si>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</si>
  <si>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</si>
  <si>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</si>
  <si>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</si>
  <si>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</si>
  <si>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</si>
  <si>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</si>
  <si>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</si>
  <si>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</si>
  <si>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</si>
  <si>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</si>
  <si>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</si>
  <si>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</si>
  <si>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</si>
  <si>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</si>
  <si>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</si>
  <si>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</si>
  <si>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</si>
  <si>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</si>
  <si>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</si>
  <si>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</si>
  <si>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</si>
  <si>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</si>
  <si>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</si>
  <si>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</si>
  <si>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</si>
  <si>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</si>
  <si>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</si>
  <si>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</si>
  <si>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</si>
  <si>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</si>
  <si>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</si>
  <si>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</si>
  <si>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</si>
  <si>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</si>
  <si>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</si>
  <si>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</si>
  <si>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</si>
  <si>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</si>
  <si>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</si>
  <si>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</si>
  <si>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</si>
  <si>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</si>
  <si>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</si>
  <si>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</si>
  <si>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</si>
  <si>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</si>
  <si>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</si>
  <si>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</si>
  <si>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</si>
  <si>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</si>
  <si>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</si>
  <si>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</si>
  <si>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</si>
  <si>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</si>
  <si>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</si>
  <si>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</si>
  <si>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</si>
  <si>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</si>
  <si>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</si>
  <si>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</si>
  <si>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</si>
  <si>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</si>
  <si>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</si>
  <si>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</si>
  <si>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</si>
  <si>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</si>
  <si>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</si>
  <si>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</si>
  <si>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</si>
  <si>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</si>
  <si>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</si>
  <si>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</si>
  <si>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</si>
  <si>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</si>
  <si>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</si>
  <si>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</si>
  <si>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</si>
  <si>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</si>
  <si>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</si>
  <si>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</si>
  <si>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</si>
  <si>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</si>
  <si>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</si>
  <si>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</si>
  <si>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</si>
  <si>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</si>
  <si>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</si>
  <si>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</si>
  <si>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</si>
  <si>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</si>
  <si>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</si>
  <si>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</si>
  <si>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</si>
  <si>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</si>
  <si>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</si>
  <si>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</si>
  <si>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</si>
  <si>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</si>
  <si>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</si>
  <si>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</si>
  <si>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</si>
  <si>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</si>
  <si>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</si>
  <si>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</si>
  <si>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</si>
  <si>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</si>
  <si>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</si>
  <si>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</si>
  <si>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</si>
  <si>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</si>
  <si>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</si>
  <si>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</si>
  <si>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</si>
  <si>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</si>
  <si>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</si>
  <si>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</si>
  <si>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</si>
  <si>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</si>
  <si>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</si>
  <si>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</si>
  <si>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</si>
  <si>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</si>
  <si>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</si>
  <si>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</si>
  <si>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</si>
  <si>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</si>
  <si>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</si>
  <si>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</si>
  <si>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</si>
  <si>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</si>
  <si>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</si>
  <si>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</si>
  <si>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</si>
  <si>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</si>
  <si>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</si>
  <si>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</si>
  <si>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</si>
  <si>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</si>
  <si>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</si>
  <si>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</si>
  <si>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</si>
  <si>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</si>
  <si>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</si>
  <si>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</si>
  <si>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</si>
  <si>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</si>
  <si>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</si>
  <si>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</si>
  <si>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</si>
  <si>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</si>
  <si>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</si>
  <si>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</si>
  <si>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</si>
  <si>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</si>
  <si>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</si>
  <si>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</si>
  <si>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</si>
  <si>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</si>
  <si>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</si>
  <si>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</si>
  <si>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</si>
  <si>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</si>
  <si>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</si>
  <si>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</si>
  <si>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</si>
  <si>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</si>
  <si>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</si>
  <si>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</si>
  <si>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</si>
  <si>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</si>
  <si>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</si>
  <si>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</si>
  <si>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</si>
  <si>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</si>
  <si>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</si>
  <si>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</si>
  <si>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</si>
  <si>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</si>
  <si>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</si>
  <si>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</si>
  <si>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</si>
  <si>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</si>
  <si>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</si>
  <si>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</si>
  <si>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</si>
  <si>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</si>
  <si>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</si>
  <si>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</si>
  <si>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</si>
  <si>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</si>
  <si>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</si>
  <si>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</si>
  <si>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</si>
  <si>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</si>
  <si>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</si>
  <si>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</si>
  <si>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</si>
  <si>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</si>
  <si>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</si>
  <si>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</si>
  <si>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</si>
  <si>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</si>
  <si>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</si>
  <si>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</si>
  <si>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</si>
  <si>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</si>
  <si>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</si>
  <si>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</si>
  <si>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</si>
  <si>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</si>
  <si>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</si>
  <si>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</si>
  <si>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</si>
  <si>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</si>
  <si>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</si>
  <si>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</si>
  <si>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</si>
  <si>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</si>
  <si>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</si>
  <si>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</si>
  <si>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</si>
  <si>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</si>
  <si>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</si>
  <si>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</si>
  <si>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</si>
  <si>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</si>
  <si>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</si>
  <si>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</si>
  <si>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</si>
  <si>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</si>
  <si>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</si>
  <si>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</si>
  <si>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</si>
  <si>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</si>
  <si>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</si>
  <si>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</si>
  <si>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</si>
  <si>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</si>
  <si>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</si>
  <si>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</si>
  <si>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</si>
  <si>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</si>
  <si>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</si>
  <si>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</si>
  <si>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</si>
  <si>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</si>
  <si>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</si>
  <si>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</si>
  <si>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</si>
  <si>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</si>
  <si>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</si>
  <si>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</si>
  <si>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</si>
  <si>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</si>
  <si>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</si>
  <si>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</si>
  <si>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</si>
  <si>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</si>
  <si>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</si>
  <si>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</si>
  <si>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</si>
  <si>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</si>
  <si>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</si>
  <si>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</si>
  <si>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</si>
  <si>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</si>
  <si>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</si>
  <si>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</si>
  <si>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</si>
  <si>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</si>
  <si>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</si>
  <si>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</si>
  <si>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</si>
  <si>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</si>
  <si>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</si>
  <si>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</si>
  <si>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</si>
  <si>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</si>
  <si>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</si>
  <si>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</si>
  <si>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</si>
  <si>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</si>
  <si>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</si>
  <si>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</si>
  <si>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</si>
  <si>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</si>
  <si>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</si>
  <si>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</si>
  <si>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</si>
  <si>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</si>
  <si>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</si>
  <si>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</si>
  <si>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</si>
  <si>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</si>
  <si>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</si>
  <si>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</si>
  <si>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</si>
  <si>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</si>
  <si>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</si>
  <si>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</si>
  <si>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</si>
  <si>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</si>
  <si>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</si>
  <si>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</si>
  <si>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</si>
  <si>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</si>
  <si>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</si>
  <si>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</si>
  <si>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</si>
  <si>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</si>
  <si>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</si>
  <si>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</si>
  <si>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</si>
  <si>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</si>
  <si>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</si>
  <si>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</si>
  <si>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</si>
  <si>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</si>
  <si>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</si>
  <si>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</si>
  <si>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</si>
  <si>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</si>
  <si>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</si>
  <si>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</si>
  <si>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</si>
  <si>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</si>
  <si>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</si>
  <si>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</si>
  <si>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</si>
  <si>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</si>
  <si>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</si>
  <si>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</si>
  <si>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</si>
  <si>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</si>
  <si>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</si>
  <si>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</si>
  <si>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</si>
  <si>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</si>
  <si>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</si>
  <si>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</si>
  <si>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</si>
  <si>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</si>
  <si>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</si>
  <si>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</si>
  <si>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</si>
  <si>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</si>
  <si>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</si>
  <si>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</si>
  <si>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</si>
  <si>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</si>
  <si>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</si>
  <si>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</si>
  <si>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</si>
  <si>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</si>
  <si>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</si>
  <si>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</si>
  <si>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</si>
  <si>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</si>
  <si>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</si>
  <si>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</si>
  <si>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</si>
  <si>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</si>
  <si>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</si>
  <si>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</si>
  <si>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</si>
  <si>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</si>
  <si>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</si>
  <si>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</si>
  <si>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</si>
  <si>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</si>
  <si>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</si>
  <si>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</si>
  <si>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</si>
  <si>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</si>
  <si>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</si>
  <si>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</si>
  <si>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</si>
  <si>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</si>
  <si>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</si>
  <si>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</si>
  <si>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</si>
  <si>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</si>
  <si>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</si>
  <si>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</si>
  <si>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</si>
  <si>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</si>
  <si>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</si>
  <si>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</si>
  <si>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</si>
  <si>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</si>
  <si>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</si>
  <si>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</si>
  <si>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</si>
  <si>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</si>
  <si>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</si>
  <si>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</si>
  <si>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</si>
  <si>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</si>
  <si>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</si>
  <si>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</si>
  <si>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</si>
  <si>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</si>
  <si>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</si>
  <si>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</si>
  <si>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</si>
  <si>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</si>
  <si>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</si>
  <si>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</si>
  <si>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</si>
  <si>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</si>
  <si>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</si>
  <si>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</si>
  <si>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</si>
  <si>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</si>
  <si>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</si>
  <si>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</si>
  <si>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</si>
  <si>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</si>
  <si>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</si>
  <si>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</si>
  <si>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</si>
  <si>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</si>
  <si>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</si>
  <si>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</si>
  <si>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</si>
  <si>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</si>
  <si>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</si>
  <si>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</si>
  <si>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</si>
  <si>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</si>
  <si>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</si>
  <si>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</si>
  <si>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</si>
  <si>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</si>
  <si>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</si>
  <si>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</si>
  <si>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</si>
  <si>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</si>
  <si>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</si>
  <si>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</si>
  <si>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</si>
  <si>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</si>
  <si>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</si>
  <si>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</si>
  <si>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</si>
  <si>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</si>
  <si>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</si>
  <si>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</si>
  <si>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</si>
  <si>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</si>
  <si>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</si>
  <si>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</si>
  <si>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</si>
  <si>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</si>
  <si>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</si>
  <si>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</si>
  <si>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</si>
  <si>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</si>
  <si>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</si>
  <si>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</si>
  <si>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</si>
  <si>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</si>
  <si>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</si>
  <si>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</si>
  <si>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</si>
  <si>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</si>
  <si>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</si>
  <si>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</si>
  <si>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</si>
  <si>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</si>
  <si>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</si>
  <si>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</si>
  <si>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</si>
  <si>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</si>
  <si>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</si>
  <si>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</si>
  <si>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</si>
  <si>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</si>
  <si>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</si>
  <si>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</si>
  <si>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</si>
  <si>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</si>
  <si>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</si>
  <si>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</si>
  <si>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</si>
  <si>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</si>
  <si>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</si>
  <si>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</si>
  <si>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</si>
  <si>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</si>
  <si>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</si>
  <si>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</si>
  <si>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</si>
  <si>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</si>
  <si>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</si>
  <si>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</si>
  <si>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</si>
  <si>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</si>
  <si>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</si>
  <si>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</si>
  <si>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</si>
  <si>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</si>
  <si>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</si>
  <si>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</si>
  <si>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</si>
  <si>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</si>
  <si>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</si>
  <si>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</si>
  <si>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</si>
  <si>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</si>
  <si>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</si>
  <si>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</si>
  <si>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</si>
  <si>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</si>
  <si>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</si>
  <si>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</si>
  <si>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</si>
  <si>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</si>
  <si>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</si>
  <si>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</si>
  <si>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</si>
  <si>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</si>
  <si>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</si>
  <si>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</si>
  <si>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</si>
  <si>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</si>
  <si>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</si>
  <si>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</si>
  <si>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</si>
  <si>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</si>
  <si>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</si>
  <si>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</si>
  <si>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</si>
  <si>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</si>
  <si>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</si>
  <si>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</si>
  <si>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</si>
  <si>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</si>
  <si>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</si>
  <si>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</si>
  <si>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</si>
  <si>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</si>
  <si>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</si>
  <si>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</si>
  <si>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</si>
  <si>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</si>
  <si>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</si>
  <si>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</si>
  <si>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</si>
  <si>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</si>
  <si>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</si>
  <si>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</si>
  <si>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</si>
  <si>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</si>
  <si>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</si>
  <si>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</si>
  <si>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</si>
  <si>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</si>
  <si>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</si>
  <si>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</si>
  <si>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</si>
  <si>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</si>
  <si>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</si>
  <si>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</si>
  <si>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</si>
  <si>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</si>
  <si>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</si>
  <si>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</si>
  <si>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</si>
  <si>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</si>
  <si>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</si>
  <si>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</si>
  <si>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</si>
  <si>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</si>
  <si>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</si>
  <si>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</si>
  <si>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</si>
  <si>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</si>
  <si>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</si>
  <si>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</si>
  <si>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</si>
  <si>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</si>
  <si>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</si>
  <si>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</si>
  <si>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</si>
  <si>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</si>
  <si>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</si>
  <si>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</si>
  <si>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</si>
  <si>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</si>
  <si>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</si>
  <si>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</si>
  <si>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</si>
  <si>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</si>
  <si>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</si>
  <si>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</si>
  <si>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</si>
  <si>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</si>
  <si>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</si>
  <si>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</si>
  <si>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</si>
  <si>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</si>
  <si>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</si>
  <si>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</si>
  <si>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</si>
  <si>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</si>
  <si>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</si>
  <si>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</si>
  <si>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</si>
  <si>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</si>
  <si>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</si>
  <si>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</si>
  <si>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</si>
  <si>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</si>
  <si>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</si>
  <si>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</si>
  <si>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</si>
  <si>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</si>
  <si>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</si>
  <si>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</si>
  <si>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</si>
  <si>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</si>
  <si>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</si>
  <si>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</si>
  <si>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</si>
  <si>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</si>
  <si>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</si>
  <si>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</si>
  <si>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</si>
  <si>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</si>
  <si>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</si>
  <si>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</si>
  <si>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</si>
  <si>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</si>
  <si>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</si>
  <si>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</si>
  <si>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</si>
  <si>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</si>
  <si>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</si>
  <si>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</si>
  <si>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</si>
  <si>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</si>
  <si>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</si>
  <si>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</si>
  <si>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</si>
  <si>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</si>
  <si>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</si>
  <si>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</si>
  <si>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</si>
  <si>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</si>
  <si>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</si>
  <si>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</si>
  <si>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</si>
  <si>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</si>
  <si>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</si>
  <si>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</si>
  <si>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</si>
  <si>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</si>
  <si>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</si>
  <si>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</si>
  <si>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</si>
  <si>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</si>
  <si>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</si>
  <si>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</si>
  <si>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</si>
  <si>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</si>
  <si>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</si>
  <si>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</si>
  <si>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</si>
  <si>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</si>
  <si>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</si>
  <si>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</si>
  <si>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</si>
  <si>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</si>
  <si>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</si>
  <si>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</si>
  <si>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</si>
  <si>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</si>
  <si>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</si>
  <si>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</si>
  <si>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</si>
  <si>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</si>
  <si>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</si>
  <si>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</si>
  <si>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</si>
  <si>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</si>
  <si>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</si>
  <si>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</si>
  <si>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</si>
  <si>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</si>
  <si>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</si>
  <si>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</si>
  <si>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</si>
  <si>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</si>
  <si>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</si>
  <si>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</si>
  <si>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</si>
  <si>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</si>
  <si>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</si>
  <si>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</si>
  <si>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</si>
  <si>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</si>
  <si>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</si>
  <si>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</si>
  <si>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</si>
  <si>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</si>
  <si>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</si>
  <si>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</si>
  <si>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</si>
  <si>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</si>
  <si>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</si>
  <si>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</si>
  <si>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</si>
  <si>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</si>
  <si>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</si>
  <si>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</si>
  <si>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</si>
  <si>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</si>
  <si>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</si>
  <si>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</si>
  <si>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</si>
  <si>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</si>
  <si>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</si>
  <si>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</si>
  <si>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</si>
  <si>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</si>
  <si>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</si>
  <si>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</si>
  <si>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</si>
  <si>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</si>
  <si>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</si>
  <si>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</si>
  <si>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</si>
  <si>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</si>
  <si>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</si>
  <si>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</si>
  <si>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</si>
  <si>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</si>
  <si>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</si>
  <si>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</si>
  <si>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</si>
  <si>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</si>
  <si>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</si>
  <si>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</si>
  <si>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</si>
  <si>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</si>
  <si>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</si>
  <si>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</si>
  <si>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</si>
  <si>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</si>
  <si>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</si>
  <si>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</si>
  <si>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</si>
  <si>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</si>
  <si>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</si>
  <si>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</si>
  <si>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</si>
  <si>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</si>
  <si>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</si>
  <si>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</si>
  <si>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</si>
  <si>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</si>
  <si>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</si>
  <si>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</si>
  <si>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</si>
  <si>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</si>
  <si>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</si>
  <si>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</si>
  <si>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</si>
  <si>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</si>
  <si>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</si>
  <si>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</si>
  <si>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</si>
  <si>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</si>
  <si>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</si>
  <si>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</si>
  <si>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</si>
  <si>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</si>
  <si>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</si>
  <si>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</si>
  <si>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</si>
  <si>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</si>
  <si>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</si>
  <si>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</si>
  <si>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</si>
  <si>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</si>
  <si>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</si>
  <si>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</si>
  <si>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</si>
  <si>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</si>
  <si>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</si>
  <si>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</si>
  <si>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</si>
  <si>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</si>
  <si>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</si>
  <si>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</si>
  <si>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</si>
  <si>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</si>
  <si>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</si>
  <si>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</si>
  <si>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</si>
  <si>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</si>
  <si>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</si>
  <si>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</si>
  <si>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</si>
  <si>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</si>
  <si>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</si>
  <si>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</si>
  <si>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</si>
  <si>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</si>
  <si>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</si>
  <si>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</si>
  <si>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</si>
  <si>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</si>
  <si>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</si>
  <si>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</si>
  <si>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</si>
  <si>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</si>
  <si>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</si>
  <si>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</si>
  <si>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</si>
  <si>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</si>
  <si>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</si>
  <si>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</si>
  <si>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</si>
  <si>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</si>
  <si>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</si>
  <si>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</si>
  <si>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</si>
  <si>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</si>
  <si>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</si>
  <si>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</si>
  <si>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</si>
  <si>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</si>
  <si>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</si>
  <si>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</si>
  <si>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</si>
  <si>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</si>
  <si>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</si>
  <si>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</si>
  <si>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</si>
  <si>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</si>
  <si>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</si>
  <si>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</si>
  <si>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</si>
  <si>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</si>
  <si>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</si>
  <si>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</si>
  <si>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</si>
  <si>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</si>
  <si>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</si>
  <si>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</si>
  <si>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</si>
  <si>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</si>
  <si>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</si>
  <si>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</si>
  <si>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</si>
  <si>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</si>
  <si>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</si>
  <si>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</si>
  <si>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</si>
  <si>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</si>
  <si>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</si>
  <si>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</si>
  <si>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</si>
  <si>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</si>
  <si>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</si>
  <si>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</si>
  <si>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</si>
  <si>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</si>
  <si>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</si>
  <si>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</si>
  <si>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</si>
  <si>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</si>
  <si>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</si>
  <si>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</si>
  <si>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</si>
  <si>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</si>
  <si>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</si>
  <si>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</si>
  <si>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</si>
  <si>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</si>
  <si>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</si>
  <si>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</si>
  <si>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</si>
  <si>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</si>
  <si>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</si>
  <si>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</si>
  <si>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</si>
  <si>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</si>
  <si>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</si>
  <si>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</si>
  <si>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</si>
  <si>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</si>
  <si>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</si>
  <si>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</si>
  <si>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</si>
  <si>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</si>
  <si>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</si>
  <si>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</si>
  <si>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</si>
  <si>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</si>
  <si>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</si>
  <si>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</si>
  <si>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</si>
  <si>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</si>
  <si>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</si>
  <si>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</si>
  <si>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</si>
  <si>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</si>
  <si>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</si>
  <si>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</si>
  <si>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</si>
  <si>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</si>
  <si>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</si>
  <si>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</si>
  <si>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</si>
  <si>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</si>
  <si>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</si>
  <si>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</si>
  <si>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</si>
  <si>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</si>
  <si>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</si>
  <si>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</si>
  <si>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</si>
  <si>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</si>
  <si>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</si>
  <si>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</si>
  <si>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</si>
  <si>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</si>
  <si>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</si>
  <si>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</si>
  <si>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</si>
  <si>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</si>
  <si>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</si>
  <si>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</si>
  <si>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</si>
  <si>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</si>
  <si>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</si>
  <si>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</si>
  <si>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</si>
  <si>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</si>
  <si>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</si>
  <si>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</si>
  <si>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</si>
  <si>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</si>
  <si>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</si>
  <si>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</si>
  <si>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</si>
  <si>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</si>
  <si>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</si>
  <si>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</si>
  <si>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</si>
  <si>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</si>
  <si>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</si>
  <si>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</si>
  <si>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</si>
  <si>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</si>
  <si>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</si>
  <si>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</si>
  <si>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</si>
  <si>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</si>
  <si>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</si>
  <si>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</si>
  <si>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</si>
  <si>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</si>
  <si>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</si>
  <si>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</si>
  <si>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</si>
  <si>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</si>
  <si>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</si>
  <si>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</si>
  <si>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</si>
  <si>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</si>
  <si>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</si>
  <si>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</si>
  <si>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</si>
  <si>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</si>
  <si>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</si>
  <si>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</si>
  <si>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</si>
  <si>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</si>
  <si>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</si>
  <si>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</si>
  <si>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</si>
  <si>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</si>
  <si>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</si>
  <si>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</si>
  <si>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</si>
  <si>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</si>
  <si>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</si>
  <si>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</si>
  <si>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</si>
  <si>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</si>
  <si>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</si>
  <si>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</si>
  <si>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</si>
  <si>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</si>
  <si>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</si>
  <si>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</si>
  <si>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</si>
  <si>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</si>
  <si>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</si>
  <si>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</si>
  <si>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</si>
  <si>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</si>
  <si>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</si>
  <si>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</si>
  <si>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</si>
  <si>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</si>
  <si>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</si>
  <si>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</si>
  <si>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</si>
  <si>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</si>
  <si>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</si>
  <si>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</si>
  <si>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</si>
  <si>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</si>
  <si>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</si>
  <si>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</si>
  <si>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</si>
  <si>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</si>
  <si>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</si>
  <si>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</si>
  <si>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</si>
  <si>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</si>
  <si>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</si>
  <si>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</si>
  <si>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</si>
  <si>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</si>
  <si>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</si>
  <si>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</si>
  <si>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</si>
  <si>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</si>
  <si>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</si>
  <si>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</si>
  <si>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</si>
  <si>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</si>
  <si>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</si>
  <si>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</si>
  <si>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</si>
  <si>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</si>
  <si>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</si>
  <si>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</si>
  <si>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</si>
  <si>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</si>
  <si>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</si>
  <si>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</si>
  <si>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</si>
  <si>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</si>
  <si>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</si>
  <si>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</si>
  <si>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</si>
  <si>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</si>
  <si>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</si>
  <si>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</si>
  <si>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</si>
  <si>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</si>
  <si>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</si>
  <si>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</si>
  <si>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</si>
  <si>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</si>
  <si>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</si>
  <si>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</si>
  <si>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</si>
  <si>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</si>
  <si>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</si>
  <si>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</si>
  <si>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</si>
  <si>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</si>
  <si>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</si>
  <si>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</si>
  <si>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</si>
  <si>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</si>
  <si>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</si>
  <si>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</si>
  <si>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</si>
  <si>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</si>
  <si>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</si>
  <si>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</si>
  <si>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</si>
  <si>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</si>
  <si>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</si>
  <si>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</si>
  <si>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</si>
  <si>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</si>
  <si>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</si>
  <si>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</si>
  <si>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</si>
  <si>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</si>
  <si>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</si>
  <si>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</si>
  <si>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</si>
  <si>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</si>
  <si>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</si>
  <si>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</si>
  <si>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</si>
  <si>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</si>
  <si>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</si>
  <si>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</si>
  <si>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</si>
  <si>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</si>
  <si>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</si>
  <si>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</si>
  <si>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</si>
  <si>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</si>
  <si>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</si>
  <si>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</si>
  <si>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</si>
  <si>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</si>
  <si>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</si>
  <si>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</si>
  <si>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</si>
  <si>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</si>
  <si>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</si>
  <si>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</si>
  <si>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</si>
  <si>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</si>
  <si>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</si>
  <si>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</si>
  <si>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</si>
  <si>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</si>
  <si>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</si>
  <si>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</si>
  <si>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</si>
  <si>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</si>
  <si>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</si>
  <si>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</si>
  <si>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</si>
  <si>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</si>
  <si>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</si>
  <si>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</si>
  <si>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</si>
  <si>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</si>
  <si>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</si>
  <si>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</si>
  <si>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</si>
  <si>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</si>
  <si>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</si>
  <si>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</si>
  <si>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</si>
  <si>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</si>
  <si>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</si>
  <si>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</si>
  <si>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</si>
  <si>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</si>
  <si>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</si>
  <si>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</si>
  <si>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</si>
  <si>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</si>
  <si>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</si>
  <si>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</si>
  <si>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</si>
  <si>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</si>
  <si>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</si>
  <si>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</si>
  <si>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</si>
  <si>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</si>
  <si>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</si>
  <si>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</si>
  <si>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</si>
  <si>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</si>
  <si>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</si>
  <si>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</si>
  <si>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</si>
  <si>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</si>
  <si>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</si>
  <si>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</si>
  <si>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</si>
  <si>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</si>
  <si>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</si>
  <si>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</si>
  <si>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</si>
  <si>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</si>
  <si>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</si>
  <si>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</si>
  <si>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</si>
  <si>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</si>
  <si>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</si>
  <si>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</si>
  <si>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</si>
  <si>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</si>
  <si>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</si>
  <si>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</si>
  <si>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</si>
  <si>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</si>
  <si>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</si>
  <si>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</si>
  <si>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</si>
  <si>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</si>
  <si>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</si>
  <si>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</si>
  <si>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</si>
  <si>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</si>
  <si>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</si>
  <si>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</si>
  <si>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</si>
  <si>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</si>
  <si>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</si>
  <si>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</si>
  <si>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</si>
  <si>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</si>
  <si>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</si>
  <si>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</si>
  <si>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</si>
  <si>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</si>
  <si>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</si>
  <si>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</si>
  <si>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</si>
  <si>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</si>
  <si>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</si>
  <si>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</si>
  <si>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</si>
  <si>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</si>
  <si>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</si>
  <si>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</si>
  <si>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</si>
  <si>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</si>
  <si>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</si>
  <si>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</si>
  <si>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</si>
  <si>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</si>
  <si>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</si>
  <si>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</si>
  <si>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</si>
  <si>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</si>
  <si>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</si>
  <si>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</si>
  <si>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</si>
  <si>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</si>
  <si>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</si>
  <si>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</si>
  <si>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</si>
  <si>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</si>
  <si>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</si>
  <si>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</si>
  <si>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</si>
  <si>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</si>
  <si>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</si>
  <si>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</si>
  <si>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</si>
  <si>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</si>
  <si>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</si>
  <si>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</si>
  <si>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</si>
  <si>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</si>
  <si>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</si>
  <si>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</si>
  <si>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</si>
  <si>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</si>
  <si>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</si>
  <si>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</si>
  <si>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</si>
  <si>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</si>
  <si>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</si>
  <si>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</si>
  <si>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</si>
  <si>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</si>
  <si>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</si>
  <si>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</si>
  <si>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</si>
  <si>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</si>
  <si>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</si>
  <si>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</si>
  <si>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</si>
  <si>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</si>
  <si>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</si>
  <si>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</si>
  <si>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</si>
  <si>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</si>
  <si>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</si>
  <si>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</si>
  <si>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</si>
  <si>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</si>
  <si>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</si>
  <si>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</si>
  <si>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</si>
  <si>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</si>
  <si>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</si>
  <si>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</si>
  <si>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</si>
  <si>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</si>
  <si>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</si>
  <si>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</si>
  <si>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</si>
  <si>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</si>
  <si>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</si>
  <si>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</si>
  <si>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</si>
  <si>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</si>
  <si>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</si>
  <si>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</si>
  <si>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</si>
  <si>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</si>
  <si>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</si>
  <si>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</si>
  <si>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</si>
  <si>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</si>
  <si>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</si>
  <si>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</si>
  <si>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</si>
  <si>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</si>
  <si>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</si>
  <si>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</si>
  <si>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</si>
  <si>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</si>
  <si>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</si>
  <si>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</si>
  <si>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</si>
  <si>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</si>
  <si>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</si>
  <si>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</si>
  <si>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</si>
  <si>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</si>
  <si>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</si>
  <si>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</si>
  <si>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</si>
  <si>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</si>
  <si>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</si>
  <si>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</si>
  <si>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</si>
  <si>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</si>
  <si>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</si>
  <si>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</si>
  <si>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</si>
  <si>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</si>
  <si>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</si>
  <si>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</si>
  <si>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</si>
  <si>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</si>
  <si>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</si>
  <si>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</si>
  <si>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</si>
  <si>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</si>
  <si>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</si>
  <si>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</si>
  <si>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</si>
  <si>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</si>
  <si>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</si>
  <si>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</si>
  <si>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</si>
  <si>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</si>
  <si>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</si>
  <si>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</si>
  <si>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</si>
  <si>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</si>
  <si>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</si>
  <si>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</si>
  <si>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</si>
  <si>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</si>
  <si>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</si>
  <si>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</si>
  <si>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</si>
  <si>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</si>
  <si>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</si>
  <si>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</si>
  <si>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</si>
  <si>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</si>
  <si>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</si>
  <si>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</si>
  <si>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</si>
  <si>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</si>
  <si>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</si>
  <si>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</si>
  <si>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</si>
  <si>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</si>
  <si>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</si>
  <si>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</si>
  <si>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</si>
  <si>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</si>
  <si>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</si>
  <si>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</si>
  <si>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</si>
  <si>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</si>
  <si>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</si>
  <si>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</si>
  <si>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</si>
  <si>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</si>
  <si>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</si>
  <si>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</si>
  <si>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</si>
  <si>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</si>
  <si>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</si>
  <si>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</si>
  <si>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</si>
  <si>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</si>
  <si>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</si>
  <si>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</si>
  <si>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</si>
  <si>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</si>
  <si>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</si>
  <si>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</si>
  <si>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</si>
  <si>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</si>
  <si>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</si>
  <si>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</si>
  <si>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</si>
  <si>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</si>
  <si>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</si>
  <si>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</si>
  <si>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</si>
  <si>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</si>
  <si>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</si>
  <si>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</si>
  <si>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</si>
  <si>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</si>
  <si>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</si>
  <si>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</si>
  <si>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</si>
  <si>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</si>
  <si>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</si>
  <si>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</si>
  <si>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</si>
  <si>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</si>
  <si>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</si>
  <si>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</si>
  <si>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</si>
  <si>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</si>
  <si>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</si>
  <si>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</si>
  <si>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</si>
  <si>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</si>
  <si>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</si>
  <si>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</si>
  <si>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</si>
  <si>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</si>
  <si>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</si>
  <si>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</si>
  <si>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</si>
  <si>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</si>
  <si>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</si>
  <si>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</si>
  <si>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</si>
  <si>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</si>
  <si>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</si>
  <si>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</si>
  <si>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</si>
  <si>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</si>
  <si>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</si>
  <si>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</si>
  <si>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</si>
  <si>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</si>
  <si>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</si>
  <si>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</si>
  <si>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</si>
  <si>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</si>
  <si>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</si>
  <si>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</si>
  <si>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</si>
  <si>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</si>
  <si>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</si>
  <si>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</si>
  <si>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</si>
  <si>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</si>
  <si>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</si>
  <si>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</si>
  <si>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</si>
  <si>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</si>
  <si>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</si>
  <si>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</si>
  <si>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</si>
  <si>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</si>
  <si>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</si>
  <si>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</si>
  <si>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</si>
  <si>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</si>
  <si>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</si>
  <si>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</si>
  <si>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</si>
  <si>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</si>
  <si>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</si>
  <si>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</si>
  <si>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</si>
  <si>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</si>
  <si>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</si>
  <si>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</si>
  <si>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</si>
  <si>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</si>
  <si>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</si>
  <si>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</si>
  <si>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</si>
  <si>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</si>
  <si>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</si>
  <si>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</si>
  <si>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</si>
  <si>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</si>
  <si>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</si>
  <si>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</si>
  <si>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</si>
  <si>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</si>
  <si>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</si>
  <si>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</si>
  <si>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</si>
  <si>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</si>
  <si>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</si>
  <si>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</si>
  <si>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</si>
  <si>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</si>
  <si>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</si>
  <si>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</si>
  <si>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</si>
  <si>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</si>
  <si>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</si>
  <si>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</si>
  <si>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</si>
  <si>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</si>
  <si>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</si>
  <si>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</si>
  <si>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</si>
  <si>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</si>
  <si>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</si>
  <si>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</si>
  <si>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</si>
  <si>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</si>
  <si>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</si>
  <si>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</si>
  <si>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</si>
  <si>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</si>
  <si>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</si>
  <si>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</si>
  <si>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</si>
  <si>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</si>
  <si>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</si>
  <si>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</si>
  <si>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</si>
  <si>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</si>
  <si>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</si>
  <si>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</si>
  <si>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</si>
  <si>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</si>
  <si>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</si>
  <si>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</si>
  <si>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</si>
  <si>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</si>
  <si>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</si>
  <si>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</si>
  <si>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</si>
  <si>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</si>
  <si>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</si>
  <si>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</si>
  <si>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</si>
  <si>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</si>
  <si>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</si>
  <si>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</si>
  <si>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</si>
  <si>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</si>
  <si>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</si>
  <si>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</si>
  <si>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</si>
  <si>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</si>
  <si>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</si>
  <si>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</si>
  <si>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</si>
  <si>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</si>
  <si>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</si>
  <si>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NO</t>
  </si>
  <si>
    <t>Q_1_1</t>
  </si>
  <si>
    <t>S01_InstitutionDetails</t>
  </si>
  <si>
    <t>NameAndDepartment</t>
  </si>
  <si>
    <t>text</t>
  </si>
  <si>
    <t>Norwegian Environment Agency (NEA)</t>
  </si>
  <si>
    <t/>
  </si>
  <si>
    <t>ContactPersonName</t>
  </si>
  <si>
    <t>Silje Aksnes Bratland</t>
  </si>
  <si>
    <t>ContactPersonJobTitle</t>
  </si>
  <si>
    <t>Head of section</t>
  </si>
  <si>
    <t>Address</t>
  </si>
  <si>
    <t>Postboks 5672, Torgarden</t>
  </si>
  <si>
    <t>InternationalTelephoneNumber</t>
  </si>
  <si>
    <t>4741616527</t>
  </si>
  <si>
    <t>EMail</t>
  </si>
  <si>
    <t>silje.aksnes.bratland@miljodir.no</t>
  </si>
  <si>
    <t>ReportingYear</t>
  </si>
  <si>
    <t>integer</t>
  </si>
  <si>
    <t>Q_2_1</t>
  </si>
  <si>
    <t>S02_CompetentAuthority</t>
  </si>
  <si>
    <t>CAName</t>
  </si>
  <si>
    <t>Norwegian Environment Agency</t>
  </si>
  <si>
    <t xml:space="preserve">Ministry of Climate and Environment </t>
  </si>
  <si>
    <t>CAAbbreviation</t>
  </si>
  <si>
    <t>NEA</t>
  </si>
  <si>
    <t>KLD</t>
  </si>
  <si>
    <t>CAType</t>
  </si>
  <si>
    <t>CANumber</t>
  </si>
  <si>
    <t>1</t>
  </si>
  <si>
    <t>CATelephone</t>
  </si>
  <si>
    <t>4773580500</t>
  </si>
  <si>
    <t>4722249090</t>
  </si>
  <si>
    <t>CAEmail</t>
  </si>
  <si>
    <t>post@miljodir.no</t>
  </si>
  <si>
    <t>postmottak@kld.dep.no</t>
  </si>
  <si>
    <t>CAWebsite</t>
  </si>
  <si>
    <t>www.miljodirektoratet.no</t>
  </si>
  <si>
    <t>https://www.regjeringen.no/en/dep/kld/id668/</t>
  </si>
  <si>
    <t>S02_AccreditationBodyYesNo</t>
  </si>
  <si>
    <t>yesno</t>
  </si>
  <si>
    <t>S02_AccreditationBody</t>
  </si>
  <si>
    <t>AccBodyName</t>
  </si>
  <si>
    <t>Norwegian Accreditation</t>
  </si>
  <si>
    <t>AccBodyAbbreviation</t>
  </si>
  <si>
    <t>AccBodyTelephone</t>
  </si>
  <si>
    <t>4764848600</t>
  </si>
  <si>
    <t>AccBodyEmail</t>
  </si>
  <si>
    <t>akkreditert@akkreditert.no</t>
  </si>
  <si>
    <t>AccBodyWebsite</t>
  </si>
  <si>
    <t>http://www.akkreditert.no/en/</t>
  </si>
  <si>
    <t>CertificationBodySetUp</t>
  </si>
  <si>
    <t>S02_RegistryAdministrator</t>
  </si>
  <si>
    <t>RegAdminName</t>
  </si>
  <si>
    <t>Norwegian Envronment Agency</t>
  </si>
  <si>
    <t>RegAdminAbbreviation</t>
  </si>
  <si>
    <t>RegAdminEmail</t>
  </si>
  <si>
    <t>kvoteregister@miljodir.no</t>
  </si>
  <si>
    <t>RegAdminWebsite</t>
  </si>
  <si>
    <t>https://www.miljodirektoratet.no/ansvarsomrader/klima/klimakvoter/klimakvoteregisteret/</t>
  </si>
  <si>
    <t>Q_2_2</t>
  </si>
  <si>
    <t>S02_CompetentAuthorityRoles</t>
  </si>
  <si>
    <t>CAForInstallationTask</t>
  </si>
  <si>
    <t>CAForAviationTask</t>
  </si>
  <si>
    <t>Q_2_4</t>
  </si>
  <si>
    <t>S02_InformationExchangeAccBodyAndCA</t>
  </si>
  <si>
    <t>InfoExchangeYesNo</t>
  </si>
  <si>
    <t>InfoExchangeComment</t>
  </si>
  <si>
    <t>memo</t>
  </si>
  <si>
    <t>There is a consecutive dialogue/information exchange per email and phone between the NAB and the CA, and meetings are arranged when needed.</t>
  </si>
  <si>
    <t>No working group, but we arrange annual dialogue meetings with all three parties.</t>
  </si>
  <si>
    <t>Q_3_1</t>
  </si>
  <si>
    <t>S03_EmittingInstallations</t>
  </si>
  <si>
    <t>NumberOfInstallations</t>
  </si>
  <si>
    <t>S03_ActivityPermits</t>
  </si>
  <si>
    <t>ActivityPermitsIssued</t>
  </si>
  <si>
    <t>Q_3_2</t>
  </si>
  <si>
    <t>InstallationsExcludedArt27</t>
  </si>
  <si>
    <t>Q_3_3</t>
  </si>
  <si>
    <t>S03_AircraftAnnex1Activities</t>
  </si>
  <si>
    <t>NumberCommercialOperators</t>
  </si>
  <si>
    <t>NumberNonCommercialOperators</t>
  </si>
  <si>
    <t>NumberTotalOperators</t>
  </si>
  <si>
    <t>Q_4_1</t>
  </si>
  <si>
    <t>S04_IEDProcedureRequirementsIntegratedYes</t>
  </si>
  <si>
    <t>IntegrationYesNo</t>
  </si>
  <si>
    <t>IntegrationComments</t>
  </si>
  <si>
    <t>The IED regulators are also part of the NEA,but work in other sections. The IED regulators contact the Section for Emission Trading when they receive applications for IED permits or other information about installations that will perform activities covered by EU ETS and vice versa.</t>
  </si>
  <si>
    <t>This is done by the Section for Emission Trading.</t>
  </si>
  <si>
    <t xml:space="preserve">Inspections are performed by case handlers in inspection sections in the NEA, in cooperation with case handlers in the Section for Emission Trading. </t>
  </si>
  <si>
    <t>Q_4_2</t>
  </si>
  <si>
    <t>S04_NationalLawPermitUpdate</t>
  </si>
  <si>
    <t>PermitUpdateNationalLawDetail</t>
  </si>
  <si>
    <t>Permits can be withdrawn by the CA if an installation no longer is included in the EU ETS, according to the Pollution Control Act article 11. The permit is only applicable for as long as the operator surrenders sufficient allowances. According to article 18 of the Pollution Control Act, the permit can also be withdrawn or modified by the CA 10 years after it has been issued.</t>
  </si>
  <si>
    <t>No. However, according to the Pollution Control Act article 20, an operator who wants to restart an installation that has ceased operations for more than two years shall give notice to the CA. The CA can decide that the operator needs to apply for a new permit before restarting the installation.</t>
  </si>
  <si>
    <t>When increased capacity causes changes in installation category or source stream category or new source streams are introduced.</t>
  </si>
  <si>
    <t>When decreased capacity causes changes in installation category or source stream category or if source streams are no longer used.</t>
  </si>
  <si>
    <t>The monitoring plan is part of the permit according to the Pollution Control Act article 11, so the permit will therefore be changed accordingly.</t>
  </si>
  <si>
    <t>In addition to changes in the monitoring plan (see previous question), the permit is also changed/updated when there are changes in ownership/new operator/name of installation/activity in accordance with Annex I of the directive.</t>
  </si>
  <si>
    <t>PermitUpdateTotalNumber</t>
  </si>
  <si>
    <t>Q_5_1</t>
  </si>
  <si>
    <t>AdditionalNationalLegislation</t>
  </si>
  <si>
    <t>AdditionalNationalLegislationDetail</t>
  </si>
  <si>
    <t>Reporting deadline 31 March for AER reporting
Application deadline 30 November for site visit waiver for AER verification</t>
  </si>
  <si>
    <t>AdditionalNationalGuidance</t>
  </si>
  <si>
    <t>AdditionalNationalGuidanceDetail</t>
  </si>
  <si>
    <t>The CA developed an electronic template for monitoring plan and permit application for installations for phase 3, in line with the requirements of regulation (EU) no 601/2012. The template has been updated to be in line with the requirements of implementing regulation (EU)2018/2066.
The template is an active template and is adapted to the specific installation as the relevant activities are prefilled by the CA. Furthermore, when the operator answers some questions on the first page of the template, only the pages relevant for his/her specific installation is activated. In the template it is also given instructions to the operator what to fill in, with reference and link to the relevant articles in the MRR. The CA also developed an electronic template for emissions reporting for phase 3, in line with the requirements of regulation (EU) no 601/2012. This template has also been updated to be in line with the requirements of implementing regulation (EU)2018/2066. The reporting template is even more installation specific than the template for permit/mp. Relevant source streams, tiers and so on from the installation's monitoring plan are prefilled in reporting template.</t>
  </si>
  <si>
    <t>Q_5_2</t>
  </si>
  <si>
    <t>MeasuresStreamline</t>
  </si>
  <si>
    <t>MeasuresStreamlineYesNo</t>
  </si>
  <si>
    <t>MeasuresStreamlineComments</t>
  </si>
  <si>
    <t xml:space="preserve">EU ETS emission reporting and E-PRTR reports are both reported to the NEA, but to different sections (IED case handlers work in a different section than ETS case handlers). However, plausbility checks of the reports and internal follow up/dialogue between the different sections are performed. </t>
  </si>
  <si>
    <t>Q_5_3</t>
  </si>
  <si>
    <t>CommissionTemplatesMRR</t>
  </si>
  <si>
    <t>S05_MSCustomisedTemplatesMRR1</t>
  </si>
  <si>
    <t>SpecificTemplateOrFileFormat</t>
  </si>
  <si>
    <t>HowTemplateSpecific</t>
  </si>
  <si>
    <t>See explanation/specifications below the table</t>
  </si>
  <si>
    <t>We have used the Commission's template (i.e. not Member State specific)</t>
  </si>
  <si>
    <t>S05_MSCustomisedTemplatesMRR2</t>
  </si>
  <si>
    <t>ComplyMeasuresArt74</t>
  </si>
  <si>
    <t>For installations, we have developed a web application where the operator registers and submits monitoring plans and changes to these plans, and registers and submits annual emissions reports. The verification report is uploaded by the operator. The application uses the official Norwegian system for identification, authentication and authorization (http://eid.difi.en/id-porten and https://www.altinn.no/en/). There is no need for any exchange format, since the operator enters the data into our database (named "Forurensning"). The web application is also used by other business sectors. For instance, the operators register and submit annual emissions reports according to E-PRTR. To avoid overwriting, the system is role/status based, i.e. available for filling in information only for one party at a time: for status 1 (prefilling of template) and 3 (processing of application/emissions report), the template is only available for the Competent Authority. For status 2(filling out application/reporting emissions), the template is only available for the operator. The operator has to attach the verification report (i.e. a filled in version of the Commission's template) to the emission report when submitting it for approval through the IT template. Improvement reports (i.e. a filled in version of the Commission's template) are currently not a part of the IT template, and is therefore sent by the operator by e-mail or mail. For aircraft operators, we have not developed Member State specific templates or file formats.</t>
  </si>
  <si>
    <t>Q_5_4</t>
  </si>
  <si>
    <t>AutomatedSystemInformationExchange</t>
  </si>
  <si>
    <t>ComplyRequirementsArt75</t>
  </si>
  <si>
    <t>As mentioned under 5.3, we have developed an IT template for monitoring plans and emissions reporting for installations. Although it is not directly comparable with the EU ETS reporting language (i.e. we do not exchange data by using XML), the system complies with the requirements in Art 75; 1a) Since there is no exchange of data by using XML, there is no risk of modification of electronic messages during transmission 1b-c) The operator has to go through a two-step procedure to access the IT template. First, an assigned person for the operator has to log in at Altinn (the Norwegian public reporting portal) by using his personal identification code. Second, he has to choose what organization number he has been assigned to report for, and then he can open the template and fill inn information. This to secure both confidentiality and authenticity of data. 1d) Non-repudiation of data is secured by the status log in our database, in addition the assigned person for the operator receives a confirmation by e-mail when he has sent an application/emissions report through the IT template. 2a) Access control is described in question 5.3. 2b) Availability: Data Is stored in a SQL server 2012 database, together with many other datasets. We control the database. We use a Microsoft reporting tool to retrieve data. 2c) Audit trail: The database stores the official version of the data (monitoring plans and emissions reporting), together with a log file. Former versions of monitoring plans and rejected emissions reports are stored as PDFs in our official archive system.</t>
  </si>
  <si>
    <t>Q_5_5</t>
  </si>
  <si>
    <t>S05_InstallationFuelConsEmissions</t>
  </si>
  <si>
    <t>FuelConsumption</t>
  </si>
  <si>
    <t>decimal</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</si>
  <si>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</si>
  <si>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</si>
  <si>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</si>
  <si>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</si>
  <si>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</si>
  <si>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</si>
  <si>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</si>
  <si>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</si>
  <si>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</si>
  <si>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</si>
  <si>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</si>
  <si>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</si>
  <si>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Natural gas (from LNG)</t>
  </si>
  <si>
    <t>Acetylen</t>
  </si>
  <si>
    <t>Clay</t>
  </si>
  <si>
    <t>Coal</t>
  </si>
  <si>
    <t>Cover gas</t>
  </si>
  <si>
    <t>Diesel</t>
  </si>
  <si>
    <t>Electrode mass</t>
  </si>
  <si>
    <t>Electrodes</t>
  </si>
  <si>
    <t>Ethane</t>
  </si>
  <si>
    <t>Ferro manganese</t>
  </si>
  <si>
    <t>Ferrosilicon</t>
  </si>
  <si>
    <t>Flare gas</t>
  </si>
  <si>
    <t>Heavy fuel oil</t>
  </si>
  <si>
    <t>Iron</t>
  </si>
  <si>
    <t>Light fuel oil</t>
  </si>
  <si>
    <t>LVN (liquid virgin naphtha)</t>
  </si>
  <si>
    <t>Microsilica</t>
  </si>
  <si>
    <t>Natural gas (dry gas)</t>
  </si>
  <si>
    <t>Ore</t>
  </si>
  <si>
    <t>Other carbonates</t>
  </si>
  <si>
    <t>Paraffin</t>
  </si>
  <si>
    <t>Pellets</t>
  </si>
  <si>
    <t>Plastic</t>
  </si>
  <si>
    <t>Propane</t>
  </si>
  <si>
    <t>Scrap aluminium</t>
  </si>
  <si>
    <t>Silicon</t>
  </si>
  <si>
    <t xml:space="preserve">Silicon dioxide </t>
  </si>
  <si>
    <t>Silicon manganese</t>
  </si>
  <si>
    <t>Slag/sludge</t>
  </si>
  <si>
    <t>Soda</t>
  </si>
  <si>
    <t>Waste</t>
  </si>
  <si>
    <t>Waste oil</t>
  </si>
  <si>
    <t>Waste tyres</t>
  </si>
  <si>
    <t>Sludge</t>
  </si>
  <si>
    <t>Bio diesel</t>
  </si>
  <si>
    <t>Sealant</t>
  </si>
  <si>
    <t xml:space="preserve">Oilfield and gasfield gas </t>
  </si>
  <si>
    <t>Lime</t>
  </si>
  <si>
    <t>Refractories</t>
  </si>
  <si>
    <t>Tar</t>
  </si>
  <si>
    <t>VOC-gas</t>
  </si>
  <si>
    <t>Liquid waste</t>
  </si>
  <si>
    <t>InstallationNumber</t>
  </si>
  <si>
    <t>Q_5_8</t>
  </si>
  <si>
    <t>S05_InstallationDifferentSamplingFrequency</t>
  </si>
  <si>
    <t>SamplingFuelMaterial</t>
  </si>
  <si>
    <t>Oilfield and gasfield gas</t>
  </si>
  <si>
    <t>CountInstallationsDiffFrequency</t>
  </si>
  <si>
    <t>MajorSourceStreams</t>
  </si>
  <si>
    <t>SamplingPlanDocumented</t>
  </si>
  <si>
    <t>Q_5_9</t>
  </si>
  <si>
    <t>S05_CategoryCHighestTierNotApplied</t>
  </si>
  <si>
    <t>InstallationID</t>
  </si>
  <si>
    <t>92</t>
  </si>
  <si>
    <t>8</t>
  </si>
  <si>
    <t>47</t>
  </si>
  <si>
    <t>82</t>
  </si>
  <si>
    <t>83</t>
  </si>
  <si>
    <t>85</t>
  </si>
  <si>
    <t>86</t>
  </si>
  <si>
    <t>87</t>
  </si>
  <si>
    <t>204078</t>
  </si>
  <si>
    <t>SourceStreamAffected</t>
  </si>
  <si>
    <t>Fuel gas</t>
  </si>
  <si>
    <t>EmissionSourceAffected</t>
  </si>
  <si>
    <t>CO2 from the burning of coke in regenerating the catalytic cracker</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</si>
  <si>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</si>
  <si>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</si>
  <si>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</si>
  <si>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</si>
  <si>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</si>
  <si>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</si>
  <si>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</si>
  <si>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</si>
  <si>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</si>
  <si>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</si>
  <si>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</si>
  <si>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</si>
  <si>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</si>
  <si>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</si>
  <si>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</si>
  <si>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</si>
  <si>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</si>
  <si>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</si>
  <si>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</si>
  <si>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</si>
  <si>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</si>
  <si>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204085</t>
  </si>
  <si>
    <t>84</t>
  </si>
  <si>
    <t>InstallationIdReceiving</t>
  </si>
  <si>
    <t>44</t>
  </si>
  <si>
    <t>67</t>
  </si>
  <si>
    <t>19</t>
  </si>
  <si>
    <t>AmountCO2Transferred</t>
  </si>
  <si>
    <t>InherentCO2Received</t>
  </si>
  <si>
    <t>ReceivingInstallationType</t>
  </si>
  <si>
    <t>StorageSitePermitNumber</t>
  </si>
  <si>
    <t>2014.0150.T</t>
  </si>
  <si>
    <t>2014.0086.T</t>
  </si>
  <si>
    <t>Q_5_14</t>
  </si>
  <si>
    <t>ContinuousEmissionsMeasurement</t>
  </si>
  <si>
    <t>S05_ContinuousEmissionsMeasurementDetail</t>
  </si>
  <si>
    <t>InstallationIDCO2</t>
  </si>
  <si>
    <t>InstallationIDN2O</t>
  </si>
  <si>
    <t>109</t>
  </si>
  <si>
    <t>110</t>
  </si>
  <si>
    <t>TotalEmissionsCO2E</t>
  </si>
  <si>
    <t>ContinuousMeasurementTotalEmissions</t>
  </si>
  <si>
    <t>FlueGasContainBiomass</t>
  </si>
  <si>
    <t>Q_5_15</t>
  </si>
  <si>
    <t>SustainabilityComplianceDemonstrate</t>
  </si>
  <si>
    <t>For zero-rating of liquid/gaseous biomass, the operators have to demonstrate compliance with a national regulation (Product Regulation) by specific forms (certificates) to be checked by the verifier.</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</si>
  <si>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</si>
  <si>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</si>
  <si>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</si>
  <si>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</si>
  <si>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</si>
  <si>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</si>
  <si>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</si>
  <si>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</si>
  <si>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Q_5_17</t>
  </si>
  <si>
    <t>SimplifiedMonitoringArt13</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</si>
  <si>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</si>
  <si>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</si>
  <si>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</si>
  <si>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</si>
  <si>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</si>
  <si>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</si>
  <si>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</si>
  <si>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</si>
  <si>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</si>
  <si>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</si>
  <si>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</si>
  <si>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</si>
  <si>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</si>
  <si>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</si>
  <si>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</si>
  <si>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Q_5_23</t>
  </si>
  <si>
    <t>AircraftSimplifiedMonitoringArt13</t>
  </si>
  <si>
    <t>Q_6_1</t>
  </si>
  <si>
    <t>S06_TotalVerifiers</t>
  </si>
  <si>
    <t>CountVerifiersInstallations</t>
  </si>
  <si>
    <t>CountVerifiersAviation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</si>
  <si>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</si>
  <si>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</si>
  <si>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</si>
  <si>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</si>
  <si>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</si>
  <si>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</si>
  <si>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</si>
  <si>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</si>
  <si>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</si>
  <si>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</si>
  <si>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</si>
  <si>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</si>
  <si>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</si>
  <si>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</si>
  <si>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</si>
  <si>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</si>
  <si>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</si>
  <si>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</si>
  <si>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</si>
  <si>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S06_NegativeOpinionInstallations</t>
  </si>
  <si>
    <t>CountNegativeOpinions</t>
  </si>
  <si>
    <t>Q_6_4</t>
  </si>
  <si>
    <t>InstallationsVerificationReportIssues</t>
  </si>
  <si>
    <t>S06_InstallationsVerificationReportsIssueDetail</t>
  </si>
  <si>
    <t>AnnexIActivity</t>
  </si>
  <si>
    <t>32 - Manufacture of glass as specified in Annex I of Directive 2003/87/EC</t>
  </si>
  <si>
    <t xml:space="preserve">43 - Production of bulk organic chemicals as specified in Annex I of Directive 2003/87/EC </t>
  </si>
  <si>
    <t>30 - Production of cement clinker in rotary kilns as specified in Annex I of Directive 2003/87/ EC</t>
  </si>
  <si>
    <t>31 - Production of lime or calcination of dolomite or magnesite as specified in Annex I of Directive 2003/87/ EC</t>
  </si>
  <si>
    <t xml:space="preserve">37 - Production of paper or cardboard as specified in Annex I of Directive 2003/87/EC </t>
  </si>
  <si>
    <t>25 - Production of pig iron or steel as specified in Annex I of Directive 2003/87/EC</t>
  </si>
  <si>
    <t>TypeOfIssue</t>
  </si>
  <si>
    <t>Non-compliance with Implementing Regulation (EU) 2018/2067</t>
  </si>
  <si>
    <t>Non-compliance with Implementing Regulation (EU) 2018/2068</t>
  </si>
  <si>
    <t>Non-compliance with Implementing Regulation (EU) 2018/2069</t>
  </si>
  <si>
    <t>ShareOfReportsConservativeEstimate</t>
  </si>
  <si>
    <t>Q_6_5</t>
  </si>
  <si>
    <t>InstallationsVerificationReportChecks</t>
  </si>
  <si>
    <t>S06_InstallationsVerificationReportChecksDetail1</t>
  </si>
  <si>
    <t>PercentageShare</t>
  </si>
  <si>
    <t>FurtherInformation</t>
  </si>
  <si>
    <t>We have cross-checked with annual emission reports for previous reporting years.</t>
  </si>
  <si>
    <t>We have conducted a check of all emission reports by going through details connected to activity data and emission factors for all source streams and emission sources for each installation.</t>
  </si>
  <si>
    <t>SelectingCriteria</t>
  </si>
  <si>
    <t>S06_InstallationsVerificationReportChecksDetail2</t>
  </si>
  <si>
    <t>NumberOfReports</t>
  </si>
  <si>
    <t>None of the AERs have been rejected, but we have returned the AERs on three occasions for corrections by the operator/verifier due to minor inconsistencies in the reports. All three have been corrected by the operators, verified once more and have now been accepted by the CA.</t>
  </si>
  <si>
    <t>S06_InstallationsVerificationReportChecksDetail3</t>
  </si>
  <si>
    <t>ActionsTaken</t>
  </si>
  <si>
    <t>Dialogue/information exchange with operators and verifiers to explain confusing elements of the AERs/VRs. This dialogue has sometimes led to the submission of a new/updated report by the operator with corrected numbers.</t>
  </si>
  <si>
    <t>Q_6_6</t>
  </si>
  <si>
    <t>InstallationVisitsWaivedHighEmitters</t>
  </si>
  <si>
    <t>S06_InstallationsVisitsWaivedHighEmittersDetail</t>
  </si>
  <si>
    <t>ConditionForWaiving</t>
  </si>
  <si>
    <t>InstallationsVisitsWaivedLowEmitters</t>
  </si>
  <si>
    <t>InstallationsVisitsWaivedLowEmittersDetail</t>
  </si>
  <si>
    <t>Q_6_7</t>
  </si>
  <si>
    <t>VirtualVisitsInstallations</t>
  </si>
  <si>
    <t>S06_VirtualVisitsInstallationsDetails</t>
  </si>
  <si>
    <t>TypeForceMajeur</t>
  </si>
  <si>
    <t>Covid-19 pandemic</t>
  </si>
  <si>
    <t>NumberOfInstallationsVV</t>
  </si>
  <si>
    <t>AuthorityApproval</t>
  </si>
  <si>
    <t>ConfirmationConditionsMet</t>
  </si>
  <si>
    <t>Q_6_8</t>
  </si>
  <si>
    <t>S06_NegativeOpinionAircraft</t>
  </si>
  <si>
    <t>Q_6_9</t>
  </si>
  <si>
    <t>AircraftOperatorsVerificationReportIssues</t>
  </si>
  <si>
    <t>S06_AircraftOperatorsVerificationReportIssuesEmissions</t>
  </si>
  <si>
    <t>NumberOfAircraftOperators</t>
  </si>
  <si>
    <t>Q_6_10</t>
  </si>
  <si>
    <t>AircraftOperatorsVerificationReportChecks</t>
  </si>
  <si>
    <t>S06_AircraftOperatorsVerificationEmissionReportChecks1</t>
  </si>
  <si>
    <t>Eurocontrol data</t>
  </si>
  <si>
    <t>S06_AircraftOperatorsVerificationEmissionReportChecks2</t>
  </si>
  <si>
    <t>Q_6_11</t>
  </si>
  <si>
    <t>AircraftOperatorsVisitsWaivedLowEmitters</t>
  </si>
  <si>
    <t>Q_6_12</t>
  </si>
  <si>
    <t>VirtualVisitsAircraft</t>
  </si>
  <si>
    <t>S06_VirtualVisitsAircraftDetails</t>
  </si>
  <si>
    <t>NumberOfAirOperatorsVV</t>
  </si>
  <si>
    <t>Q_7_2</t>
  </si>
  <si>
    <t>S07_NoFurtherAllowancesSurrendered</t>
  </si>
  <si>
    <t>InstallationIDCode</t>
  </si>
  <si>
    <t>104</t>
  </si>
  <si>
    <t>209935</t>
  </si>
  <si>
    <t>206984</t>
  </si>
  <si>
    <t>98</t>
  </si>
  <si>
    <t>69</t>
  </si>
  <si>
    <t>14</t>
  </si>
  <si>
    <t>OperatorName</t>
  </si>
  <si>
    <t>Avinor AS</t>
  </si>
  <si>
    <t>Fluorsid Noralf AS</t>
  </si>
  <si>
    <t>Lundin Energy Norway AS</t>
  </si>
  <si>
    <t>Repsol Norge AS</t>
  </si>
  <si>
    <t>Statnett SF</t>
  </si>
  <si>
    <t>Vår Energi ASA</t>
  </si>
  <si>
    <t>InstallationName</t>
  </si>
  <si>
    <t>Oslo Lufthavn Gardermoen</t>
  </si>
  <si>
    <t>Fluorsid Noralf</t>
  </si>
  <si>
    <t>Brynhild</t>
  </si>
  <si>
    <t>Vargfeltet</t>
  </si>
  <si>
    <t>Tjeldbergodden reservekraftanlegg</t>
  </si>
  <si>
    <t>Jotun</t>
  </si>
  <si>
    <t>OutstandingAllowances</t>
  </si>
  <si>
    <t>ReasonNoFurtherAllowancesSurrendered</t>
  </si>
  <si>
    <t>The permit has been revoked</t>
  </si>
  <si>
    <t>Q_7_3</t>
  </si>
  <si>
    <t>AircraftOperatorsMandateArt15UseNumber</t>
  </si>
  <si>
    <t>Q_8_1</t>
  </si>
  <si>
    <t>CommissionTemplatesAllocation</t>
  </si>
  <si>
    <t>Q_8_2</t>
  </si>
  <si>
    <t>FeesAllocation</t>
  </si>
  <si>
    <t>S08_FeesAllocationDetail</t>
  </si>
  <si>
    <t>FeeAmount</t>
  </si>
  <si>
    <t>FeeOther</t>
  </si>
  <si>
    <t>Approval of ALC-reports</t>
  </si>
  <si>
    <t>Approval of aplications for allocations (incumbents and new entrants)</t>
  </si>
  <si>
    <t>Case handling of mergers and splits</t>
  </si>
  <si>
    <t>Q_8_3</t>
  </si>
  <si>
    <t>ITforAllocationData</t>
  </si>
  <si>
    <t>Q_8_4</t>
  </si>
  <si>
    <t>S08_RenunciationSuspensionAllowances</t>
  </si>
  <si>
    <t>Q_8_6</t>
  </si>
  <si>
    <t>S08_ScopeExclusion</t>
  </si>
  <si>
    <t>Q_8_7</t>
  </si>
  <si>
    <t>Article10cApplied</t>
  </si>
  <si>
    <t>Q_8_9</t>
  </si>
  <si>
    <t>BaselineDataIssues</t>
  </si>
  <si>
    <t>Q_8_10</t>
  </si>
  <si>
    <t>AdditionalParametersRequired</t>
  </si>
  <si>
    <t>Q_8_11</t>
  </si>
  <si>
    <t>PreliminaryActivityRequired</t>
  </si>
  <si>
    <t>Q_8_17</t>
  </si>
  <si>
    <t>S08_PenaltiesAllocation</t>
  </si>
  <si>
    <t>PrisonMax</t>
  </si>
  <si>
    <t>Q_8_18</t>
  </si>
  <si>
    <t>S08_InfringementsIncurredAllocation</t>
  </si>
  <si>
    <t>ActualFines</t>
  </si>
  <si>
    <t>ActualImprisonment</t>
  </si>
  <si>
    <t>ACtualOtherPenalties</t>
  </si>
  <si>
    <t>0</t>
  </si>
  <si>
    <t>OngoingProceedings</t>
  </si>
  <si>
    <t>PenaltyEnforcedWithinPeriod</t>
  </si>
  <si>
    <t>Q_9_1</t>
  </si>
  <si>
    <t>InstallationOperatorFees</t>
  </si>
  <si>
    <t>S09_InstallationOperatorFeesPermits</t>
  </si>
  <si>
    <t>FeesAmount</t>
  </si>
  <si>
    <t>S09_InstallationOperatorFeesSubsistence</t>
  </si>
  <si>
    <t>Q_9_2</t>
  </si>
  <si>
    <t>AircraftOperatorFees</t>
  </si>
  <si>
    <t>S09_AircraftOperatorFeesMonitoringPlans</t>
  </si>
  <si>
    <t>S09_AircraftOperatorFeesSubsistence</t>
  </si>
  <si>
    <t>FeesOther</t>
  </si>
  <si>
    <t>Approval of verified emissions report that is in line with the Monitoring and Reporting and Accreditation and Verification Regulations</t>
  </si>
  <si>
    <t>S09_RegistryAccountOneOffFees</t>
  </si>
  <si>
    <t>OneOffFeeReason</t>
  </si>
  <si>
    <t>Open account</t>
  </si>
  <si>
    <t>OneOffFeeAmount</t>
  </si>
  <si>
    <t>S09_RegistryAccountAnnualFees</t>
  </si>
  <si>
    <t>AnnualFeeReason</t>
  </si>
  <si>
    <t>Annual administration fee</t>
  </si>
  <si>
    <t>AnnualFeeAmount</t>
  </si>
  <si>
    <t>Q_10_1</t>
  </si>
  <si>
    <t>S10_InstallationsComplianceMeasures</t>
  </si>
  <si>
    <t>ComplianceMeasuresYesNo</t>
  </si>
  <si>
    <t>ComplianceMeasuresComment</t>
  </si>
  <si>
    <t>2</t>
  </si>
  <si>
    <t>For 2021 emissions: Information to operators</t>
  </si>
  <si>
    <t>Q_10_2</t>
  </si>
  <si>
    <t>S10_InstallationsInfringementPenalties</t>
  </si>
  <si>
    <t>InstallationsNationalLaw</t>
  </si>
  <si>
    <t>Greenhouse Gas Emission Trading Act</t>
  </si>
  <si>
    <t>Q_10_5</t>
  </si>
  <si>
    <t>S10_AircraftComplianceMeasures</t>
  </si>
  <si>
    <t>For 2021 emissions: Information to operators. For 2020 emissions: Information to operators.</t>
  </si>
  <si>
    <t>Q_10_6</t>
  </si>
  <si>
    <t>S10_AircraftInfringementPenalties</t>
  </si>
  <si>
    <t>OtherPenalty</t>
  </si>
  <si>
    <t>x</t>
  </si>
  <si>
    <t>AircraftNationalLaw</t>
  </si>
  <si>
    <t>Q_10_7</t>
  </si>
  <si>
    <t>AircraftPriorPenaltiesEnforced</t>
  </si>
  <si>
    <t>S10_AircraftPriorPenaltiesEnforcedDetail</t>
  </si>
  <si>
    <t>TypeInfringement</t>
  </si>
  <si>
    <t>100 euro penalty</t>
  </si>
  <si>
    <t>TypePenalty</t>
  </si>
  <si>
    <t>ReportinYear</t>
  </si>
  <si>
    <t>Q_10_8</t>
  </si>
  <si>
    <t>S10_AircraftPenalties</t>
  </si>
  <si>
    <t>AircraftID</t>
  </si>
  <si>
    <t>Q_10_9</t>
  </si>
  <si>
    <t>OperatingBanRequestMeasures</t>
  </si>
  <si>
    <t>We have not been in a situation where Norway would request an operation ban in accordance with article 16 (10). We therefore do not know what measures that would have to be taken.</t>
  </si>
  <si>
    <t>Q_11_1</t>
  </si>
  <si>
    <t>LegalNatureOfEmissionAllowance</t>
  </si>
  <si>
    <t>The tax authorities consider an allowance an immaterial right. In the VAT law, an emission allowances is considered as a service. The Market in Financial Instruments Directive (MiFID) has been implemented in Norwegian law (since 2018), and allowances are therefore considered as financial instruments.</t>
  </si>
  <si>
    <t>Q_11_2</t>
  </si>
  <si>
    <t>AccountingTreatmentOfEmissionAllowances</t>
  </si>
  <si>
    <t>This depends on whether emission allowances are allocated for free, have been purchased or sold. An allowance allocated for free is considered a taxable income. The value of an emission allowance allocated for free is set as the value of the allowance at the time of allocation. When an allowance is surrendered for compliance, its outgoing value is set to zero and the value at the time of allocation can be subtracted from the company's income. The value of an emission allowance purchased is accounted for based on the price at the time of purchasing.</t>
  </si>
  <si>
    <t>Q_11_3</t>
  </si>
  <si>
    <t>VATdueEmissionAllowancesIssuance</t>
  </si>
  <si>
    <t>ReverseChargeMechanismEmissionAllowances</t>
  </si>
  <si>
    <t>Q_11_4</t>
  </si>
  <si>
    <t>EmissionAllowancesTaxed</t>
  </si>
  <si>
    <t>S11_TypeOfTaxRatesApplied</t>
  </si>
  <si>
    <t>TypeOfTax</t>
  </si>
  <si>
    <t>VAT</t>
  </si>
  <si>
    <t>TaxRateApplied</t>
  </si>
  <si>
    <t>0.25</t>
  </si>
  <si>
    <t>Q_12_1</t>
  </si>
  <si>
    <t>S12_FraudFreeAllocationOfAllowances</t>
  </si>
  <si>
    <t>DetailsOfProceduresInNationalLaw</t>
  </si>
  <si>
    <t>Norwegian National Authority for Investigation and Prosecution of Economic and Environmental Crime</t>
  </si>
  <si>
    <t>Fraud punished by a maximum of six years imprisonment</t>
  </si>
  <si>
    <t>Q_12_2</t>
  </si>
  <si>
    <t>S12_CompetentAuthoritiesAwareOfFraud</t>
  </si>
  <si>
    <t>DetailsOfArrangementsAndProcedures</t>
  </si>
  <si>
    <t>As the competent authority and the national administrator of the Union Registry in Norway are located in the same unit in the NEA, there is frequent information exchange in all relevant cases, including any cases involving fraudulent activities.</t>
  </si>
  <si>
    <t>See answer above.</t>
  </si>
  <si>
    <t>Q_12_3</t>
  </si>
  <si>
    <t>S12_InformationOnFraudActivities</t>
  </si>
  <si>
    <t>NumberOfActivities</t>
  </si>
  <si>
    <t>Q_13_1</t>
  </si>
  <si>
    <t>S13_AnyOtherIssues</t>
  </si>
  <si>
    <t>OtherInformationOrIssues</t>
  </si>
  <si>
    <t xml:space="preserve">In former reporting years we have answered NO, however throughout phase 3 these deadlines have been included in our national legislation, i.e. no actual change in legislation has been made in 2021. </t>
  </si>
  <si>
    <t>Our aggregate data for installations that actually submitted an improvement report are not complete. Further on, we have accepted installations to correct non-conformities or recommendations for improvements by applying for an updated MP as an alternative to submitting an improvement report. For these reasons the number of received improvement reports registered are inaccurate, and they do not necessarily indicate a lack of follow-up.</t>
  </si>
  <si>
    <t xml:space="preserve">Installation ID84 has had a production stop in 2021. </t>
  </si>
  <si>
    <t xml:space="preserve">Unfortunately we do not have aggregate data to give numbers for energy content of fossil emissions. </t>
  </si>
  <si>
    <t>Unfortunately, we do not have aggregate data to answer this question. The reported data on EAF-codes are inaccurate and therefore not included in the report.</t>
  </si>
  <si>
    <t>table 2:
Annex I of AVR does not separate between different processes under eg. scope 3, i,e. accreditation is given for the whole activity scope 3 (Production of coke – Metal ore (including sulphide ore) roasting or sintering, including pelletisation – Production of pig iron or steel (primary or secondary fusion) including continuous casting), and we have therefore listed all these activities in the table since the verification bodies have been accredited for all of scope 3. The same methodology is reported for all scopes that include several activities.</t>
  </si>
  <si>
    <t xml:space="preserve">please note that the results are based on management reports received from 2/5 NABs.
Please also note that we on 24 June 2022 were informed that one of the three verification bodies accredited by Norwegian Accreditation as of that day has been suspended for all their activity scopes (1a,1b,2,10,11,98,8).  The other suspension concerns one verification body where activity 5 has been suspended voluntarily. </t>
  </si>
  <si>
    <t xml:space="preserve">Not all AERs for 2021 have been approved yet, but there's no known candidates for the need to make a conservative estimation of emissions in accordance with Article 70(1) of the MRR. </t>
  </si>
  <si>
    <t>Requirements applicable, including the common minimum security requirements for all users of the Union Registry, are listed in Norway's Greenhouse Gas Emissions Regulation.</t>
  </si>
  <si>
    <t>As explained in the report for 2020, there are nine different fee levels for fees, these are related to the work required for each case, and the rates of the different fee levels are annually adjusted. We have stated the most common used fee level for our case handling in this report.  This applies for all fees stated in this report.
Approval of significant changes of MMPs: we have not approved applications for significant changes of MMPs yet but are expecting that the most common fee for approval of such changes will be given at the rate stated under point 8.2.
Approval of ALC reports: we have not approved ALC reports for 2021 yet (see below under comments for Q 8.12-16, 8.18). However, based on fees charged for ALC reports for 2019, we are expecting that the most common fee for such approvals for the 2021 reports will be given at the rate stated under point 8.2.</t>
  </si>
  <si>
    <t>ALC reports are partially integrated in the same IT-reporting system used for application for permits and AERs (cf. our answers to Q 5.3 and 5.4), i.e. ALC and VR templates from the COM are filled in by the operator and verifier and thereafter uploaded in the IT-reporting system, with the same data flow steps as described under Q 5.3 and 5.4.</t>
  </si>
  <si>
    <t>At the time of this reporting we are reporting 0 for all the choices. However with respect to recovering of excess allowances we have several cases pending (as a result of our case handling of ALC reports for 2019/2020).</t>
  </si>
  <si>
    <t>Unfortunately, we do not have sufficient aggregate data to answer these questions.</t>
  </si>
  <si>
    <t xml:space="preserve">We have just finalized our work with NIM changes (BDR) and approval of ALC reports for 2019/2020, and have therefore not started processing ALC reports for 2021. At the MRAV/RegRev meeting on 18 May 2022, there was confusion about what ALC report (2019/2020 or 2021) was to be answered in this report. To our understanding, the conclusion was that it was the ALC reports for 2019/2020, and it was therefore surprising that when the Article 21 reporting for 2021 was opened for reporting on 16 June 2022, it was stated that it should include the results from ALC reports for 2021. 
Due to the limited time between the opening of the Article 21 report and the reporting deadline, we have therefore not been able to process aggregate data for the ALC reports for 2021 to answer these questions. </t>
  </si>
  <si>
    <t>fees for new entrant reserve application: we have stated 0 here, since such applications are covered by fees stated under Q8.2.</t>
  </si>
  <si>
    <t>QuestionnaireSubQuestion</t>
  </si>
  <si>
    <t>Q_13_2</t>
  </si>
  <si>
    <t>QuestionnaireFilledConfirmation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</si>
</sst>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1406"/>
  <sheetViews>
    <sheetView topLeftCell="A1378" workbookViewId="0">
      <selection activeCell="C1406" sqref="C1406"/>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1815</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2</v>
      </c>
      <c r="E10" t="s">
        <v>1447</v>
      </c>
      <c r="F10" t="s">
        <v>1814</v>
      </c>
      <c r="G10" t="s">
        <v>1797</v>
      </c>
      <c r="H10" t="s">
        <v>1816</v>
      </c>
      <c r="I10" t="s">
        <v>1799</v>
      </c>
      <c r="J10" t="s">
        <v>1799</v>
      </c>
      <c r="K10" t="s">
        <v>1799</v>
      </c>
      <c r="L10" t="s">
        <v>1799</v>
      </c>
      <c r="M10" t="s">
        <v>1799</v>
      </c>
      <c r="N10" t="s">
        <v>1799</v>
      </c>
      <c r="O10" s="184" t="str">
        <f>"["&amp;$C10&amp;"]["&amp;$D10&amp;"]["&amp;$F10&amp;"]"</f>
        <v>[S02_CompetentAuthority][2][CAName]</v>
      </c>
    </row>
    <row r="11" spans="1:18" x14ac:dyDescent="0.3">
      <c r="A11" t="s">
        <v>1793</v>
      </c>
      <c r="B11" t="s">
        <v>1812</v>
      </c>
      <c r="C11" t="s">
        <v>1813</v>
      </c>
      <c r="D11">
        <v>1</v>
      </c>
      <c r="E11" t="s">
        <v>1447</v>
      </c>
      <c r="F11" t="s">
        <v>1817</v>
      </c>
      <c r="G11" t="s">
        <v>1797</v>
      </c>
      <c r="H11" t="s">
        <v>1818</v>
      </c>
      <c r="I11" t="s">
        <v>1799</v>
      </c>
      <c r="J11" t="s">
        <v>1799</v>
      </c>
      <c r="K11" t="s">
        <v>1799</v>
      </c>
      <c r="L11" t="s">
        <v>1799</v>
      </c>
      <c r="M11" t="s">
        <v>1799</v>
      </c>
      <c r="N11" t="s">
        <v>1799</v>
      </c>
      <c r="O11" s="184" t="str">
        <f>"["&amp;$C11&amp;"]["&amp;$D11&amp;"]["&amp;$F11&amp;"]"</f>
        <v>[S02_CompetentAuthority][1][CAAbbreviation]</v>
      </c>
    </row>
    <row r="12" spans="1:18" x14ac:dyDescent="0.3">
      <c r="A12" t="s">
        <v>1793</v>
      </c>
      <c r="B12" t="s">
        <v>1812</v>
      </c>
      <c r="C12" t="s">
        <v>1813</v>
      </c>
      <c r="D12">
        <v>2</v>
      </c>
      <c r="E12" t="s">
        <v>1447</v>
      </c>
      <c r="F12" t="s">
        <v>1817</v>
      </c>
      <c r="G12" t="s">
        <v>1797</v>
      </c>
      <c r="H12" t="s">
        <v>1819</v>
      </c>
      <c r="I12" t="s">
        <v>1799</v>
      </c>
      <c r="J12" t="s">
        <v>1799</v>
      </c>
      <c r="K12" t="s">
        <v>1799</v>
      </c>
      <c r="L12" t="s">
        <v>1799</v>
      </c>
      <c r="M12" t="s">
        <v>1799</v>
      </c>
      <c r="N12" t="s">
        <v>1799</v>
      </c>
      <c r="O12" s="184" t="str">
        <f>"["&amp;$C12&amp;"]["&amp;$D12&amp;"]["&amp;$F12&amp;"]"</f>
        <v>[S02_CompetentAuthority][2][CAAbbreviation]</v>
      </c>
    </row>
    <row r="13" spans="1:18" x14ac:dyDescent="0.3">
      <c r="A13" t="s">
        <v>1793</v>
      </c>
      <c r="B13" t="s">
        <v>1812</v>
      </c>
      <c r="C13" t="s">
        <v>1813</v>
      </c>
      <c r="D13">
        <v>1</v>
      </c>
      <c r="E13" t="s">
        <v>1447</v>
      </c>
      <c r="F13" t="s">
        <v>1820</v>
      </c>
      <c r="G13" t="s">
        <v>1797</v>
      </c>
      <c r="H13" t="s">
        <v>1422</v>
      </c>
      <c r="I13" t="s">
        <v>1799</v>
      </c>
      <c r="J13" t="s">
        <v>1799</v>
      </c>
      <c r="K13" t="s">
        <v>1799</v>
      </c>
      <c r="L13" t="s">
        <v>1799</v>
      </c>
      <c r="M13" t="s">
        <v>1799</v>
      </c>
      <c r="N13" t="s">
        <v>1799</v>
      </c>
      <c r="O13" s="184" t="str">
        <f>"["&amp;$C13&amp;"]["&amp;$D13&amp;"]["&amp;$F13&amp;"]"</f>
        <v>[S02_CompetentAuthority][1][CAType]</v>
      </c>
    </row>
    <row r="14" spans="1:18" x14ac:dyDescent="0.3">
      <c r="A14" t="s">
        <v>1793</v>
      </c>
      <c r="B14" t="s">
        <v>1812</v>
      </c>
      <c r="C14" t="s">
        <v>1813</v>
      </c>
      <c r="D14">
        <v>2</v>
      </c>
      <c r="E14" t="s">
        <v>1447</v>
      </c>
      <c r="F14" t="s">
        <v>1820</v>
      </c>
      <c r="G14" t="s">
        <v>1797</v>
      </c>
      <c r="H14" t="s">
        <v>1422</v>
      </c>
      <c r="I14" t="s">
        <v>1799</v>
      </c>
      <c r="J14" t="s">
        <v>1799</v>
      </c>
      <c r="K14" t="s">
        <v>1799</v>
      </c>
      <c r="L14" t="s">
        <v>1799</v>
      </c>
      <c r="M14" t="s">
        <v>1799</v>
      </c>
      <c r="N14" t="s">
        <v>1799</v>
      </c>
      <c r="O14" s="184" t="str">
        <f>"["&amp;$C14&amp;"]["&amp;$D14&amp;"]["&amp;$F14&amp;"]"</f>
        <v>[S02_CompetentAuthority][2][CAType]</v>
      </c>
    </row>
    <row r="15" spans="1:18" x14ac:dyDescent="0.3">
      <c r="A15" t="s">
        <v>1793</v>
      </c>
      <c r="B15" t="s">
        <v>1812</v>
      </c>
      <c r="C15" t="s">
        <v>1813</v>
      </c>
      <c r="D15">
        <v>1</v>
      </c>
      <c r="E15" t="s">
        <v>1447</v>
      </c>
      <c r="F15" t="s">
        <v>1821</v>
      </c>
      <c r="G15" t="s">
        <v>1797</v>
      </c>
      <c r="H15" t="s">
        <v>1822</v>
      </c>
      <c r="I15" t="s">
        <v>1799</v>
      </c>
      <c r="J15" t="s">
        <v>1799</v>
      </c>
      <c r="K15" t="s">
        <v>1799</v>
      </c>
      <c r="L15" t="s">
        <v>1799</v>
      </c>
      <c r="M15" t="s">
        <v>1799</v>
      </c>
      <c r="N15" t="s">
        <v>1799</v>
      </c>
      <c r="O15" s="184" t="str">
        <f>"["&amp;$C15&amp;"]["&amp;$D15&amp;"]["&amp;$F15&amp;"]"</f>
        <v>[S02_CompetentAuthority][1][CANumber]</v>
      </c>
    </row>
    <row r="16" spans="1:18" x14ac:dyDescent="0.3">
      <c r="A16" t="s">
        <v>1793</v>
      </c>
      <c r="B16" t="s">
        <v>1812</v>
      </c>
      <c r="C16" t="s">
        <v>1813</v>
      </c>
      <c r="D16">
        <v>2</v>
      </c>
      <c r="E16" t="s">
        <v>1447</v>
      </c>
      <c r="F16" t="s">
        <v>1821</v>
      </c>
      <c r="G16" t="s">
        <v>1797</v>
      </c>
      <c r="H16" t="s">
        <v>1822</v>
      </c>
      <c r="I16" t="s">
        <v>1799</v>
      </c>
      <c r="J16" t="s">
        <v>1799</v>
      </c>
      <c r="K16" t="s">
        <v>1799</v>
      </c>
      <c r="L16" t="s">
        <v>1799</v>
      </c>
      <c r="M16" t="s">
        <v>1799</v>
      </c>
      <c r="N16" t="s">
        <v>1799</v>
      </c>
      <c r="O16" s="184" t="str">
        <f>"["&amp;$C16&amp;"]["&amp;$D16&amp;"]["&amp;$F16&amp;"]"</f>
        <v>[S02_CompetentAuthority][2][CANumber]</v>
      </c>
    </row>
    <row r="17" spans="1:15" x14ac:dyDescent="0.3">
      <c r="A17" t="s">
        <v>1793</v>
      </c>
      <c r="B17" t="s">
        <v>1812</v>
      </c>
      <c r="C17" t="s">
        <v>1813</v>
      </c>
      <c r="D17">
        <v>1</v>
      </c>
      <c r="E17" t="s">
        <v>1447</v>
      </c>
      <c r="F17" t="s">
        <v>1823</v>
      </c>
      <c r="G17" t="s">
        <v>1797</v>
      </c>
      <c r="H17" t="s">
        <v>1824</v>
      </c>
      <c r="I17" t="s">
        <v>1799</v>
      </c>
      <c r="J17" t="s">
        <v>1799</v>
      </c>
      <c r="K17" t="s">
        <v>1799</v>
      </c>
      <c r="L17" t="s">
        <v>1799</v>
      </c>
      <c r="M17" t="s">
        <v>1799</v>
      </c>
      <c r="N17" t="s">
        <v>1799</v>
      </c>
      <c r="O17" s="184" t="str">
        <f>"["&amp;$C17&amp;"]["&amp;$D17&amp;"]["&amp;$F17&amp;"]"</f>
        <v>[S02_CompetentAuthority][1][CATelephone]</v>
      </c>
    </row>
    <row r="18" spans="1:15" x14ac:dyDescent="0.3">
      <c r="A18" t="s">
        <v>1793</v>
      </c>
      <c r="B18" t="s">
        <v>1812</v>
      </c>
      <c r="C18" t="s">
        <v>1813</v>
      </c>
      <c r="D18">
        <v>2</v>
      </c>
      <c r="E18" t="s">
        <v>1447</v>
      </c>
      <c r="F18" t="s">
        <v>1823</v>
      </c>
      <c r="G18" t="s">
        <v>1797</v>
      </c>
      <c r="H18" t="s">
        <v>1825</v>
      </c>
      <c r="I18" t="s">
        <v>1799</v>
      </c>
      <c r="J18" t="s">
        <v>1799</v>
      </c>
      <c r="K18" t="s">
        <v>1799</v>
      </c>
      <c r="L18" t="s">
        <v>1799</v>
      </c>
      <c r="M18" t="s">
        <v>1799</v>
      </c>
      <c r="N18" t="s">
        <v>1799</v>
      </c>
      <c r="O18" s="184" t="str">
        <f>"["&amp;$C18&amp;"]["&amp;$D18&amp;"]["&amp;$F18&amp;"]"</f>
        <v>[S02_CompetentAuthority][2][CATelephone]</v>
      </c>
    </row>
    <row r="19" spans="1:15" x14ac:dyDescent="0.3">
      <c r="A19" t="s">
        <v>1793</v>
      </c>
      <c r="B19" t="s">
        <v>1812</v>
      </c>
      <c r="C19" t="s">
        <v>1813</v>
      </c>
      <c r="D19">
        <v>1</v>
      </c>
      <c r="E19" t="s">
        <v>1447</v>
      </c>
      <c r="F19" t="s">
        <v>1826</v>
      </c>
      <c r="G19" t="s">
        <v>1797</v>
      </c>
      <c r="H19" t="s">
        <v>1827</v>
      </c>
      <c r="I19" t="s">
        <v>1799</v>
      </c>
      <c r="J19" t="s">
        <v>1799</v>
      </c>
      <c r="K19" t="s">
        <v>1799</v>
      </c>
      <c r="L19" t="s">
        <v>1799</v>
      </c>
      <c r="M19" t="s">
        <v>1799</v>
      </c>
      <c r="N19" t="s">
        <v>1799</v>
      </c>
      <c r="O19" s="184" t="str">
        <f>"["&amp;$C19&amp;"]["&amp;$D19&amp;"]["&amp;$F19&amp;"]"</f>
        <v>[S02_CompetentAuthority][1][CAEmail]</v>
      </c>
    </row>
    <row r="20" spans="1:15" x14ac:dyDescent="0.3">
      <c r="A20" t="s">
        <v>1793</v>
      </c>
      <c r="B20" t="s">
        <v>1812</v>
      </c>
      <c r="C20" t="s">
        <v>1813</v>
      </c>
      <c r="D20">
        <v>2</v>
      </c>
      <c r="E20" t="s">
        <v>1447</v>
      </c>
      <c r="F20" t="s">
        <v>1826</v>
      </c>
      <c r="G20" t="s">
        <v>1797</v>
      </c>
      <c r="H20" t="s">
        <v>1828</v>
      </c>
      <c r="I20" t="s">
        <v>1799</v>
      </c>
      <c r="J20" t="s">
        <v>1799</v>
      </c>
      <c r="K20" t="s">
        <v>1799</v>
      </c>
      <c r="L20" t="s">
        <v>1799</v>
      </c>
      <c r="M20" t="s">
        <v>1799</v>
      </c>
      <c r="N20" t="s">
        <v>1799</v>
      </c>
      <c r="O20" s="184" t="str">
        <f>"["&amp;$C20&amp;"]["&amp;$D20&amp;"]["&amp;$F20&amp;"]"</f>
        <v>[S02_CompetentAuthority][2][CAEmail]</v>
      </c>
    </row>
    <row r="21" spans="1:15" x14ac:dyDescent="0.3">
      <c r="A21" t="s">
        <v>1793</v>
      </c>
      <c r="B21" t="s">
        <v>1812</v>
      </c>
      <c r="C21" t="s">
        <v>1813</v>
      </c>
      <c r="D21">
        <v>1</v>
      </c>
      <c r="E21" t="s">
        <v>1447</v>
      </c>
      <c r="F21" t="s">
        <v>1829</v>
      </c>
      <c r="G21" t="s">
        <v>1797</v>
      </c>
      <c r="H21" t="s">
        <v>1830</v>
      </c>
      <c r="I21" t="s">
        <v>1799</v>
      </c>
      <c r="J21" t="s">
        <v>1799</v>
      </c>
      <c r="K21" t="s">
        <v>1799</v>
      </c>
      <c r="L21" t="s">
        <v>1799</v>
      </c>
      <c r="M21" t="s">
        <v>1799</v>
      </c>
      <c r="N21" t="s">
        <v>1799</v>
      </c>
      <c r="O21" s="184" t="str">
        <f>"["&amp;$C21&amp;"]["&amp;$D21&amp;"]["&amp;$F21&amp;"]"</f>
        <v>[S02_CompetentAuthority][1][CAWebsite]</v>
      </c>
    </row>
    <row r="22" spans="1:15" x14ac:dyDescent="0.3">
      <c r="A22" t="s">
        <v>1793</v>
      </c>
      <c r="B22" t="s">
        <v>1812</v>
      </c>
      <c r="C22" t="s">
        <v>1813</v>
      </c>
      <c r="D22">
        <v>2</v>
      </c>
      <c r="E22" t="s">
        <v>1447</v>
      </c>
      <c r="F22" t="s">
        <v>1829</v>
      </c>
      <c r="G22" t="s">
        <v>1797</v>
      </c>
      <c r="H22" t="s">
        <v>1831</v>
      </c>
      <c r="I22" t="s">
        <v>1799</v>
      </c>
      <c r="J22" t="s">
        <v>1799</v>
      </c>
      <c r="K22" t="s">
        <v>1799</v>
      </c>
      <c r="L22" t="s">
        <v>1799</v>
      </c>
      <c r="M22" t="s">
        <v>1799</v>
      </c>
      <c r="N22" t="s">
        <v>1799</v>
      </c>
      <c r="O22" s="184" t="str">
        <f>"["&amp;$C22&amp;"]["&amp;$D22&amp;"]["&amp;$F22&amp;"]"</f>
        <v>[S02_CompetentAuthority][2][CAWebsite]</v>
      </c>
    </row>
    <row r="23" spans="1:15" x14ac:dyDescent="0.3">
      <c r="A23" t="s">
        <v>1793</v>
      </c>
      <c r="B23" t="s">
        <v>1812</v>
      </c>
      <c r="C23" t="s">
        <v>1832</v>
      </c>
      <c r="D23">
        <v>0</v>
      </c>
      <c r="E23" t="s">
        <v>1447</v>
      </c>
      <c r="F23" t="s">
        <v>1832</v>
      </c>
      <c r="G23" t="s">
        <v>1833</v>
      </c>
      <c r="H23" t="s">
        <v>1799</v>
      </c>
      <c r="I23" t="s">
        <v>1799</v>
      </c>
      <c r="J23" t="s">
        <v>1799</v>
      </c>
      <c r="K23" t="s">
        <v>1799</v>
      </c>
      <c r="L23" t="s">
        <v>1419</v>
      </c>
      <c r="M23" t="s">
        <v>1799</v>
      </c>
      <c r="N23" t="s">
        <v>1799</v>
      </c>
      <c r="O23" s="184" t="str">
        <f>"["&amp;$C23&amp;"]["&amp;$D23&amp;"]["&amp;$F23&amp;"]"</f>
        <v>[S02_AccreditationBodyYesNo][0][S02_AccreditationBodyYesNo]</v>
      </c>
    </row>
    <row r="24" spans="1:15" x14ac:dyDescent="0.3">
      <c r="A24" t="s">
        <v>1793</v>
      </c>
      <c r="B24" t="s">
        <v>1812</v>
      </c>
      <c r="C24" t="s">
        <v>1834</v>
      </c>
      <c r="D24">
        <v>1</v>
      </c>
      <c r="E24" t="s">
        <v>1447</v>
      </c>
      <c r="F24" t="s">
        <v>1835</v>
      </c>
      <c r="G24" t="s">
        <v>1797</v>
      </c>
      <c r="H24" t="s">
        <v>1836</v>
      </c>
      <c r="I24" t="s">
        <v>1799</v>
      </c>
      <c r="J24" t="s">
        <v>1799</v>
      </c>
      <c r="K24" t="s">
        <v>1799</v>
      </c>
      <c r="L24" t="s">
        <v>1799</v>
      </c>
      <c r="M24" t="s">
        <v>1799</v>
      </c>
      <c r="N24" t="s">
        <v>1799</v>
      </c>
      <c r="O24" s="184" t="str">
        <f>"["&amp;$C24&amp;"]["&amp;$D24&amp;"]["&amp;$F24&amp;"]"</f>
        <v>[S02_AccreditationBody][1][AccBodyName]</v>
      </c>
    </row>
    <row r="25" spans="1:15" x14ac:dyDescent="0.3">
      <c r="A25" t="s">
        <v>1793</v>
      </c>
      <c r="B25" t="s">
        <v>1812</v>
      </c>
      <c r="C25" t="s">
        <v>1834</v>
      </c>
      <c r="D25">
        <v>1</v>
      </c>
      <c r="E25" t="s">
        <v>1447</v>
      </c>
      <c r="F25" t="s">
        <v>1837</v>
      </c>
      <c r="G25" t="s">
        <v>1797</v>
      </c>
      <c r="H25" t="s">
        <v>1755</v>
      </c>
      <c r="I25" t="s">
        <v>1799</v>
      </c>
      <c r="J25" t="s">
        <v>1799</v>
      </c>
      <c r="K25" t="s">
        <v>1799</v>
      </c>
      <c r="L25" t="s">
        <v>1799</v>
      </c>
      <c r="M25" t="s">
        <v>1799</v>
      </c>
      <c r="N25" t="s">
        <v>1799</v>
      </c>
      <c r="O25" s="184" t="str">
        <f>"["&amp;$C25&amp;"]["&amp;$D25&amp;"]["&amp;$F25&amp;"]"</f>
        <v>[S02_AccreditationBody][1][AccBodyAbbreviation]</v>
      </c>
    </row>
    <row r="26" spans="1:15" x14ac:dyDescent="0.3">
      <c r="A26" t="s">
        <v>1793</v>
      </c>
      <c r="B26" t="s">
        <v>1812</v>
      </c>
      <c r="C26" t="s">
        <v>1834</v>
      </c>
      <c r="D26">
        <v>1</v>
      </c>
      <c r="E26" t="s">
        <v>1447</v>
      </c>
      <c r="F26" t="s">
        <v>1838</v>
      </c>
      <c r="G26" t="s">
        <v>1797</v>
      </c>
      <c r="H26" t="s">
        <v>1839</v>
      </c>
      <c r="I26" t="s">
        <v>1799</v>
      </c>
      <c r="J26" t="s">
        <v>1799</v>
      </c>
      <c r="K26" t="s">
        <v>1799</v>
      </c>
      <c r="L26" t="s">
        <v>1799</v>
      </c>
      <c r="M26" t="s">
        <v>1799</v>
      </c>
      <c r="N26" t="s">
        <v>1799</v>
      </c>
      <c r="O26" s="184" t="str">
        <f>"["&amp;$C26&amp;"]["&amp;$D26&amp;"]["&amp;$F26&amp;"]"</f>
        <v>[S02_AccreditationBody][1][AccBodyTelephone]</v>
      </c>
    </row>
    <row r="27" spans="1:15" x14ac:dyDescent="0.3">
      <c r="A27" t="s">
        <v>1793</v>
      </c>
      <c r="B27" t="s">
        <v>1812</v>
      </c>
      <c r="C27" t="s">
        <v>1834</v>
      </c>
      <c r="D27">
        <v>1</v>
      </c>
      <c r="E27" t="s">
        <v>1447</v>
      </c>
      <c r="F27" t="s">
        <v>1840</v>
      </c>
      <c r="G27" t="s">
        <v>1797</v>
      </c>
      <c r="H27" t="s">
        <v>1841</v>
      </c>
      <c r="I27" t="s">
        <v>1799</v>
      </c>
      <c r="J27" t="s">
        <v>1799</v>
      </c>
      <c r="K27" t="s">
        <v>1799</v>
      </c>
      <c r="L27" t="s">
        <v>1799</v>
      </c>
      <c r="M27" t="s">
        <v>1799</v>
      </c>
      <c r="N27" t="s">
        <v>1799</v>
      </c>
      <c r="O27" s="184" t="str">
        <f>"["&amp;$C27&amp;"]["&amp;$D27&amp;"]["&amp;$F27&amp;"]"</f>
        <v>[S02_AccreditationBody][1][AccBodyEmail]</v>
      </c>
    </row>
    <row r="28" spans="1:15" x14ac:dyDescent="0.3">
      <c r="A28" t="s">
        <v>1793</v>
      </c>
      <c r="B28" t="s">
        <v>1812</v>
      </c>
      <c r="C28" t="s">
        <v>1834</v>
      </c>
      <c r="D28">
        <v>1</v>
      </c>
      <c r="E28" t="s">
        <v>1447</v>
      </c>
      <c r="F28" t="s">
        <v>1842</v>
      </c>
      <c r="G28" t="s">
        <v>1797</v>
      </c>
      <c r="H28" t="s">
        <v>1843</v>
      </c>
      <c r="I28" t="s">
        <v>1799</v>
      </c>
      <c r="J28" t="s">
        <v>1799</v>
      </c>
      <c r="K28" t="s">
        <v>1799</v>
      </c>
      <c r="L28" t="s">
        <v>1799</v>
      </c>
      <c r="M28" t="s">
        <v>1799</v>
      </c>
      <c r="N28" t="s">
        <v>1799</v>
      </c>
      <c r="O28" s="184" t="str">
        <f>"["&amp;$C28&amp;"]["&amp;$D28&amp;"]["&amp;$F28&amp;"]"</f>
        <v>[S02_AccreditationBody][1][AccBodyWebsite]</v>
      </c>
    </row>
    <row r="29" spans="1:15" x14ac:dyDescent="0.3">
      <c r="A29" t="s">
        <v>1793</v>
      </c>
      <c r="B29" t="s">
        <v>1812</v>
      </c>
      <c r="C29" t="s">
        <v>1844</v>
      </c>
      <c r="D29">
        <v>0</v>
      </c>
      <c r="E29" t="s">
        <v>1447</v>
      </c>
      <c r="F29" t="s">
        <v>1844</v>
      </c>
      <c r="G29" t="s">
        <v>1833</v>
      </c>
      <c r="H29" t="s">
        <v>1799</v>
      </c>
      <c r="I29" t="s">
        <v>1799</v>
      </c>
      <c r="J29" t="s">
        <v>1799</v>
      </c>
      <c r="K29" t="s">
        <v>1799</v>
      </c>
      <c r="L29" t="s">
        <v>1447</v>
      </c>
      <c r="M29" t="s">
        <v>1799</v>
      </c>
      <c r="N29" t="s">
        <v>1799</v>
      </c>
      <c r="O29" s="184" t="str">
        <f>"["&amp;$C29&amp;"]["&amp;$D29&amp;"]["&amp;$F29&amp;"]"</f>
        <v>[CertificationBodySetUp][0][CertificationBodySetUp]</v>
      </c>
    </row>
    <row r="30" spans="1:15" x14ac:dyDescent="0.3">
      <c r="A30" t="s">
        <v>1793</v>
      </c>
      <c r="B30" t="s">
        <v>1812</v>
      </c>
      <c r="C30" t="s">
        <v>1845</v>
      </c>
      <c r="D30">
        <v>1</v>
      </c>
      <c r="E30" t="s">
        <v>1447</v>
      </c>
      <c r="F30" t="s">
        <v>1846</v>
      </c>
      <c r="G30" t="s">
        <v>1797</v>
      </c>
      <c r="H30" t="s">
        <v>1847</v>
      </c>
      <c r="I30" t="s">
        <v>1799</v>
      </c>
      <c r="J30" t="s">
        <v>1799</v>
      </c>
      <c r="K30" t="s">
        <v>1799</v>
      </c>
      <c r="L30" t="s">
        <v>1799</v>
      </c>
      <c r="M30" t="s">
        <v>1799</v>
      </c>
      <c r="N30" t="s">
        <v>1799</v>
      </c>
      <c r="O30" s="184" t="str">
        <f>"["&amp;$C30&amp;"]["&amp;$D30&amp;"]["&amp;$F30&amp;"]"</f>
        <v>[S02_RegistryAdministrator][1][RegAdminName]</v>
      </c>
    </row>
    <row r="31" spans="1:15" x14ac:dyDescent="0.3">
      <c r="A31" t="s">
        <v>1793</v>
      </c>
      <c r="B31" t="s">
        <v>1812</v>
      </c>
      <c r="C31" t="s">
        <v>1845</v>
      </c>
      <c r="D31">
        <v>1</v>
      </c>
      <c r="E31" t="s">
        <v>1447</v>
      </c>
      <c r="F31" t="s">
        <v>1848</v>
      </c>
      <c r="G31" t="s">
        <v>1797</v>
      </c>
      <c r="H31" t="s">
        <v>1818</v>
      </c>
      <c r="I31" t="s">
        <v>1799</v>
      </c>
      <c r="J31" t="s">
        <v>1799</v>
      </c>
      <c r="K31" t="s">
        <v>1799</v>
      </c>
      <c r="L31" t="s">
        <v>1799</v>
      </c>
      <c r="M31" t="s">
        <v>1799</v>
      </c>
      <c r="N31" t="s">
        <v>1799</v>
      </c>
      <c r="O31" s="184" t="str">
        <f>"["&amp;$C31&amp;"]["&amp;$D31&amp;"]["&amp;$F31&amp;"]"</f>
        <v>[S02_RegistryAdministrator][1][RegAdminAbbreviation]</v>
      </c>
    </row>
    <row r="32" spans="1:15" x14ac:dyDescent="0.3">
      <c r="A32" t="s">
        <v>1793</v>
      </c>
      <c r="B32" t="s">
        <v>1812</v>
      </c>
      <c r="C32" t="s">
        <v>1845</v>
      </c>
      <c r="D32">
        <v>1</v>
      </c>
      <c r="E32" t="s">
        <v>1447</v>
      </c>
      <c r="F32" t="s">
        <v>1849</v>
      </c>
      <c r="G32" t="s">
        <v>1797</v>
      </c>
      <c r="H32" t="s">
        <v>1850</v>
      </c>
      <c r="I32" t="s">
        <v>1799</v>
      </c>
      <c r="J32" t="s">
        <v>1799</v>
      </c>
      <c r="K32" t="s">
        <v>1799</v>
      </c>
      <c r="L32" t="s">
        <v>1799</v>
      </c>
      <c r="M32" t="s">
        <v>1799</v>
      </c>
      <c r="N32" t="s">
        <v>1799</v>
      </c>
      <c r="O32" s="184" t="str">
        <f>"["&amp;$C32&amp;"]["&amp;$D32&amp;"]["&amp;$F32&amp;"]"</f>
        <v>[S02_RegistryAdministrator][1][RegAdminEmail]</v>
      </c>
    </row>
    <row r="33" spans="1:15" x14ac:dyDescent="0.3">
      <c r="A33" t="s">
        <v>1793</v>
      </c>
      <c r="B33" t="s">
        <v>1812</v>
      </c>
      <c r="C33" t="s">
        <v>1845</v>
      </c>
      <c r="D33">
        <v>1</v>
      </c>
      <c r="E33" t="s">
        <v>1447</v>
      </c>
      <c r="F33" t="s">
        <v>1851</v>
      </c>
      <c r="G33" t="s">
        <v>1797</v>
      </c>
      <c r="H33" t="s">
        <v>1852</v>
      </c>
      <c r="I33" t="s">
        <v>1799</v>
      </c>
      <c r="J33" t="s">
        <v>1799</v>
      </c>
      <c r="K33" t="s">
        <v>1799</v>
      </c>
      <c r="L33" t="s">
        <v>1799</v>
      </c>
      <c r="M33" t="s">
        <v>1799</v>
      </c>
      <c r="N33" t="s">
        <v>1799</v>
      </c>
      <c r="O33" s="184" t="str">
        <f>"["&amp;$C33&amp;"]["&amp;$D33&amp;"]["&amp;$F33&amp;"]"</f>
        <v>[S02_RegistryAdministrator][1][RegAdminWebsite]</v>
      </c>
    </row>
    <row r="34" spans="1:15" x14ac:dyDescent="0.3">
      <c r="A34" t="s">
        <v>1793</v>
      </c>
      <c r="B34" t="s">
        <v>1853</v>
      </c>
      <c r="C34" t="s">
        <v>1854</v>
      </c>
      <c r="D34">
        <v>1</v>
      </c>
      <c r="E34" t="s">
        <v>1447</v>
      </c>
      <c r="F34" t="s">
        <v>1855</v>
      </c>
      <c r="G34" t="s">
        <v>1797</v>
      </c>
      <c r="H34" t="s">
        <v>1818</v>
      </c>
      <c r="I34" t="s">
        <v>1799</v>
      </c>
      <c r="J34" t="s">
        <v>1799</v>
      </c>
      <c r="K34" t="s">
        <v>1799</v>
      </c>
      <c r="L34" t="s">
        <v>1799</v>
      </c>
      <c r="M34" t="s">
        <v>1799</v>
      </c>
      <c r="N34" t="s">
        <v>1799</v>
      </c>
      <c r="O34" s="184" t="str">
        <f>"["&amp;$C34&amp;"]["&amp;$D34&amp;"]["&amp;$F34&amp;"]"</f>
        <v>[S02_CompetentAuthorityRoles][1][CAForInstallationTask]</v>
      </c>
    </row>
    <row r="35" spans="1:15" x14ac:dyDescent="0.3">
      <c r="A35" t="s">
        <v>1793</v>
      </c>
      <c r="B35" t="s">
        <v>1853</v>
      </c>
      <c r="C35" t="s">
        <v>1854</v>
      </c>
      <c r="D35">
        <v>2</v>
      </c>
      <c r="E35" t="s">
        <v>1447</v>
      </c>
      <c r="F35" t="s">
        <v>1855</v>
      </c>
      <c r="G35" t="s">
        <v>1797</v>
      </c>
      <c r="H35" t="s">
        <v>1818</v>
      </c>
      <c r="I35" t="s">
        <v>1799</v>
      </c>
      <c r="J35" t="s">
        <v>1799</v>
      </c>
      <c r="K35" t="s">
        <v>1799</v>
      </c>
      <c r="L35" t="s">
        <v>1799</v>
      </c>
      <c r="M35" t="s">
        <v>1799</v>
      </c>
      <c r="N35" t="s">
        <v>1799</v>
      </c>
      <c r="O35" s="184" t="str">
        <f>"["&amp;$C35&amp;"]["&amp;$D35&amp;"]["&amp;$F35&amp;"]"</f>
        <v>[S02_CompetentAuthorityRoles][2][CAForInstallationTask]</v>
      </c>
    </row>
    <row r="36" spans="1:15" x14ac:dyDescent="0.3">
      <c r="A36" t="s">
        <v>1793</v>
      </c>
      <c r="B36" t="s">
        <v>1853</v>
      </c>
      <c r="C36" t="s">
        <v>1854</v>
      </c>
      <c r="D36">
        <v>3</v>
      </c>
      <c r="E36" t="s">
        <v>1447</v>
      </c>
      <c r="F36" t="s">
        <v>1855</v>
      </c>
      <c r="G36" t="s">
        <v>1797</v>
      </c>
      <c r="H36" t="s">
        <v>1818</v>
      </c>
      <c r="I36" t="s">
        <v>1799</v>
      </c>
      <c r="J36" t="s">
        <v>1799</v>
      </c>
      <c r="K36" t="s">
        <v>1799</v>
      </c>
      <c r="L36" t="s">
        <v>1799</v>
      </c>
      <c r="M36" t="s">
        <v>1799</v>
      </c>
      <c r="N36" t="s">
        <v>1799</v>
      </c>
      <c r="O36" s="184" t="str">
        <f>"["&amp;$C36&amp;"]["&amp;$D36&amp;"]["&amp;$F36&amp;"]"</f>
        <v>[S02_CompetentAuthorityRoles][3][CAForInstallationTask]</v>
      </c>
    </row>
    <row r="37" spans="1:15" x14ac:dyDescent="0.3">
      <c r="A37" t="s">
        <v>1793</v>
      </c>
      <c r="B37" t="s">
        <v>1853</v>
      </c>
      <c r="C37" t="s">
        <v>1854</v>
      </c>
      <c r="D37">
        <v>4</v>
      </c>
      <c r="E37" t="s">
        <v>1447</v>
      </c>
      <c r="F37" t="s">
        <v>1855</v>
      </c>
      <c r="G37" t="s">
        <v>1797</v>
      </c>
      <c r="H37" t="s">
        <v>1818</v>
      </c>
      <c r="I37" t="s">
        <v>1799</v>
      </c>
      <c r="J37" t="s">
        <v>1799</v>
      </c>
      <c r="K37" t="s">
        <v>1799</v>
      </c>
      <c r="L37" t="s">
        <v>1799</v>
      </c>
      <c r="M37" t="s">
        <v>1799</v>
      </c>
      <c r="N37" t="s">
        <v>1799</v>
      </c>
      <c r="O37" s="184" t="str">
        <f>"["&amp;$C37&amp;"]["&amp;$D37&amp;"]["&amp;$F37&amp;"]"</f>
        <v>[S02_CompetentAuthorityRoles][4][CAForInstallationTask]</v>
      </c>
    </row>
    <row r="38" spans="1:15" x14ac:dyDescent="0.3">
      <c r="A38" t="s">
        <v>1793</v>
      </c>
      <c r="B38" t="s">
        <v>1853</v>
      </c>
      <c r="C38" t="s">
        <v>1854</v>
      </c>
      <c r="D38">
        <v>6</v>
      </c>
      <c r="E38" t="s">
        <v>1447</v>
      </c>
      <c r="F38" t="s">
        <v>1855</v>
      </c>
      <c r="G38" t="s">
        <v>1797</v>
      </c>
      <c r="H38" t="s">
        <v>1819</v>
      </c>
      <c r="I38" t="s">
        <v>1799</v>
      </c>
      <c r="J38" t="s">
        <v>1799</v>
      </c>
      <c r="K38" t="s">
        <v>1799</v>
      </c>
      <c r="L38" t="s">
        <v>1799</v>
      </c>
      <c r="M38" t="s">
        <v>1799</v>
      </c>
      <c r="N38" t="s">
        <v>1799</v>
      </c>
      <c r="O38" s="184" t="str">
        <f>"["&amp;$C38&amp;"]["&amp;$D38&amp;"]["&amp;$F38&amp;"]"</f>
        <v>[S02_CompetentAuthorityRoles][6][CAForInstallationTask]</v>
      </c>
    </row>
    <row r="39" spans="1:15" x14ac:dyDescent="0.3">
      <c r="A39" t="s">
        <v>1793</v>
      </c>
      <c r="B39" t="s">
        <v>1853</v>
      </c>
      <c r="C39" t="s">
        <v>1854</v>
      </c>
      <c r="D39">
        <v>7</v>
      </c>
      <c r="E39" t="s">
        <v>1447</v>
      </c>
      <c r="F39" t="s">
        <v>1855</v>
      </c>
      <c r="G39" t="s">
        <v>1797</v>
      </c>
      <c r="H39" t="s">
        <v>1818</v>
      </c>
      <c r="I39" t="s">
        <v>1799</v>
      </c>
      <c r="J39" t="s">
        <v>1799</v>
      </c>
      <c r="K39" t="s">
        <v>1799</v>
      </c>
      <c r="L39" t="s">
        <v>1799</v>
      </c>
      <c r="M39" t="s">
        <v>1799</v>
      </c>
      <c r="N39" t="s">
        <v>1799</v>
      </c>
      <c r="O39" s="184" t="str">
        <f>"["&amp;$C39&amp;"]["&amp;$D39&amp;"]["&amp;$F39&amp;"]"</f>
        <v>[S02_CompetentAuthorityRoles][7][CAForInstallationTask]</v>
      </c>
    </row>
    <row r="40" spans="1:15" x14ac:dyDescent="0.3">
      <c r="A40" t="s">
        <v>1793</v>
      </c>
      <c r="B40" t="s">
        <v>1853</v>
      </c>
      <c r="C40" t="s">
        <v>1854</v>
      </c>
      <c r="D40">
        <v>8</v>
      </c>
      <c r="E40" t="s">
        <v>1447</v>
      </c>
      <c r="F40" t="s">
        <v>1855</v>
      </c>
      <c r="G40" t="s">
        <v>1797</v>
      </c>
      <c r="H40" t="s">
        <v>1818</v>
      </c>
      <c r="I40" t="s">
        <v>1799</v>
      </c>
      <c r="J40" t="s">
        <v>1799</v>
      </c>
      <c r="K40" t="s">
        <v>1799</v>
      </c>
      <c r="L40" t="s">
        <v>1799</v>
      </c>
      <c r="M40" t="s">
        <v>1799</v>
      </c>
      <c r="N40" t="s">
        <v>1799</v>
      </c>
      <c r="O40" s="184" t="str">
        <f>"["&amp;$C40&amp;"]["&amp;$D40&amp;"]["&amp;$F40&amp;"]"</f>
        <v>[S02_CompetentAuthorityRoles][8][CAForInstallationTask]</v>
      </c>
    </row>
    <row r="41" spans="1:15" x14ac:dyDescent="0.3">
      <c r="A41" t="s">
        <v>1793</v>
      </c>
      <c r="B41" t="s">
        <v>1853</v>
      </c>
      <c r="C41" t="s">
        <v>1854</v>
      </c>
      <c r="D41">
        <v>9</v>
      </c>
      <c r="E41" t="s">
        <v>1447</v>
      </c>
      <c r="F41" t="s">
        <v>1855</v>
      </c>
      <c r="G41" t="s">
        <v>1797</v>
      </c>
      <c r="H41" t="s">
        <v>1818</v>
      </c>
      <c r="I41" t="s">
        <v>1799</v>
      </c>
      <c r="J41" t="s">
        <v>1799</v>
      </c>
      <c r="K41" t="s">
        <v>1799</v>
      </c>
      <c r="L41" t="s">
        <v>1799</v>
      </c>
      <c r="M41" t="s">
        <v>1799</v>
      </c>
      <c r="N41" t="s">
        <v>1799</v>
      </c>
      <c r="O41" s="184" t="str">
        <f>"["&amp;$C41&amp;"]["&amp;$D41&amp;"]["&amp;$F41&amp;"]"</f>
        <v>[S02_CompetentAuthorityRoles][9][CAForInstallationTask]</v>
      </c>
    </row>
    <row r="42" spans="1:15" x14ac:dyDescent="0.3">
      <c r="A42" t="s">
        <v>1793</v>
      </c>
      <c r="B42" t="s">
        <v>1853</v>
      </c>
      <c r="C42" t="s">
        <v>1854</v>
      </c>
      <c r="D42">
        <v>10</v>
      </c>
      <c r="E42" t="s">
        <v>1447</v>
      </c>
      <c r="F42" t="s">
        <v>1855</v>
      </c>
      <c r="G42" t="s">
        <v>1797</v>
      </c>
      <c r="H42" t="s">
        <v>1818</v>
      </c>
      <c r="I42" t="s">
        <v>1799</v>
      </c>
      <c r="J42" t="s">
        <v>1799</v>
      </c>
      <c r="K42" t="s">
        <v>1799</v>
      </c>
      <c r="L42" t="s">
        <v>1799</v>
      </c>
      <c r="M42" t="s">
        <v>1799</v>
      </c>
      <c r="N42" t="s">
        <v>1799</v>
      </c>
      <c r="O42" s="184" t="str">
        <f>"["&amp;$C42&amp;"]["&amp;$D42&amp;"]["&amp;$F42&amp;"]"</f>
        <v>[S02_CompetentAuthorityRoles][10][CAForInstallationTask]</v>
      </c>
    </row>
    <row r="43" spans="1:15" x14ac:dyDescent="0.3">
      <c r="A43" t="s">
        <v>1793</v>
      </c>
      <c r="B43" t="s">
        <v>1853</v>
      </c>
      <c r="C43" t="s">
        <v>1854</v>
      </c>
      <c r="D43">
        <v>11</v>
      </c>
      <c r="E43" t="s">
        <v>1447</v>
      </c>
      <c r="F43" t="s">
        <v>1855</v>
      </c>
      <c r="G43" t="s">
        <v>1797</v>
      </c>
      <c r="H43" t="s">
        <v>1818</v>
      </c>
      <c r="I43" t="s">
        <v>1799</v>
      </c>
      <c r="J43" t="s">
        <v>1799</v>
      </c>
      <c r="K43" t="s">
        <v>1799</v>
      </c>
      <c r="L43" t="s">
        <v>1799</v>
      </c>
      <c r="M43" t="s">
        <v>1799</v>
      </c>
      <c r="N43" t="s">
        <v>1799</v>
      </c>
      <c r="O43" s="184" t="str">
        <f>"["&amp;$C43&amp;"]["&amp;$D43&amp;"]["&amp;$F43&amp;"]"</f>
        <v>[S02_CompetentAuthorityRoles][11][CAForInstallationTask]</v>
      </c>
    </row>
    <row r="44" spans="1:15" x14ac:dyDescent="0.3">
      <c r="A44" t="s">
        <v>1793</v>
      </c>
      <c r="B44" t="s">
        <v>1853</v>
      </c>
      <c r="C44" t="s">
        <v>1854</v>
      </c>
      <c r="D44">
        <v>12</v>
      </c>
      <c r="E44" t="s">
        <v>1447</v>
      </c>
      <c r="F44" t="s">
        <v>1855</v>
      </c>
      <c r="G44" t="s">
        <v>1797</v>
      </c>
      <c r="H44" t="s">
        <v>1819</v>
      </c>
      <c r="I44" t="s">
        <v>1799</v>
      </c>
      <c r="J44" t="s">
        <v>1799</v>
      </c>
      <c r="K44" t="s">
        <v>1799</v>
      </c>
      <c r="L44" t="s">
        <v>1799</v>
      </c>
      <c r="M44" t="s">
        <v>1799</v>
      </c>
      <c r="N44" t="s">
        <v>1799</v>
      </c>
      <c r="O44" s="184" t="str">
        <f>"["&amp;$C44&amp;"]["&amp;$D44&amp;"]["&amp;$F44&amp;"]"</f>
        <v>[S02_CompetentAuthorityRoles][12][CAForInstallationTask]</v>
      </c>
    </row>
    <row r="45" spans="1:15" x14ac:dyDescent="0.3">
      <c r="A45" t="s">
        <v>1793</v>
      </c>
      <c r="B45" t="s">
        <v>1853</v>
      </c>
      <c r="C45" t="s">
        <v>1854</v>
      </c>
      <c r="D45">
        <v>13</v>
      </c>
      <c r="E45" t="s">
        <v>1447</v>
      </c>
      <c r="F45" t="s">
        <v>1855</v>
      </c>
      <c r="G45" t="s">
        <v>1797</v>
      </c>
      <c r="H45" t="s">
        <v>1756</v>
      </c>
      <c r="I45" t="s">
        <v>1799</v>
      </c>
      <c r="J45" t="s">
        <v>1799</v>
      </c>
      <c r="K45" t="s">
        <v>1799</v>
      </c>
      <c r="L45" t="s">
        <v>1799</v>
      </c>
      <c r="M45" t="s">
        <v>1799</v>
      </c>
      <c r="N45" t="s">
        <v>1799</v>
      </c>
      <c r="O45" s="184" t="str">
        <f>"["&amp;$C45&amp;"]["&amp;$D45&amp;"]["&amp;$F45&amp;"]"</f>
        <v>[S02_CompetentAuthorityRoles][13][CAForInstallationTask]</v>
      </c>
    </row>
    <row r="46" spans="1:15" x14ac:dyDescent="0.3">
      <c r="A46" t="s">
        <v>1793</v>
      </c>
      <c r="B46" t="s">
        <v>1853</v>
      </c>
      <c r="C46" t="s">
        <v>1854</v>
      </c>
      <c r="D46">
        <v>5</v>
      </c>
      <c r="E46" t="s">
        <v>1447</v>
      </c>
      <c r="F46" t="s">
        <v>1856</v>
      </c>
      <c r="G46" t="s">
        <v>1797</v>
      </c>
      <c r="H46" t="s">
        <v>1818</v>
      </c>
      <c r="I46" t="s">
        <v>1799</v>
      </c>
      <c r="J46" t="s">
        <v>1799</v>
      </c>
      <c r="K46" t="s">
        <v>1799</v>
      </c>
      <c r="L46" t="s">
        <v>1799</v>
      </c>
      <c r="M46" t="s">
        <v>1799</v>
      </c>
      <c r="N46" t="s">
        <v>1799</v>
      </c>
      <c r="O46" s="184" t="str">
        <f>"["&amp;$C46&amp;"]["&amp;$D46&amp;"]["&amp;$F46&amp;"]"</f>
        <v>[S02_CompetentAuthorityRoles][5][CAForAviationTask]</v>
      </c>
    </row>
    <row r="47" spans="1:15" x14ac:dyDescent="0.3">
      <c r="A47" t="s">
        <v>1793</v>
      </c>
      <c r="B47" t="s">
        <v>1853</v>
      </c>
      <c r="C47" t="s">
        <v>1854</v>
      </c>
      <c r="D47">
        <v>6</v>
      </c>
      <c r="E47" t="s">
        <v>1447</v>
      </c>
      <c r="F47" t="s">
        <v>1856</v>
      </c>
      <c r="G47" t="s">
        <v>1797</v>
      </c>
      <c r="H47" t="s">
        <v>1819</v>
      </c>
      <c r="I47" t="s">
        <v>1799</v>
      </c>
      <c r="J47" t="s">
        <v>1799</v>
      </c>
      <c r="K47" t="s">
        <v>1799</v>
      </c>
      <c r="L47" t="s">
        <v>1799</v>
      </c>
      <c r="M47" t="s">
        <v>1799</v>
      </c>
      <c r="N47" t="s">
        <v>1799</v>
      </c>
      <c r="O47" s="184" t="str">
        <f>"["&amp;$C47&amp;"]["&amp;$D47&amp;"]["&amp;$F47&amp;"]"</f>
        <v>[S02_CompetentAuthorityRoles][6][CAForAviationTask]</v>
      </c>
    </row>
    <row r="48" spans="1:15" x14ac:dyDescent="0.3">
      <c r="A48" t="s">
        <v>1793</v>
      </c>
      <c r="B48" t="s">
        <v>1853</v>
      </c>
      <c r="C48" t="s">
        <v>1854</v>
      </c>
      <c r="D48">
        <v>7</v>
      </c>
      <c r="E48" t="s">
        <v>1447</v>
      </c>
      <c r="F48" t="s">
        <v>1856</v>
      </c>
      <c r="G48" t="s">
        <v>1797</v>
      </c>
      <c r="H48" t="s">
        <v>1818</v>
      </c>
      <c r="I48" t="s">
        <v>1799</v>
      </c>
      <c r="J48" t="s">
        <v>1799</v>
      </c>
      <c r="K48" t="s">
        <v>1799</v>
      </c>
      <c r="L48" t="s">
        <v>1799</v>
      </c>
      <c r="M48" t="s">
        <v>1799</v>
      </c>
      <c r="N48" t="s">
        <v>1799</v>
      </c>
      <c r="O48" s="184" t="str">
        <f>"["&amp;$C48&amp;"]["&amp;$D48&amp;"]["&amp;$F48&amp;"]"</f>
        <v>[S02_CompetentAuthorityRoles][7][CAForAviationTask]</v>
      </c>
    </row>
    <row r="49" spans="1:15" x14ac:dyDescent="0.3">
      <c r="A49" t="s">
        <v>1793</v>
      </c>
      <c r="B49" t="s">
        <v>1853</v>
      </c>
      <c r="C49" t="s">
        <v>1854</v>
      </c>
      <c r="D49">
        <v>8</v>
      </c>
      <c r="E49" t="s">
        <v>1447</v>
      </c>
      <c r="F49" t="s">
        <v>1856</v>
      </c>
      <c r="G49" t="s">
        <v>1797</v>
      </c>
      <c r="H49" t="s">
        <v>1818</v>
      </c>
      <c r="I49" t="s">
        <v>1799</v>
      </c>
      <c r="J49" t="s">
        <v>1799</v>
      </c>
      <c r="K49" t="s">
        <v>1799</v>
      </c>
      <c r="L49" t="s">
        <v>1799</v>
      </c>
      <c r="M49" t="s">
        <v>1799</v>
      </c>
      <c r="N49" t="s">
        <v>1799</v>
      </c>
      <c r="O49" s="184" t="str">
        <f>"["&amp;$C49&amp;"]["&amp;$D49&amp;"]["&amp;$F49&amp;"]"</f>
        <v>[S02_CompetentAuthorityRoles][8][CAForAviationTask]</v>
      </c>
    </row>
    <row r="50" spans="1:15" x14ac:dyDescent="0.3">
      <c r="A50" t="s">
        <v>1793</v>
      </c>
      <c r="B50" t="s">
        <v>1853</v>
      </c>
      <c r="C50" t="s">
        <v>1854</v>
      </c>
      <c r="D50">
        <v>9</v>
      </c>
      <c r="E50" t="s">
        <v>1447</v>
      </c>
      <c r="F50" t="s">
        <v>1856</v>
      </c>
      <c r="G50" t="s">
        <v>1797</v>
      </c>
      <c r="H50" t="s">
        <v>1818</v>
      </c>
      <c r="I50" t="s">
        <v>1799</v>
      </c>
      <c r="J50" t="s">
        <v>1799</v>
      </c>
      <c r="K50" t="s">
        <v>1799</v>
      </c>
      <c r="L50" t="s">
        <v>1799</v>
      </c>
      <c r="M50" t="s">
        <v>1799</v>
      </c>
      <c r="N50" t="s">
        <v>1799</v>
      </c>
      <c r="O50" s="184" t="str">
        <f>"["&amp;$C50&amp;"]["&amp;$D50&amp;"]["&amp;$F50&amp;"]"</f>
        <v>[S02_CompetentAuthorityRoles][9][CAForAviationTask]</v>
      </c>
    </row>
    <row r="51" spans="1:15" x14ac:dyDescent="0.3">
      <c r="A51" t="s">
        <v>1793</v>
      </c>
      <c r="B51" t="s">
        <v>1853</v>
      </c>
      <c r="C51" t="s">
        <v>1854</v>
      </c>
      <c r="D51">
        <v>10</v>
      </c>
      <c r="E51" t="s">
        <v>1447</v>
      </c>
      <c r="F51" t="s">
        <v>1856</v>
      </c>
      <c r="G51" t="s">
        <v>1797</v>
      </c>
      <c r="H51" t="s">
        <v>1818</v>
      </c>
      <c r="I51" t="s">
        <v>1799</v>
      </c>
      <c r="J51" t="s">
        <v>1799</v>
      </c>
      <c r="K51" t="s">
        <v>1799</v>
      </c>
      <c r="L51" t="s">
        <v>1799</v>
      </c>
      <c r="M51" t="s">
        <v>1799</v>
      </c>
      <c r="N51" t="s">
        <v>1799</v>
      </c>
      <c r="O51" s="184" t="str">
        <f>"["&amp;$C51&amp;"]["&amp;$D51&amp;"]["&amp;$F51&amp;"]"</f>
        <v>[S02_CompetentAuthorityRoles][10][CAForAviationTask]</v>
      </c>
    </row>
    <row r="52" spans="1:15" x14ac:dyDescent="0.3">
      <c r="A52" t="s">
        <v>1793</v>
      </c>
      <c r="B52" t="s">
        <v>1853</v>
      </c>
      <c r="C52" t="s">
        <v>1854</v>
      </c>
      <c r="D52">
        <v>11</v>
      </c>
      <c r="E52" t="s">
        <v>1447</v>
      </c>
      <c r="F52" t="s">
        <v>1856</v>
      </c>
      <c r="G52" t="s">
        <v>1797</v>
      </c>
      <c r="H52" t="s">
        <v>1818</v>
      </c>
      <c r="I52" t="s">
        <v>1799</v>
      </c>
      <c r="J52" t="s">
        <v>1799</v>
      </c>
      <c r="K52" t="s">
        <v>1799</v>
      </c>
      <c r="L52" t="s">
        <v>1799</v>
      </c>
      <c r="M52" t="s">
        <v>1799</v>
      </c>
      <c r="N52" t="s">
        <v>1799</v>
      </c>
      <c r="O52" s="184" t="str">
        <f>"["&amp;$C52&amp;"]["&amp;$D52&amp;"]["&amp;$F52&amp;"]"</f>
        <v>[S02_CompetentAuthorityRoles][11][CAForAviationTask]</v>
      </c>
    </row>
    <row r="53" spans="1:15" x14ac:dyDescent="0.3">
      <c r="A53" t="s">
        <v>1793</v>
      </c>
      <c r="B53" t="s">
        <v>1857</v>
      </c>
      <c r="C53" t="s">
        <v>1858</v>
      </c>
      <c r="D53">
        <v>1</v>
      </c>
      <c r="E53" t="s">
        <v>1447</v>
      </c>
      <c r="F53" t="s">
        <v>1859</v>
      </c>
      <c r="G53" t="s">
        <v>1833</v>
      </c>
      <c r="H53" t="s">
        <v>1799</v>
      </c>
      <c r="I53" t="s">
        <v>1799</v>
      </c>
      <c r="J53" t="s">
        <v>1799</v>
      </c>
      <c r="K53" t="s">
        <v>1799</v>
      </c>
      <c r="L53" t="s">
        <v>1419</v>
      </c>
      <c r="M53" t="s">
        <v>1799</v>
      </c>
      <c r="N53" t="s">
        <v>1799</v>
      </c>
      <c r="O53" s="184" t="str">
        <f>"["&amp;$C53&amp;"]["&amp;$D53&amp;"]["&amp;$F53&amp;"]"</f>
        <v>[S02_InformationExchangeAccBodyAndCA][1][InfoExchangeYesNo]</v>
      </c>
    </row>
    <row r="54" spans="1:15" x14ac:dyDescent="0.3">
      <c r="A54" t="s">
        <v>1793</v>
      </c>
      <c r="B54" t="s">
        <v>1857</v>
      </c>
      <c r="C54" t="s">
        <v>1858</v>
      </c>
      <c r="D54">
        <v>2</v>
      </c>
      <c r="E54" t="s">
        <v>1447</v>
      </c>
      <c r="F54" t="s">
        <v>1859</v>
      </c>
      <c r="G54" t="s">
        <v>1833</v>
      </c>
      <c r="H54" t="s">
        <v>1799</v>
      </c>
      <c r="I54" t="s">
        <v>1799</v>
      </c>
      <c r="J54" t="s">
        <v>1799</v>
      </c>
      <c r="K54" t="s">
        <v>1799</v>
      </c>
      <c r="L54" t="s">
        <v>1447</v>
      </c>
      <c r="M54" t="s">
        <v>1799</v>
      </c>
      <c r="N54" t="s">
        <v>1799</v>
      </c>
      <c r="O54" s="184" t="str">
        <f>"["&amp;$C54&amp;"]["&amp;$D54&amp;"]["&amp;$F54&amp;"]"</f>
        <v>[S02_InformationExchangeAccBodyAndCA][2][InfoExchangeYesNo]</v>
      </c>
    </row>
    <row r="55" spans="1:15" x14ac:dyDescent="0.3">
      <c r="A55" t="s">
        <v>1793</v>
      </c>
      <c r="B55" t="s">
        <v>1857</v>
      </c>
      <c r="C55" t="s">
        <v>1858</v>
      </c>
      <c r="D55">
        <v>3</v>
      </c>
      <c r="E55" t="s">
        <v>1447</v>
      </c>
      <c r="F55" t="s">
        <v>1859</v>
      </c>
      <c r="G55" t="s">
        <v>1833</v>
      </c>
      <c r="H55" t="s">
        <v>1799</v>
      </c>
      <c r="I55" t="s">
        <v>1799</v>
      </c>
      <c r="J55" t="s">
        <v>1799</v>
      </c>
      <c r="K55" t="s">
        <v>1799</v>
      </c>
      <c r="L55" t="s">
        <v>1419</v>
      </c>
      <c r="M55" t="s">
        <v>1799</v>
      </c>
      <c r="N55" t="s">
        <v>1799</v>
      </c>
      <c r="O55" s="184" t="str">
        <f>"["&amp;$C55&amp;"]["&amp;$D55&amp;"]["&amp;$F55&amp;"]"</f>
        <v>[S02_InformationExchangeAccBodyAndCA][3][InfoExchangeYesNo]</v>
      </c>
    </row>
    <row r="56" spans="1:15" x14ac:dyDescent="0.3">
      <c r="A56" t="s">
        <v>1793</v>
      </c>
      <c r="B56" t="s">
        <v>1857</v>
      </c>
      <c r="C56" t="s">
        <v>1858</v>
      </c>
      <c r="D56">
        <v>1</v>
      </c>
      <c r="E56" t="s">
        <v>1447</v>
      </c>
      <c r="F56" t="s">
        <v>1860</v>
      </c>
      <c r="G56" t="s">
        <v>1861</v>
      </c>
      <c r="H56" t="s">
        <v>1799</v>
      </c>
      <c r="I56" t="s">
        <v>1799</v>
      </c>
      <c r="J56" t="s">
        <v>1799</v>
      </c>
      <c r="K56" t="s">
        <v>1862</v>
      </c>
      <c r="L56" t="s">
        <v>1799</v>
      </c>
      <c r="M56" t="s">
        <v>1799</v>
      </c>
      <c r="N56" t="s">
        <v>1799</v>
      </c>
      <c r="O56" s="184" t="str">
        <f>"["&amp;$C56&amp;"]["&amp;$D56&amp;"]["&amp;$F56&amp;"]"</f>
        <v>[S02_InformationExchangeAccBodyAndCA][1][InfoExchangeComment]</v>
      </c>
    </row>
    <row r="57" spans="1:15" x14ac:dyDescent="0.3">
      <c r="A57" t="s">
        <v>1793</v>
      </c>
      <c r="B57" t="s">
        <v>1857</v>
      </c>
      <c r="C57" t="s">
        <v>1858</v>
      </c>
      <c r="D57">
        <v>2</v>
      </c>
      <c r="E57" t="s">
        <v>1447</v>
      </c>
      <c r="F57" t="s">
        <v>1860</v>
      </c>
      <c r="G57" t="s">
        <v>1861</v>
      </c>
      <c r="H57" t="s">
        <v>1799</v>
      </c>
      <c r="I57" t="s">
        <v>1799</v>
      </c>
      <c r="J57" t="s">
        <v>1799</v>
      </c>
      <c r="K57" t="s">
        <v>1863</v>
      </c>
      <c r="L57" t="s">
        <v>1799</v>
      </c>
      <c r="M57" t="s">
        <v>1799</v>
      </c>
      <c r="N57" t="s">
        <v>1799</v>
      </c>
      <c r="O57" s="184" t="str">
        <f>"["&amp;$C57&amp;"]["&amp;$D57&amp;"]["&amp;$F57&amp;"]"</f>
        <v>[S02_InformationExchangeAccBodyAndCA][2][InfoExchangeComment]</v>
      </c>
    </row>
    <row r="58" spans="1:15" x14ac:dyDescent="0.3">
      <c r="A58" t="s">
        <v>1793</v>
      </c>
      <c r="B58" t="s">
        <v>1864</v>
      </c>
      <c r="C58" t="s">
        <v>1865</v>
      </c>
      <c r="D58">
        <v>1</v>
      </c>
      <c r="E58" t="s">
        <v>1447</v>
      </c>
      <c r="F58" t="s">
        <v>1866</v>
      </c>
      <c r="G58" t="s">
        <v>1811</v>
      </c>
      <c r="H58" t="s">
        <v>1799</v>
      </c>
      <c r="I58">
        <v>144</v>
      </c>
      <c r="J58" t="s">
        <v>1799</v>
      </c>
      <c r="K58" t="s">
        <v>1799</v>
      </c>
      <c r="L58" t="s">
        <v>1799</v>
      </c>
      <c r="M58" t="s">
        <v>1799</v>
      </c>
      <c r="N58" t="s">
        <v>1799</v>
      </c>
      <c r="O58" s="184" t="str">
        <f>"["&amp;$C58&amp;"]["&amp;$D58&amp;"]["&amp;$F58&amp;"]"</f>
        <v>[S03_EmittingInstallations][1][NumberOfInstallations]</v>
      </c>
    </row>
    <row r="59" spans="1:15" x14ac:dyDescent="0.3">
      <c r="A59" t="s">
        <v>1793</v>
      </c>
      <c r="B59" t="s">
        <v>1864</v>
      </c>
      <c r="C59" t="s">
        <v>1865</v>
      </c>
      <c r="D59">
        <v>2</v>
      </c>
      <c r="E59" t="s">
        <v>1447</v>
      </c>
      <c r="F59" t="s">
        <v>1866</v>
      </c>
      <c r="G59" t="s">
        <v>1811</v>
      </c>
      <c r="H59" t="s">
        <v>1799</v>
      </c>
      <c r="I59">
        <v>66</v>
      </c>
      <c r="J59" t="s">
        <v>1799</v>
      </c>
      <c r="K59" t="s">
        <v>1799</v>
      </c>
      <c r="L59" t="s">
        <v>1799</v>
      </c>
      <c r="M59" t="s">
        <v>1799</v>
      </c>
      <c r="N59" t="s">
        <v>1799</v>
      </c>
      <c r="O59" s="184" t="str">
        <f>"["&amp;$C59&amp;"]["&amp;$D59&amp;"]["&amp;$F59&amp;"]"</f>
        <v>[S03_EmittingInstallations][2][NumberOfInstallations]</v>
      </c>
    </row>
    <row r="60" spans="1:15" x14ac:dyDescent="0.3">
      <c r="A60" t="s">
        <v>1793</v>
      </c>
      <c r="B60" t="s">
        <v>1864</v>
      </c>
      <c r="C60" t="s">
        <v>1865</v>
      </c>
      <c r="D60">
        <v>3</v>
      </c>
      <c r="E60" t="s">
        <v>1447</v>
      </c>
      <c r="F60" t="s">
        <v>1866</v>
      </c>
      <c r="G60" t="s">
        <v>1811</v>
      </c>
      <c r="H60" t="s">
        <v>1799</v>
      </c>
      <c r="I60">
        <v>64</v>
      </c>
      <c r="J60" t="s">
        <v>1799</v>
      </c>
      <c r="K60" t="s">
        <v>1799</v>
      </c>
      <c r="L60" t="s">
        <v>1799</v>
      </c>
      <c r="M60" t="s">
        <v>1799</v>
      </c>
      <c r="N60" t="s">
        <v>1799</v>
      </c>
      <c r="O60" s="184" t="str">
        <f>"["&amp;$C60&amp;"]["&amp;$D60&amp;"]["&amp;$F60&amp;"]"</f>
        <v>[S03_EmittingInstallations][3][NumberOfInstallations]</v>
      </c>
    </row>
    <row r="61" spans="1:15" x14ac:dyDescent="0.3">
      <c r="A61" t="s">
        <v>1793</v>
      </c>
      <c r="B61" t="s">
        <v>1864</v>
      </c>
      <c r="C61" t="s">
        <v>1865</v>
      </c>
      <c r="D61">
        <v>4</v>
      </c>
      <c r="E61" t="s">
        <v>1447</v>
      </c>
      <c r="F61" t="s">
        <v>1866</v>
      </c>
      <c r="G61" t="s">
        <v>1811</v>
      </c>
      <c r="H61" t="s">
        <v>1799</v>
      </c>
      <c r="I61">
        <v>14</v>
      </c>
      <c r="J61" t="s">
        <v>1799</v>
      </c>
      <c r="K61" t="s">
        <v>1799</v>
      </c>
      <c r="L61" t="s">
        <v>1799</v>
      </c>
      <c r="M61" t="s">
        <v>1799</v>
      </c>
      <c r="N61" t="s">
        <v>1799</v>
      </c>
      <c r="O61" s="184" t="str">
        <f>"["&amp;$C61&amp;"]["&amp;$D61&amp;"]["&amp;$F61&amp;"]"</f>
        <v>[S03_EmittingInstallations][4][NumberOfInstallations]</v>
      </c>
    </row>
    <row r="62" spans="1:15" x14ac:dyDescent="0.3">
      <c r="A62" t="s">
        <v>1793</v>
      </c>
      <c r="B62" t="s">
        <v>1864</v>
      </c>
      <c r="C62" t="s">
        <v>1865</v>
      </c>
      <c r="D62">
        <v>5</v>
      </c>
      <c r="E62" t="s">
        <v>1447</v>
      </c>
      <c r="F62" t="s">
        <v>1866</v>
      </c>
      <c r="G62" t="s">
        <v>1811</v>
      </c>
      <c r="H62" t="s">
        <v>1799</v>
      </c>
      <c r="I62">
        <v>53</v>
      </c>
      <c r="J62" t="s">
        <v>1799</v>
      </c>
      <c r="K62" t="s">
        <v>1799</v>
      </c>
      <c r="L62" t="s">
        <v>1799</v>
      </c>
      <c r="M62" t="s">
        <v>1799</v>
      </c>
      <c r="N62" t="s">
        <v>1799</v>
      </c>
      <c r="O62" s="184" t="str">
        <f>"["&amp;$C62&amp;"]["&amp;$D62&amp;"]["&amp;$F62&amp;"]"</f>
        <v>[S03_EmittingInstallations][5][NumberOfInstallations]</v>
      </c>
    </row>
    <row r="63" spans="1:15" x14ac:dyDescent="0.3">
      <c r="A63" t="s">
        <v>1793</v>
      </c>
      <c r="B63" t="s">
        <v>1864</v>
      </c>
      <c r="C63" t="s">
        <v>1867</v>
      </c>
      <c r="D63">
        <v>1</v>
      </c>
      <c r="E63" t="s">
        <v>1447</v>
      </c>
      <c r="F63" t="s">
        <v>1868</v>
      </c>
      <c r="G63" t="s">
        <v>1833</v>
      </c>
      <c r="H63" t="s">
        <v>1799</v>
      </c>
      <c r="I63" t="s">
        <v>1799</v>
      </c>
      <c r="J63" t="s">
        <v>1799</v>
      </c>
      <c r="K63" t="s">
        <v>1799</v>
      </c>
      <c r="L63" t="s">
        <v>1419</v>
      </c>
      <c r="M63" t="s">
        <v>1799</v>
      </c>
      <c r="N63" t="s">
        <v>1799</v>
      </c>
      <c r="O63" s="184" t="str">
        <f>"["&amp;$C63&amp;"]["&amp;$D63&amp;"]["&amp;$F63&amp;"]"</f>
        <v>[S03_ActivityPermits][1][ActivityPermitsIssued]</v>
      </c>
    </row>
    <row r="64" spans="1:15" x14ac:dyDescent="0.3">
      <c r="A64" t="s">
        <v>1793</v>
      </c>
      <c r="B64" t="s">
        <v>1864</v>
      </c>
      <c r="C64" t="s">
        <v>1867</v>
      </c>
      <c r="D64">
        <v>2</v>
      </c>
      <c r="E64" t="s">
        <v>1447</v>
      </c>
      <c r="F64" t="s">
        <v>1868</v>
      </c>
      <c r="G64" t="s">
        <v>1833</v>
      </c>
      <c r="H64" t="s">
        <v>1799</v>
      </c>
      <c r="I64" t="s">
        <v>1799</v>
      </c>
      <c r="J64" t="s">
        <v>1799</v>
      </c>
      <c r="K64" t="s">
        <v>1799</v>
      </c>
      <c r="L64" t="s">
        <v>1419</v>
      </c>
      <c r="M64" t="s">
        <v>1799</v>
      </c>
      <c r="N64" t="s">
        <v>1799</v>
      </c>
      <c r="O64" s="184" t="str">
        <f>"["&amp;$C64&amp;"]["&amp;$D64&amp;"]["&amp;$F64&amp;"]"</f>
        <v>[S03_ActivityPermits][2][ActivityPermitsIssued]</v>
      </c>
    </row>
    <row r="65" spans="1:15" x14ac:dyDescent="0.3">
      <c r="A65" t="s">
        <v>1793</v>
      </c>
      <c r="B65" t="s">
        <v>1864</v>
      </c>
      <c r="C65" t="s">
        <v>1867</v>
      </c>
      <c r="D65">
        <v>3</v>
      </c>
      <c r="E65" t="s">
        <v>1447</v>
      </c>
      <c r="F65" t="s">
        <v>1868</v>
      </c>
      <c r="G65" t="s">
        <v>1833</v>
      </c>
      <c r="H65" t="s">
        <v>1799</v>
      </c>
      <c r="I65" t="s">
        <v>1799</v>
      </c>
      <c r="J65" t="s">
        <v>1799</v>
      </c>
      <c r="K65" t="s">
        <v>1799</v>
      </c>
      <c r="L65" t="s">
        <v>1447</v>
      </c>
      <c r="M65" t="s">
        <v>1799</v>
      </c>
      <c r="N65" t="s">
        <v>1799</v>
      </c>
      <c r="O65" s="184" t="str">
        <f>"["&amp;$C65&amp;"]["&amp;$D65&amp;"]["&amp;$F65&amp;"]"</f>
        <v>[S03_ActivityPermits][3][ActivityPermitsIssued]</v>
      </c>
    </row>
    <row r="66" spans="1:15" x14ac:dyDescent="0.3">
      <c r="A66" t="s">
        <v>1793</v>
      </c>
      <c r="B66" t="s">
        <v>1864</v>
      </c>
      <c r="C66" t="s">
        <v>1867</v>
      </c>
      <c r="D66">
        <v>4</v>
      </c>
      <c r="E66" t="s">
        <v>1447</v>
      </c>
      <c r="F66" t="s">
        <v>1868</v>
      </c>
      <c r="G66" t="s">
        <v>1833</v>
      </c>
      <c r="H66" t="s">
        <v>1799</v>
      </c>
      <c r="I66" t="s">
        <v>1799</v>
      </c>
      <c r="J66" t="s">
        <v>1799</v>
      </c>
      <c r="K66" t="s">
        <v>1799</v>
      </c>
      <c r="L66" t="s">
        <v>1419</v>
      </c>
      <c r="M66" t="s">
        <v>1799</v>
      </c>
      <c r="N66" t="s">
        <v>1799</v>
      </c>
      <c r="O66" s="184" t="str">
        <f>"["&amp;$C66&amp;"]["&amp;$D66&amp;"]["&amp;$F66&amp;"]"</f>
        <v>[S03_ActivityPermits][4][ActivityPermitsIssued]</v>
      </c>
    </row>
    <row r="67" spans="1:15" x14ac:dyDescent="0.3">
      <c r="A67" t="s">
        <v>1793</v>
      </c>
      <c r="B67" t="s">
        <v>1864</v>
      </c>
      <c r="C67" t="s">
        <v>1867</v>
      </c>
      <c r="D67">
        <v>5</v>
      </c>
      <c r="E67" t="s">
        <v>1447</v>
      </c>
      <c r="F67" t="s">
        <v>1868</v>
      </c>
      <c r="G67" t="s">
        <v>1833</v>
      </c>
      <c r="H67" t="s">
        <v>1799</v>
      </c>
      <c r="I67" t="s">
        <v>1799</v>
      </c>
      <c r="J67" t="s">
        <v>1799</v>
      </c>
      <c r="K67" t="s">
        <v>1799</v>
      </c>
      <c r="L67" t="s">
        <v>1419</v>
      </c>
      <c r="M67" t="s">
        <v>1799</v>
      </c>
      <c r="N67" t="s">
        <v>1799</v>
      </c>
      <c r="O67" s="184" t="str">
        <f>"["&amp;$C67&amp;"]["&amp;$D67&amp;"]["&amp;$F67&amp;"]"</f>
        <v>[S03_ActivityPermits][5][ActivityPermitsIssued]</v>
      </c>
    </row>
    <row r="68" spans="1:15" x14ac:dyDescent="0.3">
      <c r="A68" t="s">
        <v>1793</v>
      </c>
      <c r="B68" t="s">
        <v>1864</v>
      </c>
      <c r="C68" t="s">
        <v>1867</v>
      </c>
      <c r="D68">
        <v>6</v>
      </c>
      <c r="E68" t="s">
        <v>1447</v>
      </c>
      <c r="F68" t="s">
        <v>1868</v>
      </c>
      <c r="G68" t="s">
        <v>1833</v>
      </c>
      <c r="H68" t="s">
        <v>1799</v>
      </c>
      <c r="I68" t="s">
        <v>1799</v>
      </c>
      <c r="J68" t="s">
        <v>1799</v>
      </c>
      <c r="K68" t="s">
        <v>1799</v>
      </c>
      <c r="L68" t="s">
        <v>1419</v>
      </c>
      <c r="M68" t="s">
        <v>1799</v>
      </c>
      <c r="N68" t="s">
        <v>1799</v>
      </c>
      <c r="O68" s="184" t="str">
        <f>"["&amp;$C68&amp;"]["&amp;$D68&amp;"]["&amp;$F68&amp;"]"</f>
        <v>[S03_ActivityPermits][6][ActivityPermitsIssued]</v>
      </c>
    </row>
    <row r="69" spans="1:15" x14ac:dyDescent="0.3">
      <c r="A69" t="s">
        <v>1793</v>
      </c>
      <c r="B69" t="s">
        <v>1864</v>
      </c>
      <c r="C69" t="s">
        <v>1867</v>
      </c>
      <c r="D69">
        <v>7</v>
      </c>
      <c r="E69" t="s">
        <v>1447</v>
      </c>
      <c r="F69" t="s">
        <v>1868</v>
      </c>
      <c r="G69" t="s">
        <v>1833</v>
      </c>
      <c r="H69" t="s">
        <v>1799</v>
      </c>
      <c r="I69" t="s">
        <v>1799</v>
      </c>
      <c r="J69" t="s">
        <v>1799</v>
      </c>
      <c r="K69" t="s">
        <v>1799</v>
      </c>
      <c r="L69" t="s">
        <v>1419</v>
      </c>
      <c r="M69" t="s">
        <v>1799</v>
      </c>
      <c r="N69" t="s">
        <v>1799</v>
      </c>
      <c r="O69" s="184" t="str">
        <f>"["&amp;$C69&amp;"]["&amp;$D69&amp;"]["&amp;$F69&amp;"]"</f>
        <v>[S03_ActivityPermits][7][ActivityPermitsIssued]</v>
      </c>
    </row>
    <row r="70" spans="1:15" x14ac:dyDescent="0.3">
      <c r="A70" t="s">
        <v>1793</v>
      </c>
      <c r="B70" t="s">
        <v>1864</v>
      </c>
      <c r="C70" t="s">
        <v>1867</v>
      </c>
      <c r="D70">
        <v>8</v>
      </c>
      <c r="E70" t="s">
        <v>1447</v>
      </c>
      <c r="F70" t="s">
        <v>1868</v>
      </c>
      <c r="G70" t="s">
        <v>1833</v>
      </c>
      <c r="H70" t="s">
        <v>1799</v>
      </c>
      <c r="I70" t="s">
        <v>1799</v>
      </c>
      <c r="J70" t="s">
        <v>1799</v>
      </c>
      <c r="K70" t="s">
        <v>1799</v>
      </c>
      <c r="L70" t="s">
        <v>1419</v>
      </c>
      <c r="M70" t="s">
        <v>1799</v>
      </c>
      <c r="N70" t="s">
        <v>1799</v>
      </c>
      <c r="O70" s="184" t="str">
        <f>"["&amp;$C70&amp;"]["&amp;$D70&amp;"]["&amp;$F70&amp;"]"</f>
        <v>[S03_ActivityPermits][8][ActivityPermitsIssued]</v>
      </c>
    </row>
    <row r="71" spans="1:15" x14ac:dyDescent="0.3">
      <c r="A71" t="s">
        <v>1793</v>
      </c>
      <c r="B71" t="s">
        <v>1864</v>
      </c>
      <c r="C71" t="s">
        <v>1867</v>
      </c>
      <c r="D71">
        <v>9</v>
      </c>
      <c r="E71" t="s">
        <v>1447</v>
      </c>
      <c r="F71" t="s">
        <v>1868</v>
      </c>
      <c r="G71" t="s">
        <v>1833</v>
      </c>
      <c r="H71" t="s">
        <v>1799</v>
      </c>
      <c r="I71" t="s">
        <v>1799</v>
      </c>
      <c r="J71" t="s">
        <v>1799</v>
      </c>
      <c r="K71" t="s">
        <v>1799</v>
      </c>
      <c r="L71" t="s">
        <v>1419</v>
      </c>
      <c r="M71" t="s">
        <v>1799</v>
      </c>
      <c r="N71" t="s">
        <v>1799</v>
      </c>
      <c r="O71" s="184" t="str">
        <f>"["&amp;$C71&amp;"]["&amp;$D71&amp;"]["&amp;$F71&amp;"]"</f>
        <v>[S03_ActivityPermits][9][ActivityPermitsIssued]</v>
      </c>
    </row>
    <row r="72" spans="1:15" x14ac:dyDescent="0.3">
      <c r="A72" t="s">
        <v>1793</v>
      </c>
      <c r="B72" t="s">
        <v>1864</v>
      </c>
      <c r="C72" t="s">
        <v>1867</v>
      </c>
      <c r="D72">
        <v>10</v>
      </c>
      <c r="E72" t="s">
        <v>1447</v>
      </c>
      <c r="F72" t="s">
        <v>1868</v>
      </c>
      <c r="G72" t="s">
        <v>1833</v>
      </c>
      <c r="H72" t="s">
        <v>1799</v>
      </c>
      <c r="I72" t="s">
        <v>1799</v>
      </c>
      <c r="J72" t="s">
        <v>1799</v>
      </c>
      <c r="K72" t="s">
        <v>1799</v>
      </c>
      <c r="L72" t="s">
        <v>1419</v>
      </c>
      <c r="M72" t="s">
        <v>1799</v>
      </c>
      <c r="N72" t="s">
        <v>1799</v>
      </c>
      <c r="O72" s="184" t="str">
        <f>"["&amp;$C72&amp;"]["&amp;$D72&amp;"]["&amp;$F72&amp;"]"</f>
        <v>[S03_ActivityPermits][10][ActivityPermitsIssued]</v>
      </c>
    </row>
    <row r="73" spans="1:15" x14ac:dyDescent="0.3">
      <c r="A73" t="s">
        <v>1793</v>
      </c>
      <c r="B73" t="s">
        <v>1864</v>
      </c>
      <c r="C73" t="s">
        <v>1867</v>
      </c>
      <c r="D73">
        <v>11</v>
      </c>
      <c r="E73" t="s">
        <v>1447</v>
      </c>
      <c r="F73" t="s">
        <v>1868</v>
      </c>
      <c r="G73" t="s">
        <v>1833</v>
      </c>
      <c r="H73" t="s">
        <v>1799</v>
      </c>
      <c r="I73" t="s">
        <v>1799</v>
      </c>
      <c r="J73" t="s">
        <v>1799</v>
      </c>
      <c r="K73" t="s">
        <v>1799</v>
      </c>
      <c r="L73" t="s">
        <v>1419</v>
      </c>
      <c r="M73" t="s">
        <v>1799</v>
      </c>
      <c r="N73" t="s">
        <v>1799</v>
      </c>
      <c r="O73" s="184" t="str">
        <f>"["&amp;$C73&amp;"]["&amp;$D73&amp;"]["&amp;$F73&amp;"]"</f>
        <v>[S03_ActivityPermits][11][ActivityPermitsIssued]</v>
      </c>
    </row>
    <row r="74" spans="1:15" x14ac:dyDescent="0.3">
      <c r="A74" t="s">
        <v>1793</v>
      </c>
      <c r="B74" t="s">
        <v>1864</v>
      </c>
      <c r="C74" t="s">
        <v>1867</v>
      </c>
      <c r="D74">
        <v>12</v>
      </c>
      <c r="E74" t="s">
        <v>1447</v>
      </c>
      <c r="F74" t="s">
        <v>1868</v>
      </c>
      <c r="G74" t="s">
        <v>1833</v>
      </c>
      <c r="H74" t="s">
        <v>1799</v>
      </c>
      <c r="I74" t="s">
        <v>1799</v>
      </c>
      <c r="J74" t="s">
        <v>1799</v>
      </c>
      <c r="K74" t="s">
        <v>1799</v>
      </c>
      <c r="L74" t="s">
        <v>1419</v>
      </c>
      <c r="M74" t="s">
        <v>1799</v>
      </c>
      <c r="N74" t="s">
        <v>1799</v>
      </c>
      <c r="O74" s="184" t="str">
        <f>"["&amp;$C74&amp;"]["&amp;$D74&amp;"]["&amp;$F74&amp;"]"</f>
        <v>[S03_ActivityPermits][12][ActivityPermitsIssued]</v>
      </c>
    </row>
    <row r="75" spans="1:15" x14ac:dyDescent="0.3">
      <c r="A75" t="s">
        <v>1793</v>
      </c>
      <c r="B75" t="s">
        <v>1864</v>
      </c>
      <c r="C75" t="s">
        <v>1867</v>
      </c>
      <c r="D75">
        <v>13</v>
      </c>
      <c r="E75" t="s">
        <v>1447</v>
      </c>
      <c r="F75" t="s">
        <v>1868</v>
      </c>
      <c r="G75" t="s">
        <v>1833</v>
      </c>
      <c r="H75" t="s">
        <v>1799</v>
      </c>
      <c r="I75" t="s">
        <v>1799</v>
      </c>
      <c r="J75" t="s">
        <v>1799</v>
      </c>
      <c r="K75" t="s">
        <v>1799</v>
      </c>
      <c r="L75" t="s">
        <v>1419</v>
      </c>
      <c r="M75" t="s">
        <v>1799</v>
      </c>
      <c r="N75" t="s">
        <v>1799</v>
      </c>
      <c r="O75" s="184" t="str">
        <f>"["&amp;$C75&amp;"]["&amp;$D75&amp;"]["&amp;$F75&amp;"]"</f>
        <v>[S03_ActivityPermits][13][ActivityPermitsIssued]</v>
      </c>
    </row>
    <row r="76" spans="1:15" x14ac:dyDescent="0.3">
      <c r="A76" t="s">
        <v>1793</v>
      </c>
      <c r="B76" t="s">
        <v>1864</v>
      </c>
      <c r="C76" t="s">
        <v>1867</v>
      </c>
      <c r="D76">
        <v>14</v>
      </c>
      <c r="E76" t="s">
        <v>1447</v>
      </c>
      <c r="F76" t="s">
        <v>1868</v>
      </c>
      <c r="G76" t="s">
        <v>1833</v>
      </c>
      <c r="H76" t="s">
        <v>1799</v>
      </c>
      <c r="I76" t="s">
        <v>1799</v>
      </c>
      <c r="J76" t="s">
        <v>1799</v>
      </c>
      <c r="K76" t="s">
        <v>1799</v>
      </c>
      <c r="L76" t="s">
        <v>1419</v>
      </c>
      <c r="M76" t="s">
        <v>1799</v>
      </c>
      <c r="N76" t="s">
        <v>1799</v>
      </c>
      <c r="O76" s="184" t="str">
        <f>"["&amp;$C76&amp;"]["&amp;$D76&amp;"]["&amp;$F76&amp;"]"</f>
        <v>[S03_ActivityPermits][14][ActivityPermitsIssued]</v>
      </c>
    </row>
    <row r="77" spans="1:15" x14ac:dyDescent="0.3">
      <c r="A77" t="s">
        <v>1793</v>
      </c>
      <c r="B77" t="s">
        <v>1864</v>
      </c>
      <c r="C77" t="s">
        <v>1867</v>
      </c>
      <c r="D77">
        <v>15</v>
      </c>
      <c r="E77" t="s">
        <v>1447</v>
      </c>
      <c r="F77" t="s">
        <v>1868</v>
      </c>
      <c r="G77" t="s">
        <v>1833</v>
      </c>
      <c r="H77" t="s">
        <v>1799</v>
      </c>
      <c r="I77" t="s">
        <v>1799</v>
      </c>
      <c r="J77" t="s">
        <v>1799</v>
      </c>
      <c r="K77" t="s">
        <v>1799</v>
      </c>
      <c r="L77" t="s">
        <v>1419</v>
      </c>
      <c r="M77" t="s">
        <v>1799</v>
      </c>
      <c r="N77" t="s">
        <v>1799</v>
      </c>
      <c r="O77" s="184" t="str">
        <f>"["&amp;$C77&amp;"]["&amp;$D77&amp;"]["&amp;$F77&amp;"]"</f>
        <v>[S03_ActivityPermits][15][ActivityPermitsIssued]</v>
      </c>
    </row>
    <row r="78" spans="1:15" x14ac:dyDescent="0.3">
      <c r="A78" t="s">
        <v>1793</v>
      </c>
      <c r="B78" t="s">
        <v>1864</v>
      </c>
      <c r="C78" t="s">
        <v>1867</v>
      </c>
      <c r="D78">
        <v>16</v>
      </c>
      <c r="E78" t="s">
        <v>1447</v>
      </c>
      <c r="F78" t="s">
        <v>1868</v>
      </c>
      <c r="G78" t="s">
        <v>1833</v>
      </c>
      <c r="H78" t="s">
        <v>1799</v>
      </c>
      <c r="I78" t="s">
        <v>1799</v>
      </c>
      <c r="J78" t="s">
        <v>1799</v>
      </c>
      <c r="K78" t="s">
        <v>1799</v>
      </c>
      <c r="L78" t="s">
        <v>1419</v>
      </c>
      <c r="M78" t="s">
        <v>1799</v>
      </c>
      <c r="N78" t="s">
        <v>1799</v>
      </c>
      <c r="O78" s="184" t="str">
        <f>"["&amp;$C78&amp;"]["&amp;$D78&amp;"]["&amp;$F78&amp;"]"</f>
        <v>[S03_ActivityPermits][16][ActivityPermitsIssued]</v>
      </c>
    </row>
    <row r="79" spans="1:15" x14ac:dyDescent="0.3">
      <c r="A79" t="s">
        <v>1793</v>
      </c>
      <c r="B79" t="s">
        <v>1864</v>
      </c>
      <c r="C79" t="s">
        <v>1867</v>
      </c>
      <c r="D79">
        <v>17</v>
      </c>
      <c r="E79" t="s">
        <v>1447</v>
      </c>
      <c r="F79" t="s">
        <v>1868</v>
      </c>
      <c r="G79" t="s">
        <v>1833</v>
      </c>
      <c r="H79" t="s">
        <v>1799</v>
      </c>
      <c r="I79" t="s">
        <v>1799</v>
      </c>
      <c r="J79" t="s">
        <v>1799</v>
      </c>
      <c r="K79" t="s">
        <v>1799</v>
      </c>
      <c r="L79" t="s">
        <v>1419</v>
      </c>
      <c r="M79" t="s">
        <v>1799</v>
      </c>
      <c r="N79" t="s">
        <v>1799</v>
      </c>
      <c r="O79" s="184" t="str">
        <f>"["&amp;$C79&amp;"]["&amp;$D79&amp;"]["&amp;$F79&amp;"]"</f>
        <v>[S03_ActivityPermits][17][ActivityPermitsIssued]</v>
      </c>
    </row>
    <row r="80" spans="1:15" x14ac:dyDescent="0.3">
      <c r="A80" t="s">
        <v>1793</v>
      </c>
      <c r="B80" t="s">
        <v>1864</v>
      </c>
      <c r="C80" t="s">
        <v>1867</v>
      </c>
      <c r="D80">
        <v>18</v>
      </c>
      <c r="E80" t="s">
        <v>1447</v>
      </c>
      <c r="F80" t="s">
        <v>1868</v>
      </c>
      <c r="G80" t="s">
        <v>1833</v>
      </c>
      <c r="H80" t="s">
        <v>1799</v>
      </c>
      <c r="I80" t="s">
        <v>1799</v>
      </c>
      <c r="J80" t="s">
        <v>1799</v>
      </c>
      <c r="K80" t="s">
        <v>1799</v>
      </c>
      <c r="L80" t="s">
        <v>1447</v>
      </c>
      <c r="M80" t="s">
        <v>1799</v>
      </c>
      <c r="N80" t="s">
        <v>1799</v>
      </c>
      <c r="O80" s="184" t="str">
        <f>"["&amp;$C80&amp;"]["&amp;$D80&amp;"]["&amp;$F80&amp;"]"</f>
        <v>[S03_ActivityPermits][18][ActivityPermitsIssued]</v>
      </c>
    </row>
    <row r="81" spans="1:15" x14ac:dyDescent="0.3">
      <c r="A81" t="s">
        <v>1793</v>
      </c>
      <c r="B81" t="s">
        <v>1864</v>
      </c>
      <c r="C81" t="s">
        <v>1867</v>
      </c>
      <c r="D81">
        <v>19</v>
      </c>
      <c r="E81" t="s">
        <v>1447</v>
      </c>
      <c r="F81" t="s">
        <v>1868</v>
      </c>
      <c r="G81" t="s">
        <v>1833</v>
      </c>
      <c r="H81" t="s">
        <v>1799</v>
      </c>
      <c r="I81" t="s">
        <v>1799</v>
      </c>
      <c r="J81" t="s">
        <v>1799</v>
      </c>
      <c r="K81" t="s">
        <v>1799</v>
      </c>
      <c r="L81" t="s">
        <v>1419</v>
      </c>
      <c r="M81" t="s">
        <v>1799</v>
      </c>
      <c r="N81" t="s">
        <v>1799</v>
      </c>
      <c r="O81" s="184" t="str">
        <f>"["&amp;$C81&amp;"]["&amp;$D81&amp;"]["&amp;$F81&amp;"]"</f>
        <v>[S03_ActivityPermits][19][ActivityPermitsIssued]</v>
      </c>
    </row>
    <row r="82" spans="1:15" x14ac:dyDescent="0.3">
      <c r="A82" t="s">
        <v>1793</v>
      </c>
      <c r="B82" t="s">
        <v>1864</v>
      </c>
      <c r="C82" t="s">
        <v>1867</v>
      </c>
      <c r="D82">
        <v>20</v>
      </c>
      <c r="E82" t="s">
        <v>1447</v>
      </c>
      <c r="F82" t="s">
        <v>1868</v>
      </c>
      <c r="G82" t="s">
        <v>1833</v>
      </c>
      <c r="H82" t="s">
        <v>1799</v>
      </c>
      <c r="I82" t="s">
        <v>1799</v>
      </c>
      <c r="J82" t="s">
        <v>1799</v>
      </c>
      <c r="K82" t="s">
        <v>1799</v>
      </c>
      <c r="L82" t="s">
        <v>1447</v>
      </c>
      <c r="M82" t="s">
        <v>1799</v>
      </c>
      <c r="N82" t="s">
        <v>1799</v>
      </c>
      <c r="O82" s="184" t="str">
        <f>"["&amp;$C82&amp;"]["&amp;$D82&amp;"]["&amp;$F82&amp;"]"</f>
        <v>[S03_ActivityPermits][20][ActivityPermitsIssued]</v>
      </c>
    </row>
    <row r="83" spans="1:15" x14ac:dyDescent="0.3">
      <c r="A83" t="s">
        <v>1793</v>
      </c>
      <c r="B83" t="s">
        <v>1864</v>
      </c>
      <c r="C83" t="s">
        <v>1867</v>
      </c>
      <c r="D83">
        <v>21</v>
      </c>
      <c r="E83" t="s">
        <v>1447</v>
      </c>
      <c r="F83" t="s">
        <v>1868</v>
      </c>
      <c r="G83" t="s">
        <v>1833</v>
      </c>
      <c r="H83" t="s">
        <v>1799</v>
      </c>
      <c r="I83" t="s">
        <v>1799</v>
      </c>
      <c r="J83" t="s">
        <v>1799</v>
      </c>
      <c r="K83" t="s">
        <v>1799</v>
      </c>
      <c r="L83" t="s">
        <v>1447</v>
      </c>
      <c r="M83" t="s">
        <v>1799</v>
      </c>
      <c r="N83" t="s">
        <v>1799</v>
      </c>
      <c r="O83" s="184" t="str">
        <f>"["&amp;$C83&amp;"]["&amp;$D83&amp;"]["&amp;$F83&amp;"]"</f>
        <v>[S03_ActivityPermits][21][ActivityPermitsIssued]</v>
      </c>
    </row>
    <row r="84" spans="1:15" x14ac:dyDescent="0.3">
      <c r="A84" t="s">
        <v>1793</v>
      </c>
      <c r="B84" t="s">
        <v>1864</v>
      </c>
      <c r="C84" t="s">
        <v>1867</v>
      </c>
      <c r="D84">
        <v>22</v>
      </c>
      <c r="E84" t="s">
        <v>1447</v>
      </c>
      <c r="F84" t="s">
        <v>1868</v>
      </c>
      <c r="G84" t="s">
        <v>1833</v>
      </c>
      <c r="H84" t="s">
        <v>1799</v>
      </c>
      <c r="I84" t="s">
        <v>1799</v>
      </c>
      <c r="J84" t="s">
        <v>1799</v>
      </c>
      <c r="K84" t="s">
        <v>1799</v>
      </c>
      <c r="L84" t="s">
        <v>1419</v>
      </c>
      <c r="M84" t="s">
        <v>1799</v>
      </c>
      <c r="N84" t="s">
        <v>1799</v>
      </c>
      <c r="O84" s="184" t="str">
        <f>"["&amp;$C84&amp;"]["&amp;$D84&amp;"]["&amp;$F84&amp;"]"</f>
        <v>[S03_ActivityPermits][22][ActivityPermitsIssued]</v>
      </c>
    </row>
    <row r="85" spans="1:15" x14ac:dyDescent="0.3">
      <c r="A85" t="s">
        <v>1793</v>
      </c>
      <c r="B85" t="s">
        <v>1864</v>
      </c>
      <c r="C85" t="s">
        <v>1867</v>
      </c>
      <c r="D85">
        <v>23</v>
      </c>
      <c r="E85" t="s">
        <v>1447</v>
      </c>
      <c r="F85" t="s">
        <v>1868</v>
      </c>
      <c r="G85" t="s">
        <v>1833</v>
      </c>
      <c r="H85" t="s">
        <v>1799</v>
      </c>
      <c r="I85" t="s">
        <v>1799</v>
      </c>
      <c r="J85" t="s">
        <v>1799</v>
      </c>
      <c r="K85" t="s">
        <v>1799</v>
      </c>
      <c r="L85" t="s">
        <v>1419</v>
      </c>
      <c r="M85" t="s">
        <v>1799</v>
      </c>
      <c r="N85" t="s">
        <v>1799</v>
      </c>
      <c r="O85" s="184" t="str">
        <f>"["&amp;$C85&amp;"]["&amp;$D85&amp;"]["&amp;$F85&amp;"]"</f>
        <v>[S03_ActivityPermits][23][ActivityPermitsIssued]</v>
      </c>
    </row>
    <row r="86" spans="1:15" x14ac:dyDescent="0.3">
      <c r="A86" t="s">
        <v>1793</v>
      </c>
      <c r="B86" t="s">
        <v>1864</v>
      </c>
      <c r="C86" t="s">
        <v>1867</v>
      </c>
      <c r="D86">
        <v>24</v>
      </c>
      <c r="E86" t="s">
        <v>1447</v>
      </c>
      <c r="F86" t="s">
        <v>1868</v>
      </c>
      <c r="G86" t="s">
        <v>1833</v>
      </c>
      <c r="H86" t="s">
        <v>1799</v>
      </c>
      <c r="I86" t="s">
        <v>1799</v>
      </c>
      <c r="J86" t="s">
        <v>1799</v>
      </c>
      <c r="K86" t="s">
        <v>1799</v>
      </c>
      <c r="L86" t="s">
        <v>1447</v>
      </c>
      <c r="M86" t="s">
        <v>1799</v>
      </c>
      <c r="N86" t="s">
        <v>1799</v>
      </c>
      <c r="O86" s="184" t="str">
        <f>"["&amp;$C86&amp;"]["&amp;$D86&amp;"]["&amp;$F86&amp;"]"</f>
        <v>[S03_ActivityPermits][24][ActivityPermitsIssued]</v>
      </c>
    </row>
    <row r="87" spans="1:15" x14ac:dyDescent="0.3">
      <c r="A87" t="s">
        <v>1793</v>
      </c>
      <c r="B87" t="s">
        <v>1864</v>
      </c>
      <c r="C87" t="s">
        <v>1867</v>
      </c>
      <c r="D87">
        <v>25</v>
      </c>
      <c r="E87" t="s">
        <v>1447</v>
      </c>
      <c r="F87" t="s">
        <v>1868</v>
      </c>
      <c r="G87" t="s">
        <v>1833</v>
      </c>
      <c r="H87" t="s">
        <v>1799</v>
      </c>
      <c r="I87" t="s">
        <v>1799</v>
      </c>
      <c r="J87" t="s">
        <v>1799</v>
      </c>
      <c r="K87" t="s">
        <v>1799</v>
      </c>
      <c r="L87" t="s">
        <v>1447</v>
      </c>
      <c r="M87" t="s">
        <v>1799</v>
      </c>
      <c r="N87" t="s">
        <v>1799</v>
      </c>
      <c r="O87" s="184" t="str">
        <f>"["&amp;$C87&amp;"]["&amp;$D87&amp;"]["&amp;$F87&amp;"]"</f>
        <v>[S03_ActivityPermits][25][ActivityPermitsIssued]</v>
      </c>
    </row>
    <row r="88" spans="1:15" x14ac:dyDescent="0.3">
      <c r="A88" t="s">
        <v>1793</v>
      </c>
      <c r="B88" t="s">
        <v>1864</v>
      </c>
      <c r="C88" t="s">
        <v>1867</v>
      </c>
      <c r="D88">
        <v>26</v>
      </c>
      <c r="E88" t="s">
        <v>1447</v>
      </c>
      <c r="F88" t="s">
        <v>1868</v>
      </c>
      <c r="G88" t="s">
        <v>1833</v>
      </c>
      <c r="H88" t="s">
        <v>1799</v>
      </c>
      <c r="I88" t="s">
        <v>1799</v>
      </c>
      <c r="J88" t="s">
        <v>1799</v>
      </c>
      <c r="K88" t="s">
        <v>1799</v>
      </c>
      <c r="L88" t="s">
        <v>1419</v>
      </c>
      <c r="M88" t="s">
        <v>1799</v>
      </c>
      <c r="N88" t="s">
        <v>1799</v>
      </c>
      <c r="O88" s="184" t="str">
        <f>"["&amp;$C88&amp;"]["&amp;$D88&amp;"]["&amp;$F88&amp;"]"</f>
        <v>[S03_ActivityPermits][26][ActivityPermitsIssued]</v>
      </c>
    </row>
    <row r="89" spans="1:15" x14ac:dyDescent="0.3">
      <c r="A89" t="s">
        <v>1793</v>
      </c>
      <c r="B89" t="s">
        <v>1864</v>
      </c>
      <c r="C89" t="s">
        <v>1867</v>
      </c>
      <c r="D89">
        <v>27</v>
      </c>
      <c r="E89" t="s">
        <v>1447</v>
      </c>
      <c r="F89" t="s">
        <v>1868</v>
      </c>
      <c r="G89" t="s">
        <v>1833</v>
      </c>
      <c r="H89" t="s">
        <v>1799</v>
      </c>
      <c r="I89" t="s">
        <v>1799</v>
      </c>
      <c r="J89" t="s">
        <v>1799</v>
      </c>
      <c r="K89" t="s">
        <v>1799</v>
      </c>
      <c r="L89" t="s">
        <v>1419</v>
      </c>
      <c r="M89" t="s">
        <v>1799</v>
      </c>
      <c r="N89" t="s">
        <v>1799</v>
      </c>
      <c r="O89" s="184" t="str">
        <f>"["&amp;$C89&amp;"]["&amp;$D89&amp;"]["&amp;$F89&amp;"]"</f>
        <v>[S03_ActivityPermits][27][ActivityPermitsIssued]</v>
      </c>
    </row>
    <row r="90" spans="1:15" x14ac:dyDescent="0.3">
      <c r="A90" t="s">
        <v>1793</v>
      </c>
      <c r="B90" t="s">
        <v>1864</v>
      </c>
      <c r="C90" t="s">
        <v>1867</v>
      </c>
      <c r="D90">
        <v>28</v>
      </c>
      <c r="E90" t="s">
        <v>1447</v>
      </c>
      <c r="F90" t="s">
        <v>1868</v>
      </c>
      <c r="G90" t="s">
        <v>1833</v>
      </c>
      <c r="H90" t="s">
        <v>1799</v>
      </c>
      <c r="I90" t="s">
        <v>1799</v>
      </c>
      <c r="J90" t="s">
        <v>1799</v>
      </c>
      <c r="K90" t="s">
        <v>1799</v>
      </c>
      <c r="L90" t="s">
        <v>1419</v>
      </c>
      <c r="M90" t="s">
        <v>1799</v>
      </c>
      <c r="N90" t="s">
        <v>1799</v>
      </c>
      <c r="O90" s="184" t="str">
        <f>"["&amp;$C90&amp;"]["&amp;$D90&amp;"]["&amp;$F90&amp;"]"</f>
        <v>[S03_ActivityPermits][28][ActivityPermitsIssued]</v>
      </c>
    </row>
    <row r="91" spans="1:15" x14ac:dyDescent="0.3">
      <c r="A91" t="s">
        <v>1793</v>
      </c>
      <c r="B91" t="s">
        <v>1869</v>
      </c>
      <c r="C91" t="s">
        <v>1870</v>
      </c>
      <c r="D91">
        <v>0</v>
      </c>
      <c r="E91" t="s">
        <v>1447</v>
      </c>
      <c r="F91" t="s">
        <v>1870</v>
      </c>
      <c r="G91" t="s">
        <v>1833</v>
      </c>
      <c r="H91" t="s">
        <v>1799</v>
      </c>
      <c r="I91" t="s">
        <v>1799</v>
      </c>
      <c r="J91" t="s">
        <v>1799</v>
      </c>
      <c r="K91" t="s">
        <v>1799</v>
      </c>
      <c r="L91" t="s">
        <v>1447</v>
      </c>
      <c r="M91" t="s">
        <v>1799</v>
      </c>
      <c r="N91" t="s">
        <v>1799</v>
      </c>
      <c r="O91" s="184" t="str">
        <f>"["&amp;$C91&amp;"]["&amp;$D91&amp;"]["&amp;$F91&amp;"]"</f>
        <v>[InstallationsExcludedArt27][0][InstallationsExcludedArt27]</v>
      </c>
    </row>
    <row r="92" spans="1:15" x14ac:dyDescent="0.3">
      <c r="A92" t="s">
        <v>1793</v>
      </c>
      <c r="B92" t="s">
        <v>1871</v>
      </c>
      <c r="C92" t="s">
        <v>1872</v>
      </c>
      <c r="D92">
        <v>1</v>
      </c>
      <c r="E92" t="s">
        <v>1447</v>
      </c>
      <c r="F92" t="s">
        <v>1873</v>
      </c>
      <c r="G92" t="s">
        <v>1811</v>
      </c>
      <c r="H92" t="s">
        <v>1799</v>
      </c>
      <c r="I92">
        <v>5</v>
      </c>
      <c r="J92" t="s">
        <v>1799</v>
      </c>
      <c r="K92" t="s">
        <v>1799</v>
      </c>
      <c r="L92" t="s">
        <v>1799</v>
      </c>
      <c r="M92" t="s">
        <v>1799</v>
      </c>
      <c r="N92" t="s">
        <v>1799</v>
      </c>
      <c r="O92" s="184" t="str">
        <f>"["&amp;$C92&amp;"]["&amp;$D92&amp;"]["&amp;$F92&amp;"]"</f>
        <v>[S03_AircraftAnnex1Activities][1][NumberCommercialOperators]</v>
      </c>
    </row>
    <row r="93" spans="1:15" x14ac:dyDescent="0.3">
      <c r="A93" t="s">
        <v>1793</v>
      </c>
      <c r="B93" t="s">
        <v>1871</v>
      </c>
      <c r="C93" t="s">
        <v>1872</v>
      </c>
      <c r="D93">
        <v>2</v>
      </c>
      <c r="E93" t="s">
        <v>1447</v>
      </c>
      <c r="F93" t="s">
        <v>1873</v>
      </c>
      <c r="G93" t="s">
        <v>1811</v>
      </c>
      <c r="H93" t="s">
        <v>1799</v>
      </c>
      <c r="I93">
        <v>0</v>
      </c>
      <c r="J93" t="s">
        <v>1799</v>
      </c>
      <c r="K93" t="s">
        <v>1799</v>
      </c>
      <c r="L93" t="s">
        <v>1799</v>
      </c>
      <c r="M93" t="s">
        <v>1799</v>
      </c>
      <c r="N93" t="s">
        <v>1799</v>
      </c>
      <c r="O93" s="184" t="str">
        <f>"["&amp;$C93&amp;"]["&amp;$D93&amp;"]["&amp;$F93&amp;"]"</f>
        <v>[S03_AircraftAnnex1Activities][2][NumberCommercialOperators]</v>
      </c>
    </row>
    <row r="94" spans="1:15" x14ac:dyDescent="0.3">
      <c r="A94" t="s">
        <v>1793</v>
      </c>
      <c r="B94" t="s">
        <v>1871</v>
      </c>
      <c r="C94" t="s">
        <v>1872</v>
      </c>
      <c r="D94">
        <v>3</v>
      </c>
      <c r="E94" t="s">
        <v>1447</v>
      </c>
      <c r="F94" t="s">
        <v>1873</v>
      </c>
      <c r="G94" t="s">
        <v>1811</v>
      </c>
      <c r="H94" t="s">
        <v>1799</v>
      </c>
      <c r="I94">
        <v>5</v>
      </c>
      <c r="J94" t="s">
        <v>1799</v>
      </c>
      <c r="K94" t="s">
        <v>1799</v>
      </c>
      <c r="L94" t="s">
        <v>1799</v>
      </c>
      <c r="M94" t="s">
        <v>1799</v>
      </c>
      <c r="N94" t="s">
        <v>1799</v>
      </c>
      <c r="O94" s="184" t="str">
        <f>"["&amp;$C94&amp;"]["&amp;$D94&amp;"]["&amp;$F94&amp;"]"</f>
        <v>[S03_AircraftAnnex1Activities][3][NumberCommercialOperators]</v>
      </c>
    </row>
    <row r="95" spans="1:15" x14ac:dyDescent="0.3">
      <c r="A95" t="s">
        <v>1793</v>
      </c>
      <c r="B95" t="s">
        <v>1871</v>
      </c>
      <c r="C95" t="s">
        <v>1872</v>
      </c>
      <c r="D95">
        <v>1</v>
      </c>
      <c r="E95" t="s">
        <v>1447</v>
      </c>
      <c r="F95" t="s">
        <v>1874</v>
      </c>
      <c r="G95" t="s">
        <v>1811</v>
      </c>
      <c r="H95" t="s">
        <v>1799</v>
      </c>
      <c r="I95">
        <v>0</v>
      </c>
      <c r="J95" t="s">
        <v>1799</v>
      </c>
      <c r="K95" t="s">
        <v>1799</v>
      </c>
      <c r="L95" t="s">
        <v>1799</v>
      </c>
      <c r="M95" t="s">
        <v>1799</v>
      </c>
      <c r="N95" t="s">
        <v>1799</v>
      </c>
      <c r="O95" s="184" t="str">
        <f>"["&amp;$C95&amp;"]["&amp;$D95&amp;"]["&amp;$F95&amp;"]"</f>
        <v>[S03_AircraftAnnex1Activities][1][NumberNonCommercialOperators]</v>
      </c>
    </row>
    <row r="96" spans="1:15" x14ac:dyDescent="0.3">
      <c r="A96" t="s">
        <v>1793</v>
      </c>
      <c r="B96" t="s">
        <v>1871</v>
      </c>
      <c r="C96" t="s">
        <v>1872</v>
      </c>
      <c r="D96">
        <v>2</v>
      </c>
      <c r="E96" t="s">
        <v>1447</v>
      </c>
      <c r="F96" t="s">
        <v>1874</v>
      </c>
      <c r="G96" t="s">
        <v>1811</v>
      </c>
      <c r="H96" t="s">
        <v>1799</v>
      </c>
      <c r="I96">
        <v>0</v>
      </c>
      <c r="J96" t="s">
        <v>1799</v>
      </c>
      <c r="K96" t="s">
        <v>1799</v>
      </c>
      <c r="L96" t="s">
        <v>1799</v>
      </c>
      <c r="M96" t="s">
        <v>1799</v>
      </c>
      <c r="N96" t="s">
        <v>1799</v>
      </c>
      <c r="O96" s="184" t="str">
        <f>"["&amp;$C96&amp;"]["&amp;$D96&amp;"]["&amp;$F96&amp;"]"</f>
        <v>[S03_AircraftAnnex1Activities][2][NumberNonCommercialOperators]</v>
      </c>
    </row>
    <row r="97" spans="1:15" x14ac:dyDescent="0.3">
      <c r="A97" t="s">
        <v>1793</v>
      </c>
      <c r="B97" t="s">
        <v>1871</v>
      </c>
      <c r="C97" t="s">
        <v>1872</v>
      </c>
      <c r="D97">
        <v>3</v>
      </c>
      <c r="E97" t="s">
        <v>1447</v>
      </c>
      <c r="F97" t="s">
        <v>1874</v>
      </c>
      <c r="G97" t="s">
        <v>1811</v>
      </c>
      <c r="H97" t="s">
        <v>1799</v>
      </c>
      <c r="I97">
        <v>0</v>
      </c>
      <c r="J97" t="s">
        <v>1799</v>
      </c>
      <c r="K97" t="s">
        <v>1799</v>
      </c>
      <c r="L97" t="s">
        <v>1799</v>
      </c>
      <c r="M97" t="s">
        <v>1799</v>
      </c>
      <c r="N97" t="s">
        <v>1799</v>
      </c>
      <c r="O97" s="184" t="str">
        <f>"["&amp;$C97&amp;"]["&amp;$D97&amp;"]["&amp;$F97&amp;"]"</f>
        <v>[S03_AircraftAnnex1Activities][3][NumberNonCommercialOperators]</v>
      </c>
    </row>
    <row r="98" spans="1:15" x14ac:dyDescent="0.3">
      <c r="A98" t="s">
        <v>1793</v>
      </c>
      <c r="B98" t="s">
        <v>1871</v>
      </c>
      <c r="C98" t="s">
        <v>1872</v>
      </c>
      <c r="D98">
        <v>1</v>
      </c>
      <c r="E98" t="s">
        <v>1447</v>
      </c>
      <c r="F98" t="s">
        <v>1875</v>
      </c>
      <c r="G98" t="s">
        <v>1811</v>
      </c>
      <c r="H98" t="s">
        <v>1799</v>
      </c>
      <c r="I98">
        <v>5</v>
      </c>
      <c r="J98" t="s">
        <v>1799</v>
      </c>
      <c r="K98" t="s">
        <v>1799</v>
      </c>
      <c r="L98" t="s">
        <v>1799</v>
      </c>
      <c r="M98" t="s">
        <v>1799</v>
      </c>
      <c r="N98" t="s">
        <v>1799</v>
      </c>
      <c r="O98" s="184" t="str">
        <f>"["&amp;$C98&amp;"]["&amp;$D98&amp;"]["&amp;$F98&amp;"]"</f>
        <v>[S03_AircraftAnnex1Activities][1][NumberTotalOperators]</v>
      </c>
    </row>
    <row r="99" spans="1:15" x14ac:dyDescent="0.3">
      <c r="A99" t="s">
        <v>1793</v>
      </c>
      <c r="B99" t="s">
        <v>1871</v>
      </c>
      <c r="C99" t="s">
        <v>1872</v>
      </c>
      <c r="D99">
        <v>2</v>
      </c>
      <c r="E99" t="s">
        <v>1447</v>
      </c>
      <c r="F99" t="s">
        <v>1875</v>
      </c>
      <c r="G99" t="s">
        <v>1811</v>
      </c>
      <c r="H99" t="s">
        <v>1799</v>
      </c>
      <c r="I99">
        <v>0</v>
      </c>
      <c r="J99" t="s">
        <v>1799</v>
      </c>
      <c r="K99" t="s">
        <v>1799</v>
      </c>
      <c r="L99" t="s">
        <v>1799</v>
      </c>
      <c r="M99" t="s">
        <v>1799</v>
      </c>
      <c r="N99" t="s">
        <v>1799</v>
      </c>
      <c r="O99" s="184" t="str">
        <f>"["&amp;$C99&amp;"]["&amp;$D99&amp;"]["&amp;$F99&amp;"]"</f>
        <v>[S03_AircraftAnnex1Activities][2][NumberTotalOperators]</v>
      </c>
    </row>
    <row r="100" spans="1:15" x14ac:dyDescent="0.3">
      <c r="A100" t="s">
        <v>1793</v>
      </c>
      <c r="B100" t="s">
        <v>1871</v>
      </c>
      <c r="C100" t="s">
        <v>1872</v>
      </c>
      <c r="D100">
        <v>3</v>
      </c>
      <c r="E100" t="s">
        <v>1447</v>
      </c>
      <c r="F100" t="s">
        <v>1875</v>
      </c>
      <c r="G100" t="s">
        <v>1811</v>
      </c>
      <c r="H100" t="s">
        <v>1799</v>
      </c>
      <c r="I100">
        <v>5</v>
      </c>
      <c r="J100" t="s">
        <v>1799</v>
      </c>
      <c r="K100" t="s">
        <v>1799</v>
      </c>
      <c r="L100" t="s">
        <v>1799</v>
      </c>
      <c r="M100" t="s">
        <v>1799</v>
      </c>
      <c r="N100" t="s">
        <v>1799</v>
      </c>
      <c r="O100" s="184" t="str">
        <f>"["&amp;$C100&amp;"]["&amp;$D100&amp;"]["&amp;$F100&amp;"]"</f>
        <v>[S03_AircraftAnnex1Activities][3][NumberTotalOperators]</v>
      </c>
    </row>
    <row r="101" spans="1:15" x14ac:dyDescent="0.3">
      <c r="A101" t="s">
        <v>1793</v>
      </c>
      <c r="B101" t="s">
        <v>1876</v>
      </c>
      <c r="C101" t="s">
        <v>1877</v>
      </c>
      <c r="D101">
        <v>1</v>
      </c>
      <c r="E101" t="s">
        <v>1447</v>
      </c>
      <c r="F101" t="s">
        <v>1878</v>
      </c>
      <c r="G101" t="s">
        <v>1737</v>
      </c>
      <c r="H101" t="s">
        <v>1799</v>
      </c>
      <c r="I101" t="s">
        <v>1799</v>
      </c>
      <c r="J101" t="s">
        <v>1799</v>
      </c>
      <c r="K101" t="s">
        <v>1799</v>
      </c>
      <c r="L101" t="s">
        <v>1447</v>
      </c>
      <c r="M101" t="s">
        <v>1799</v>
      </c>
      <c r="N101" t="s">
        <v>1799</v>
      </c>
      <c r="O101" s="184" t="str">
        <f>"["&amp;$C101&amp;"]["&amp;$D101&amp;"]["&amp;$F101&amp;"]"</f>
        <v>[S04_IEDProcedureRequirementsIntegratedYes][1][IntegrationYesNo]</v>
      </c>
    </row>
    <row r="102" spans="1:15" x14ac:dyDescent="0.3">
      <c r="A102" t="s">
        <v>1793</v>
      </c>
      <c r="B102" t="s">
        <v>1876</v>
      </c>
      <c r="C102" t="s">
        <v>1877</v>
      </c>
      <c r="D102">
        <v>2</v>
      </c>
      <c r="E102" t="s">
        <v>1447</v>
      </c>
      <c r="F102" t="s">
        <v>1878</v>
      </c>
      <c r="G102" t="s">
        <v>1737</v>
      </c>
      <c r="H102" t="s">
        <v>1799</v>
      </c>
      <c r="I102" t="s">
        <v>1799</v>
      </c>
      <c r="J102" t="s">
        <v>1799</v>
      </c>
      <c r="K102" t="s">
        <v>1799</v>
      </c>
      <c r="L102" t="s">
        <v>1447</v>
      </c>
      <c r="M102" t="s">
        <v>1799</v>
      </c>
      <c r="N102" t="s">
        <v>1799</v>
      </c>
      <c r="O102" s="184" t="str">
        <f>"["&amp;$C102&amp;"]["&amp;$D102&amp;"]["&amp;$F102&amp;"]"</f>
        <v>[S04_IEDProcedureRequirementsIntegratedYes][2][IntegrationYesNo]</v>
      </c>
    </row>
    <row r="103" spans="1:15" x14ac:dyDescent="0.3">
      <c r="A103" t="s">
        <v>1793</v>
      </c>
      <c r="B103" t="s">
        <v>1876</v>
      </c>
      <c r="C103" t="s">
        <v>1877</v>
      </c>
      <c r="D103">
        <v>3</v>
      </c>
      <c r="E103" t="s">
        <v>1447</v>
      </c>
      <c r="F103" t="s">
        <v>1878</v>
      </c>
      <c r="G103" t="s">
        <v>1737</v>
      </c>
      <c r="H103" t="s">
        <v>1799</v>
      </c>
      <c r="I103" t="s">
        <v>1799</v>
      </c>
      <c r="J103" t="s">
        <v>1799</v>
      </c>
      <c r="K103" t="s">
        <v>1799</v>
      </c>
      <c r="L103" t="s">
        <v>1419</v>
      </c>
      <c r="M103" t="s">
        <v>1799</v>
      </c>
      <c r="N103" t="s">
        <v>1799</v>
      </c>
      <c r="O103" s="184" t="str">
        <f>"["&amp;$C103&amp;"]["&amp;$D103&amp;"]["&amp;$F103&amp;"]"</f>
        <v>[S04_IEDProcedureRequirementsIntegratedYes][3][IntegrationYesNo]</v>
      </c>
    </row>
    <row r="104" spans="1:15" x14ac:dyDescent="0.3">
      <c r="A104" t="s">
        <v>1793</v>
      </c>
      <c r="B104" t="s">
        <v>1876</v>
      </c>
      <c r="C104" t="s">
        <v>1877</v>
      </c>
      <c r="D104">
        <v>4</v>
      </c>
      <c r="E104" t="s">
        <v>1447</v>
      </c>
      <c r="F104" t="s">
        <v>1878</v>
      </c>
      <c r="G104" t="s">
        <v>1737</v>
      </c>
      <c r="H104" t="s">
        <v>1799</v>
      </c>
      <c r="I104" t="s">
        <v>1799</v>
      </c>
      <c r="J104" t="s">
        <v>1799</v>
      </c>
      <c r="K104" t="s">
        <v>1799</v>
      </c>
      <c r="L104" t="s">
        <v>1447</v>
      </c>
      <c r="M104" t="s">
        <v>1799</v>
      </c>
      <c r="N104" t="s">
        <v>1799</v>
      </c>
      <c r="O104" s="184" t="str">
        <f>"["&amp;$C104&amp;"]["&amp;$D104&amp;"]["&amp;$F104&amp;"]"</f>
        <v>[S04_IEDProcedureRequirementsIntegratedYes][4][IntegrationYesNo]</v>
      </c>
    </row>
    <row r="105" spans="1:15" x14ac:dyDescent="0.3">
      <c r="A105" t="s">
        <v>1793</v>
      </c>
      <c r="B105" t="s">
        <v>1876</v>
      </c>
      <c r="C105" t="s">
        <v>1877</v>
      </c>
      <c r="D105">
        <v>5</v>
      </c>
      <c r="E105" t="s">
        <v>1447</v>
      </c>
      <c r="F105" t="s">
        <v>1878</v>
      </c>
      <c r="G105" t="s">
        <v>1737</v>
      </c>
      <c r="H105" t="s">
        <v>1799</v>
      </c>
      <c r="I105" t="s">
        <v>1799</v>
      </c>
      <c r="J105" t="s">
        <v>1799</v>
      </c>
      <c r="K105" t="s">
        <v>1799</v>
      </c>
      <c r="L105" t="s">
        <v>1477</v>
      </c>
      <c r="M105" t="s">
        <v>1799</v>
      </c>
      <c r="N105" t="s">
        <v>1799</v>
      </c>
      <c r="O105" s="184" t="str">
        <f>"["&amp;$C105&amp;"]["&amp;$D105&amp;"]["&amp;$F105&amp;"]"</f>
        <v>[S04_IEDProcedureRequirementsIntegratedYes][5][IntegrationYesNo]</v>
      </c>
    </row>
    <row r="106" spans="1:15" x14ac:dyDescent="0.3">
      <c r="A106" t="s">
        <v>1793</v>
      </c>
      <c r="B106" t="s">
        <v>1876</v>
      </c>
      <c r="C106" t="s">
        <v>1877</v>
      </c>
      <c r="D106">
        <v>6</v>
      </c>
      <c r="E106" t="s">
        <v>1447</v>
      </c>
      <c r="F106" t="s">
        <v>1878</v>
      </c>
      <c r="G106" t="s">
        <v>1737</v>
      </c>
      <c r="H106" t="s">
        <v>1799</v>
      </c>
      <c r="I106" t="s">
        <v>1799</v>
      </c>
      <c r="J106" t="s">
        <v>1799</v>
      </c>
      <c r="K106" t="s">
        <v>1799</v>
      </c>
      <c r="L106" t="s">
        <v>1447</v>
      </c>
      <c r="M106" t="s">
        <v>1799</v>
      </c>
      <c r="N106" t="s">
        <v>1799</v>
      </c>
      <c r="O106" s="184" t="str">
        <f>"["&amp;$C106&amp;"]["&amp;$D106&amp;"]["&amp;$F106&amp;"]"</f>
        <v>[S04_IEDProcedureRequirementsIntegratedYes][6][IntegrationYesNo]</v>
      </c>
    </row>
    <row r="107" spans="1:15" x14ac:dyDescent="0.3">
      <c r="A107" t="s">
        <v>1793</v>
      </c>
      <c r="B107" t="s">
        <v>1876</v>
      </c>
      <c r="C107" t="s">
        <v>1877</v>
      </c>
      <c r="D107">
        <v>3</v>
      </c>
      <c r="E107" t="s">
        <v>1447</v>
      </c>
      <c r="F107" t="s">
        <v>1879</v>
      </c>
      <c r="G107" t="s">
        <v>1861</v>
      </c>
      <c r="H107" t="s">
        <v>1799</v>
      </c>
      <c r="I107" t="s">
        <v>1799</v>
      </c>
      <c r="J107" t="s">
        <v>1799</v>
      </c>
      <c r="K107" t="s">
        <v>1880</v>
      </c>
      <c r="L107" t="s">
        <v>1799</v>
      </c>
      <c r="M107" t="s">
        <v>1799</v>
      </c>
      <c r="N107" t="s">
        <v>1799</v>
      </c>
      <c r="O107" s="184" t="str">
        <f>"["&amp;$C107&amp;"]["&amp;$D107&amp;"]["&amp;$F107&amp;"]"</f>
        <v>[S04_IEDProcedureRequirementsIntegratedYes][3][IntegrationComments]</v>
      </c>
    </row>
    <row r="108" spans="1:15" x14ac:dyDescent="0.3">
      <c r="A108" t="s">
        <v>1793</v>
      </c>
      <c r="B108" t="s">
        <v>1876</v>
      </c>
      <c r="C108" t="s">
        <v>1877</v>
      </c>
      <c r="D108">
        <v>4</v>
      </c>
      <c r="E108" t="s">
        <v>1447</v>
      </c>
      <c r="F108" t="s">
        <v>1879</v>
      </c>
      <c r="G108" t="s">
        <v>1861</v>
      </c>
      <c r="H108" t="s">
        <v>1799</v>
      </c>
      <c r="I108" t="s">
        <v>1799</v>
      </c>
      <c r="J108" t="s">
        <v>1799</v>
      </c>
      <c r="K108" t="s">
        <v>1881</v>
      </c>
      <c r="L108" t="s">
        <v>1799</v>
      </c>
      <c r="M108" t="s">
        <v>1799</v>
      </c>
      <c r="N108" t="s">
        <v>1799</v>
      </c>
      <c r="O108" s="184" t="str">
        <f>"["&amp;$C108&amp;"]["&amp;$D108&amp;"]["&amp;$F108&amp;"]"</f>
        <v>[S04_IEDProcedureRequirementsIntegratedYes][4][IntegrationComments]</v>
      </c>
    </row>
    <row r="109" spans="1:15" x14ac:dyDescent="0.3">
      <c r="A109" t="s">
        <v>1793</v>
      </c>
      <c r="B109" t="s">
        <v>1876</v>
      </c>
      <c r="C109" t="s">
        <v>1877</v>
      </c>
      <c r="D109">
        <v>5</v>
      </c>
      <c r="E109" t="s">
        <v>1447</v>
      </c>
      <c r="F109" t="s">
        <v>1879</v>
      </c>
      <c r="G109" t="s">
        <v>1861</v>
      </c>
      <c r="H109" t="s">
        <v>1799</v>
      </c>
      <c r="I109" t="s">
        <v>1799</v>
      </c>
      <c r="J109" t="s">
        <v>1799</v>
      </c>
      <c r="K109" t="s">
        <v>1882</v>
      </c>
      <c r="L109" t="s">
        <v>1799</v>
      </c>
      <c r="M109" t="s">
        <v>1799</v>
      </c>
      <c r="N109" t="s">
        <v>1799</v>
      </c>
      <c r="O109" s="184" t="str">
        <f>"["&amp;$C109&amp;"]["&amp;$D109&amp;"]["&amp;$F109&amp;"]"</f>
        <v>[S04_IEDProcedureRequirementsIntegratedYes][5][IntegrationComments]</v>
      </c>
    </row>
    <row r="110" spans="1:15" x14ac:dyDescent="0.3">
      <c r="A110" t="s">
        <v>1793</v>
      </c>
      <c r="B110" t="s">
        <v>1883</v>
      </c>
      <c r="C110" t="s">
        <v>1884</v>
      </c>
      <c r="D110">
        <v>1</v>
      </c>
      <c r="E110" t="s">
        <v>1447</v>
      </c>
      <c r="F110" t="s">
        <v>1885</v>
      </c>
      <c r="G110" t="s">
        <v>1797</v>
      </c>
      <c r="H110" t="s">
        <v>1886</v>
      </c>
      <c r="I110" t="s">
        <v>1799</v>
      </c>
      <c r="J110" t="s">
        <v>1799</v>
      </c>
      <c r="K110" t="s">
        <v>1799</v>
      </c>
      <c r="L110" t="s">
        <v>1799</v>
      </c>
      <c r="M110" t="s">
        <v>1799</v>
      </c>
      <c r="N110" t="s">
        <v>1799</v>
      </c>
      <c r="O110" s="184" t="str">
        <f>"["&amp;$C110&amp;"]["&amp;$D110&amp;"]["&amp;$F110&amp;"]"</f>
        <v>[S04_NationalLawPermitUpdate][1][PermitUpdateNationalLawDetail]</v>
      </c>
    </row>
    <row r="111" spans="1:15" x14ac:dyDescent="0.3">
      <c r="A111" t="s">
        <v>1793</v>
      </c>
      <c r="B111" t="s">
        <v>1883</v>
      </c>
      <c r="C111" t="s">
        <v>1884</v>
      </c>
      <c r="D111">
        <v>2</v>
      </c>
      <c r="E111" t="s">
        <v>1447</v>
      </c>
      <c r="F111" t="s">
        <v>1885</v>
      </c>
      <c r="G111" t="s">
        <v>1797</v>
      </c>
      <c r="H111" t="s">
        <v>1887</v>
      </c>
      <c r="I111" t="s">
        <v>1799</v>
      </c>
      <c r="J111" t="s">
        <v>1799</v>
      </c>
      <c r="K111" t="s">
        <v>1799</v>
      </c>
      <c r="L111" t="s">
        <v>1799</v>
      </c>
      <c r="M111" t="s">
        <v>1799</v>
      </c>
      <c r="N111" t="s">
        <v>1799</v>
      </c>
      <c r="O111" s="184" t="str">
        <f>"["&amp;$C111&amp;"]["&amp;$D111&amp;"]["&amp;$F111&amp;"]"</f>
        <v>[S04_NationalLawPermitUpdate][2][PermitUpdateNationalLawDetail]</v>
      </c>
    </row>
    <row r="112" spans="1:15" x14ac:dyDescent="0.3">
      <c r="A112" t="s">
        <v>1793</v>
      </c>
      <c r="B112" t="s">
        <v>1883</v>
      </c>
      <c r="C112" t="s">
        <v>1884</v>
      </c>
      <c r="D112">
        <v>3</v>
      </c>
      <c r="E112" t="s">
        <v>1447</v>
      </c>
      <c r="F112" t="s">
        <v>1885</v>
      </c>
      <c r="G112" t="s">
        <v>1797</v>
      </c>
      <c r="H112" t="s">
        <v>1888</v>
      </c>
      <c r="I112" t="s">
        <v>1799</v>
      </c>
      <c r="J112" t="s">
        <v>1799</v>
      </c>
      <c r="K112" t="s">
        <v>1799</v>
      </c>
      <c r="L112" t="s">
        <v>1799</v>
      </c>
      <c r="M112" t="s">
        <v>1799</v>
      </c>
      <c r="N112" t="s">
        <v>1799</v>
      </c>
      <c r="O112" s="184" t="str">
        <f>"["&amp;$C112&amp;"]["&amp;$D112&amp;"]["&amp;$F112&amp;"]"</f>
        <v>[S04_NationalLawPermitUpdate][3][PermitUpdateNationalLawDetail]</v>
      </c>
    </row>
    <row r="113" spans="1:15" x14ac:dyDescent="0.3">
      <c r="A113" t="s">
        <v>1793</v>
      </c>
      <c r="B113" t="s">
        <v>1883</v>
      </c>
      <c r="C113" t="s">
        <v>1884</v>
      </c>
      <c r="D113">
        <v>4</v>
      </c>
      <c r="E113" t="s">
        <v>1447</v>
      </c>
      <c r="F113" t="s">
        <v>1885</v>
      </c>
      <c r="G113" t="s">
        <v>1797</v>
      </c>
      <c r="H113" t="s">
        <v>1889</v>
      </c>
      <c r="I113" t="s">
        <v>1799</v>
      </c>
      <c r="J113" t="s">
        <v>1799</v>
      </c>
      <c r="K113" t="s">
        <v>1799</v>
      </c>
      <c r="L113" t="s">
        <v>1799</v>
      </c>
      <c r="M113" t="s">
        <v>1799</v>
      </c>
      <c r="N113" t="s">
        <v>1799</v>
      </c>
      <c r="O113" s="184" t="str">
        <f>"["&amp;$C113&amp;"]["&amp;$D113&amp;"]["&amp;$F113&amp;"]"</f>
        <v>[S04_NationalLawPermitUpdate][4][PermitUpdateNationalLawDetail]</v>
      </c>
    </row>
    <row r="114" spans="1:15" x14ac:dyDescent="0.3">
      <c r="A114" t="s">
        <v>1793</v>
      </c>
      <c r="B114" t="s">
        <v>1883</v>
      </c>
      <c r="C114" t="s">
        <v>1884</v>
      </c>
      <c r="D114">
        <v>5</v>
      </c>
      <c r="E114" t="s">
        <v>1447</v>
      </c>
      <c r="F114" t="s">
        <v>1885</v>
      </c>
      <c r="G114" t="s">
        <v>1797</v>
      </c>
      <c r="H114" t="s">
        <v>1890</v>
      </c>
      <c r="I114" t="s">
        <v>1799</v>
      </c>
      <c r="J114" t="s">
        <v>1799</v>
      </c>
      <c r="K114" t="s">
        <v>1799</v>
      </c>
      <c r="L114" t="s">
        <v>1799</v>
      </c>
      <c r="M114" t="s">
        <v>1799</v>
      </c>
      <c r="N114" t="s">
        <v>1799</v>
      </c>
      <c r="O114" s="184" t="str">
        <f>"["&amp;$C114&amp;"]["&amp;$D114&amp;"]["&amp;$F114&amp;"]"</f>
        <v>[S04_NationalLawPermitUpdate][5][PermitUpdateNationalLawDetail]</v>
      </c>
    </row>
    <row r="115" spans="1:15" x14ac:dyDescent="0.3">
      <c r="A115" t="s">
        <v>1793</v>
      </c>
      <c r="B115" t="s">
        <v>1883</v>
      </c>
      <c r="C115" t="s">
        <v>1884</v>
      </c>
      <c r="D115">
        <v>6</v>
      </c>
      <c r="E115" t="s">
        <v>1447</v>
      </c>
      <c r="F115" t="s">
        <v>1885</v>
      </c>
      <c r="G115" t="s">
        <v>1797</v>
      </c>
      <c r="H115" t="s">
        <v>1891</v>
      </c>
      <c r="I115" t="s">
        <v>1799</v>
      </c>
      <c r="J115" t="s">
        <v>1799</v>
      </c>
      <c r="K115" t="s">
        <v>1799</v>
      </c>
      <c r="L115" t="s">
        <v>1799</v>
      </c>
      <c r="M115" t="s">
        <v>1799</v>
      </c>
      <c r="N115" t="s">
        <v>1799</v>
      </c>
      <c r="O115" s="184" t="str">
        <f>"["&amp;$C115&amp;"]["&amp;$D115&amp;"]["&amp;$F115&amp;"]"</f>
        <v>[S04_NationalLawPermitUpdate][6][PermitUpdateNationalLawDetail]</v>
      </c>
    </row>
    <row r="116" spans="1:15" x14ac:dyDescent="0.3">
      <c r="A116" t="s">
        <v>1793</v>
      </c>
      <c r="B116" t="s">
        <v>1883</v>
      </c>
      <c r="C116" t="s">
        <v>1892</v>
      </c>
      <c r="D116">
        <v>0</v>
      </c>
      <c r="E116" t="s">
        <v>1447</v>
      </c>
      <c r="F116" t="s">
        <v>1892</v>
      </c>
      <c r="G116" t="s">
        <v>1811</v>
      </c>
      <c r="H116" t="s">
        <v>1799</v>
      </c>
      <c r="I116">
        <v>63</v>
      </c>
      <c r="J116" t="s">
        <v>1799</v>
      </c>
      <c r="K116" t="s">
        <v>1799</v>
      </c>
      <c r="L116" t="s">
        <v>1799</v>
      </c>
      <c r="M116" t="s">
        <v>1799</v>
      </c>
      <c r="N116" t="s">
        <v>1799</v>
      </c>
      <c r="O116" s="184" t="str">
        <f>"["&amp;$C116&amp;"]["&amp;$D116&amp;"]["&amp;$F116&amp;"]"</f>
        <v>[PermitUpdateTotalNumber][0][PermitUpdateTotalNumber]</v>
      </c>
    </row>
    <row r="117" spans="1:15" x14ac:dyDescent="0.3">
      <c r="A117" t="s">
        <v>1793</v>
      </c>
      <c r="B117" t="s">
        <v>1893</v>
      </c>
      <c r="C117" t="s">
        <v>1894</v>
      </c>
      <c r="D117">
        <v>0</v>
      </c>
      <c r="E117" t="s">
        <v>1447</v>
      </c>
      <c r="F117" t="s">
        <v>1894</v>
      </c>
      <c r="G117" t="s">
        <v>1833</v>
      </c>
      <c r="H117" t="s">
        <v>1799</v>
      </c>
      <c r="I117" t="s">
        <v>1799</v>
      </c>
      <c r="J117" t="s">
        <v>1799</v>
      </c>
      <c r="K117" t="s">
        <v>1799</v>
      </c>
      <c r="L117" t="s">
        <v>1419</v>
      </c>
      <c r="M117" t="s">
        <v>1799</v>
      </c>
      <c r="N117" t="s">
        <v>1799</v>
      </c>
      <c r="O117" s="184" t="str">
        <f>"["&amp;$C117&amp;"]["&amp;$D117&amp;"]["&amp;$F117&amp;"]"</f>
        <v>[AdditionalNationalLegislation][0][AdditionalNationalLegislation]</v>
      </c>
    </row>
    <row r="118" spans="1:15" x14ac:dyDescent="0.3">
      <c r="A118" t="s">
        <v>1793</v>
      </c>
      <c r="B118" t="s">
        <v>1893</v>
      </c>
      <c r="C118" t="s">
        <v>1895</v>
      </c>
      <c r="D118">
        <v>0</v>
      </c>
      <c r="E118" t="s">
        <v>1447</v>
      </c>
      <c r="F118" t="s">
        <v>1895</v>
      </c>
      <c r="G118" t="s">
        <v>1797</v>
      </c>
      <c r="H118" t="s">
        <v>1896</v>
      </c>
      <c r="I118" t="s">
        <v>1799</v>
      </c>
      <c r="J118" t="s">
        <v>1799</v>
      </c>
      <c r="K118" t="s">
        <v>1799</v>
      </c>
      <c r="L118" t="s">
        <v>1799</v>
      </c>
      <c r="M118" t="s">
        <v>1799</v>
      </c>
      <c r="N118" t="s">
        <v>1799</v>
      </c>
      <c r="O118" s="184" t="str">
        <f>"["&amp;$C118&amp;"]["&amp;$D118&amp;"]["&amp;$F118&amp;"]"</f>
        <v>[AdditionalNationalLegislationDetail][0][AdditionalNationalLegislationDetail]</v>
      </c>
    </row>
    <row r="119" spans="1:15" x14ac:dyDescent="0.3">
      <c r="A119" t="s">
        <v>1793</v>
      </c>
      <c r="B119" t="s">
        <v>1893</v>
      </c>
      <c r="C119" t="s">
        <v>1897</v>
      </c>
      <c r="D119">
        <v>0</v>
      </c>
      <c r="E119" t="s">
        <v>1447</v>
      </c>
      <c r="F119" t="s">
        <v>1897</v>
      </c>
      <c r="G119" t="s">
        <v>1833</v>
      </c>
      <c r="H119" t="s">
        <v>1799</v>
      </c>
      <c r="I119" t="s">
        <v>1799</v>
      </c>
      <c r="J119" t="s">
        <v>1799</v>
      </c>
      <c r="K119" t="s">
        <v>1799</v>
      </c>
      <c r="L119" t="s">
        <v>1419</v>
      </c>
      <c r="M119" t="s">
        <v>1799</v>
      </c>
      <c r="N119" t="s">
        <v>1799</v>
      </c>
      <c r="O119" s="184" t="str">
        <f>"["&amp;$C119&amp;"]["&amp;$D119&amp;"]["&amp;$F119&amp;"]"</f>
        <v>[AdditionalNationalGuidance][0][AdditionalNationalGuidance]</v>
      </c>
    </row>
    <row r="120" spans="1:15" x14ac:dyDescent="0.3">
      <c r="A120" t="s">
        <v>1793</v>
      </c>
      <c r="B120" t="s">
        <v>1893</v>
      </c>
      <c r="C120" t="s">
        <v>1898</v>
      </c>
      <c r="D120">
        <v>0</v>
      </c>
      <c r="E120" t="s">
        <v>1447</v>
      </c>
      <c r="F120" t="s">
        <v>1898</v>
      </c>
      <c r="G120" t="s">
        <v>1797</v>
      </c>
      <c r="H120" t="s">
        <v>1899</v>
      </c>
      <c r="I120" t="s">
        <v>1799</v>
      </c>
      <c r="J120" t="s">
        <v>1799</v>
      </c>
      <c r="K120" t="s">
        <v>1799</v>
      </c>
      <c r="L120" t="s">
        <v>1799</v>
      </c>
      <c r="M120" t="s">
        <v>1799</v>
      </c>
      <c r="N120" t="s">
        <v>1799</v>
      </c>
      <c r="O120" s="184" t="str">
        <f>"["&amp;$C120&amp;"]["&amp;$D120&amp;"]["&amp;$F120&amp;"]"</f>
        <v>[AdditionalNationalGuidanceDetail][0][AdditionalNationalGuidanceDetail]</v>
      </c>
    </row>
    <row r="121" spans="1:15" x14ac:dyDescent="0.3">
      <c r="A121" t="s">
        <v>1793</v>
      </c>
      <c r="B121" t="s">
        <v>1900</v>
      </c>
      <c r="C121" t="s">
        <v>1901</v>
      </c>
      <c r="D121">
        <v>1</v>
      </c>
      <c r="E121" t="s">
        <v>1447</v>
      </c>
      <c r="F121" t="s">
        <v>1902</v>
      </c>
      <c r="G121" t="s">
        <v>1833</v>
      </c>
      <c r="H121" t="s">
        <v>1799</v>
      </c>
      <c r="I121" t="s">
        <v>1799</v>
      </c>
      <c r="J121" t="s">
        <v>1799</v>
      </c>
      <c r="K121" t="s">
        <v>1799</v>
      </c>
      <c r="L121" t="s">
        <v>1419</v>
      </c>
      <c r="M121" t="s">
        <v>1799</v>
      </c>
      <c r="N121" t="s">
        <v>1799</v>
      </c>
      <c r="O121" s="184" t="str">
        <f>"["&amp;$C121&amp;"]["&amp;$D121&amp;"]["&amp;$F121&amp;"]"</f>
        <v>[MeasuresStreamline][1][MeasuresStreamlineYesNo]</v>
      </c>
    </row>
    <row r="122" spans="1:15" x14ac:dyDescent="0.3">
      <c r="A122" t="s">
        <v>1793</v>
      </c>
      <c r="B122" t="s">
        <v>1900</v>
      </c>
      <c r="C122" t="s">
        <v>1901</v>
      </c>
      <c r="D122">
        <v>2</v>
      </c>
      <c r="E122" t="s">
        <v>1447</v>
      </c>
      <c r="F122" t="s">
        <v>1902</v>
      </c>
      <c r="G122" t="s">
        <v>1833</v>
      </c>
      <c r="H122" t="s">
        <v>1799</v>
      </c>
      <c r="I122" t="s">
        <v>1799</v>
      </c>
      <c r="J122" t="s">
        <v>1799</v>
      </c>
      <c r="K122" t="s">
        <v>1799</v>
      </c>
      <c r="L122" t="s">
        <v>1419</v>
      </c>
      <c r="M122" t="s">
        <v>1799</v>
      </c>
      <c r="N122" t="s">
        <v>1799</v>
      </c>
      <c r="O122" s="184" t="str">
        <f>"["&amp;$C122&amp;"]["&amp;$D122&amp;"]["&amp;$F122&amp;"]"</f>
        <v>[MeasuresStreamline][2][MeasuresStreamlineYesNo]</v>
      </c>
    </row>
    <row r="123" spans="1:15" x14ac:dyDescent="0.3">
      <c r="A123" t="s">
        <v>1793</v>
      </c>
      <c r="B123" t="s">
        <v>1900</v>
      </c>
      <c r="C123" t="s">
        <v>1901</v>
      </c>
      <c r="D123">
        <v>3</v>
      </c>
      <c r="E123" t="s">
        <v>1447</v>
      </c>
      <c r="F123" t="s">
        <v>1902</v>
      </c>
      <c r="G123" t="s">
        <v>1833</v>
      </c>
      <c r="H123" t="s">
        <v>1799</v>
      </c>
      <c r="I123" t="s">
        <v>1799</v>
      </c>
      <c r="J123" t="s">
        <v>1799</v>
      </c>
      <c r="K123" t="s">
        <v>1799</v>
      </c>
      <c r="L123" t="s">
        <v>1419</v>
      </c>
      <c r="M123" t="s">
        <v>1799</v>
      </c>
      <c r="N123" t="s">
        <v>1799</v>
      </c>
      <c r="O123" s="184" t="str">
        <f>"["&amp;$C123&amp;"]["&amp;$D123&amp;"]["&amp;$F123&amp;"]"</f>
        <v>[MeasuresStreamline][3][MeasuresStreamlineYesNo]</v>
      </c>
    </row>
    <row r="124" spans="1:15" x14ac:dyDescent="0.3">
      <c r="A124" t="s">
        <v>1793</v>
      </c>
      <c r="B124" t="s">
        <v>1900</v>
      </c>
      <c r="C124" t="s">
        <v>1901</v>
      </c>
      <c r="D124">
        <v>4</v>
      </c>
      <c r="E124" t="s">
        <v>1447</v>
      </c>
      <c r="F124" t="s">
        <v>1902</v>
      </c>
      <c r="G124" t="s">
        <v>1833</v>
      </c>
      <c r="H124" t="s">
        <v>1799</v>
      </c>
      <c r="I124" t="s">
        <v>1799</v>
      </c>
      <c r="J124" t="s">
        <v>1799</v>
      </c>
      <c r="K124" t="s">
        <v>1799</v>
      </c>
      <c r="L124" t="s">
        <v>1419</v>
      </c>
      <c r="M124" t="s">
        <v>1799</v>
      </c>
      <c r="N124" t="s">
        <v>1799</v>
      </c>
      <c r="O124" s="184" t="str">
        <f>"["&amp;$C124&amp;"]["&amp;$D124&amp;"]["&amp;$F124&amp;"]"</f>
        <v>[MeasuresStreamline][4][MeasuresStreamlineYesNo]</v>
      </c>
    </row>
    <row r="125" spans="1:15" x14ac:dyDescent="0.3">
      <c r="A125" t="s">
        <v>1793</v>
      </c>
      <c r="B125" t="s">
        <v>1900</v>
      </c>
      <c r="C125" t="s">
        <v>1901</v>
      </c>
      <c r="D125">
        <v>5</v>
      </c>
      <c r="E125" t="s">
        <v>1447</v>
      </c>
      <c r="F125" t="s">
        <v>1902</v>
      </c>
      <c r="G125" t="s">
        <v>1833</v>
      </c>
      <c r="H125" t="s">
        <v>1799</v>
      </c>
      <c r="I125" t="s">
        <v>1799</v>
      </c>
      <c r="J125" t="s">
        <v>1799</v>
      </c>
      <c r="K125" t="s">
        <v>1799</v>
      </c>
      <c r="L125" t="s">
        <v>1419</v>
      </c>
      <c r="M125" t="s">
        <v>1799</v>
      </c>
      <c r="N125" t="s">
        <v>1799</v>
      </c>
      <c r="O125" s="184" t="str">
        <f>"["&amp;$C125&amp;"]["&amp;$D125&amp;"]["&amp;$F125&amp;"]"</f>
        <v>[MeasuresStreamline][5][MeasuresStreamlineYesNo]</v>
      </c>
    </row>
    <row r="126" spans="1:15" x14ac:dyDescent="0.3">
      <c r="A126" t="s">
        <v>1793</v>
      </c>
      <c r="B126" t="s">
        <v>1900</v>
      </c>
      <c r="C126" t="s">
        <v>1901</v>
      </c>
      <c r="D126">
        <v>6</v>
      </c>
      <c r="E126" t="s">
        <v>1447</v>
      </c>
      <c r="F126" t="s">
        <v>1902</v>
      </c>
      <c r="G126" t="s">
        <v>1833</v>
      </c>
      <c r="H126" t="s">
        <v>1799</v>
      </c>
      <c r="I126" t="s">
        <v>1799</v>
      </c>
      <c r="J126" t="s">
        <v>1799</v>
      </c>
      <c r="K126" t="s">
        <v>1799</v>
      </c>
      <c r="L126" t="s">
        <v>1419</v>
      </c>
      <c r="M126" t="s">
        <v>1799</v>
      </c>
      <c r="N126" t="s">
        <v>1799</v>
      </c>
      <c r="O126" s="184" t="str">
        <f>"["&amp;$C126&amp;"]["&amp;$D126&amp;"]["&amp;$F126&amp;"]"</f>
        <v>[MeasuresStreamline][6][MeasuresStreamlineYesNo]</v>
      </c>
    </row>
    <row r="127" spans="1:15" x14ac:dyDescent="0.3">
      <c r="A127" t="s">
        <v>1793</v>
      </c>
      <c r="B127" t="s">
        <v>1900</v>
      </c>
      <c r="C127" t="s">
        <v>1901</v>
      </c>
      <c r="D127">
        <v>7</v>
      </c>
      <c r="E127" t="s">
        <v>1447</v>
      </c>
      <c r="F127" t="s">
        <v>1902</v>
      </c>
      <c r="G127" t="s">
        <v>1833</v>
      </c>
      <c r="H127" t="s">
        <v>1799</v>
      </c>
      <c r="I127" t="s">
        <v>1799</v>
      </c>
      <c r="J127" t="s">
        <v>1799</v>
      </c>
      <c r="K127" t="s">
        <v>1799</v>
      </c>
      <c r="L127" t="s">
        <v>1447</v>
      </c>
      <c r="M127" t="s">
        <v>1799</v>
      </c>
      <c r="N127" t="s">
        <v>1799</v>
      </c>
      <c r="O127" s="184" t="str">
        <f>"["&amp;$C127&amp;"]["&amp;$D127&amp;"]["&amp;$F127&amp;"]"</f>
        <v>[MeasuresStreamline][7][MeasuresStreamlineYesNo]</v>
      </c>
    </row>
    <row r="128" spans="1:15" x14ac:dyDescent="0.3">
      <c r="A128" t="s">
        <v>1793</v>
      </c>
      <c r="B128" t="s">
        <v>1900</v>
      </c>
      <c r="C128" t="s">
        <v>1901</v>
      </c>
      <c r="D128">
        <v>3</v>
      </c>
      <c r="E128" t="s">
        <v>1447</v>
      </c>
      <c r="F128" t="s">
        <v>1903</v>
      </c>
      <c r="G128" t="s">
        <v>1861</v>
      </c>
      <c r="H128" t="s">
        <v>1799</v>
      </c>
      <c r="I128" t="s">
        <v>1799</v>
      </c>
      <c r="J128" t="s">
        <v>1799</v>
      </c>
      <c r="K128" t="s">
        <v>1904</v>
      </c>
      <c r="L128" t="s">
        <v>1799</v>
      </c>
      <c r="M128" t="s">
        <v>1799</v>
      </c>
      <c r="N128" t="s">
        <v>1799</v>
      </c>
      <c r="O128" s="184" t="str">
        <f>"["&amp;$C128&amp;"]["&amp;$D128&amp;"]["&amp;$F128&amp;"]"</f>
        <v>[MeasuresStreamline][3][MeasuresStreamlineComments]</v>
      </c>
    </row>
    <row r="129" spans="1:15" x14ac:dyDescent="0.3">
      <c r="A129" t="s">
        <v>1793</v>
      </c>
      <c r="B129" t="s">
        <v>1905</v>
      </c>
      <c r="C129" t="s">
        <v>1906</v>
      </c>
      <c r="D129">
        <v>0</v>
      </c>
      <c r="E129" t="s">
        <v>1447</v>
      </c>
      <c r="F129" t="s">
        <v>1906</v>
      </c>
      <c r="G129" t="s">
        <v>1833</v>
      </c>
      <c r="H129" t="s">
        <v>1799</v>
      </c>
      <c r="I129" t="s">
        <v>1799</v>
      </c>
      <c r="J129" t="s">
        <v>1799</v>
      </c>
      <c r="K129" t="s">
        <v>1799</v>
      </c>
      <c r="L129" t="s">
        <v>1447</v>
      </c>
      <c r="M129" t="s">
        <v>1799</v>
      </c>
      <c r="N129" t="s">
        <v>1799</v>
      </c>
      <c r="O129" s="184" t="str">
        <f>"["&amp;$C129&amp;"]["&amp;$D129&amp;"]["&amp;$F129&amp;"]"</f>
        <v>[CommissionTemplatesMRR][0][CommissionTemplatesMRR]</v>
      </c>
    </row>
    <row r="130" spans="1:15" x14ac:dyDescent="0.3">
      <c r="A130" t="s">
        <v>1793</v>
      </c>
      <c r="B130" t="s">
        <v>1905</v>
      </c>
      <c r="C130" t="s">
        <v>1907</v>
      </c>
      <c r="D130">
        <v>1</v>
      </c>
      <c r="E130" t="s">
        <v>1447</v>
      </c>
      <c r="F130" t="s">
        <v>1908</v>
      </c>
      <c r="G130" t="s">
        <v>1737</v>
      </c>
      <c r="H130" t="s">
        <v>1799</v>
      </c>
      <c r="I130" t="s">
        <v>1799</v>
      </c>
      <c r="J130" t="s">
        <v>1799</v>
      </c>
      <c r="K130" t="s">
        <v>1799</v>
      </c>
      <c r="L130" t="s">
        <v>1424</v>
      </c>
      <c r="M130" t="s">
        <v>1799</v>
      </c>
      <c r="N130" t="s">
        <v>1799</v>
      </c>
      <c r="O130" s="184" t="str">
        <f>"["&amp;$C130&amp;"]["&amp;$D130&amp;"]["&amp;$F130&amp;"]"</f>
        <v>[S05_MSCustomisedTemplatesMRR1][1][SpecificTemplateOrFileFormat]</v>
      </c>
    </row>
    <row r="131" spans="1:15" x14ac:dyDescent="0.3">
      <c r="A131" t="s">
        <v>1793</v>
      </c>
      <c r="B131" t="s">
        <v>1905</v>
      </c>
      <c r="C131" t="s">
        <v>1907</v>
      </c>
      <c r="D131">
        <v>2</v>
      </c>
      <c r="E131" t="s">
        <v>1447</v>
      </c>
      <c r="F131" t="s">
        <v>1908</v>
      </c>
      <c r="G131" t="s">
        <v>1737</v>
      </c>
      <c r="H131" t="s">
        <v>1799</v>
      </c>
      <c r="I131" t="s">
        <v>1799</v>
      </c>
      <c r="J131" t="s">
        <v>1799</v>
      </c>
      <c r="K131" t="s">
        <v>1799</v>
      </c>
      <c r="L131" t="s">
        <v>1424</v>
      </c>
      <c r="M131" t="s">
        <v>1799</v>
      </c>
      <c r="N131" t="s">
        <v>1799</v>
      </c>
      <c r="O131" s="184" t="str">
        <f>"["&amp;$C131&amp;"]["&amp;$D131&amp;"]["&amp;$F131&amp;"]"</f>
        <v>[S05_MSCustomisedTemplatesMRR1][2][SpecificTemplateOrFileFormat]</v>
      </c>
    </row>
    <row r="132" spans="1:15" x14ac:dyDescent="0.3">
      <c r="A132" t="s">
        <v>1793</v>
      </c>
      <c r="B132" t="s">
        <v>1905</v>
      </c>
      <c r="C132" t="s">
        <v>1907</v>
      </c>
      <c r="D132">
        <v>1</v>
      </c>
      <c r="E132" t="s">
        <v>1447</v>
      </c>
      <c r="F132" t="s">
        <v>1909</v>
      </c>
      <c r="G132" t="s">
        <v>1797</v>
      </c>
      <c r="H132" t="s">
        <v>1910</v>
      </c>
      <c r="I132" t="s">
        <v>1799</v>
      </c>
      <c r="J132" t="s">
        <v>1799</v>
      </c>
      <c r="K132" t="s">
        <v>1799</v>
      </c>
      <c r="L132" t="s">
        <v>1799</v>
      </c>
      <c r="M132" t="s">
        <v>1799</v>
      </c>
      <c r="N132" t="s">
        <v>1799</v>
      </c>
      <c r="O132" s="184" t="str">
        <f>"["&amp;$C132&amp;"]["&amp;$D132&amp;"]["&amp;$F132&amp;"]"</f>
        <v>[S05_MSCustomisedTemplatesMRR1][1][HowTemplateSpecific]</v>
      </c>
    </row>
    <row r="133" spans="1:15" x14ac:dyDescent="0.3">
      <c r="A133" t="s">
        <v>1793</v>
      </c>
      <c r="B133" t="s">
        <v>1905</v>
      </c>
      <c r="C133" t="s">
        <v>1907</v>
      </c>
      <c r="D133">
        <v>2</v>
      </c>
      <c r="E133" t="s">
        <v>1447</v>
      </c>
      <c r="F133" t="s">
        <v>1909</v>
      </c>
      <c r="G133" t="s">
        <v>1797</v>
      </c>
      <c r="H133" t="s">
        <v>1910</v>
      </c>
      <c r="I133" t="s">
        <v>1799</v>
      </c>
      <c r="J133" t="s">
        <v>1799</v>
      </c>
      <c r="K133" t="s">
        <v>1799</v>
      </c>
      <c r="L133" t="s">
        <v>1799</v>
      </c>
      <c r="M133" t="s">
        <v>1799</v>
      </c>
      <c r="N133" t="s">
        <v>1799</v>
      </c>
      <c r="O133" s="184" t="str">
        <f>"["&amp;$C133&amp;"]["&amp;$D133&amp;"]["&amp;$F133&amp;"]"</f>
        <v>[S05_MSCustomisedTemplatesMRR1][2][HowTemplateSpecific]</v>
      </c>
    </row>
    <row r="134" spans="1:15" x14ac:dyDescent="0.3">
      <c r="A134" t="s">
        <v>1793</v>
      </c>
      <c r="B134" t="s">
        <v>1905</v>
      </c>
      <c r="C134" t="s">
        <v>1907</v>
      </c>
      <c r="D134">
        <v>3</v>
      </c>
      <c r="E134" t="s">
        <v>1447</v>
      </c>
      <c r="F134" t="s">
        <v>1909</v>
      </c>
      <c r="G134" t="s">
        <v>1797</v>
      </c>
      <c r="H134" t="s">
        <v>1911</v>
      </c>
      <c r="I134" t="s">
        <v>1799</v>
      </c>
      <c r="J134" t="s">
        <v>1799</v>
      </c>
      <c r="K134" t="s">
        <v>1799</v>
      </c>
      <c r="L134" t="s">
        <v>1799</v>
      </c>
      <c r="M134" t="s">
        <v>1799</v>
      </c>
      <c r="N134" t="s">
        <v>1799</v>
      </c>
      <c r="O134" s="184" t="str">
        <f>"["&amp;$C134&amp;"]["&amp;$D134&amp;"]["&amp;$F134&amp;"]"</f>
        <v>[S05_MSCustomisedTemplatesMRR1][3][HowTemplateSpecific]</v>
      </c>
    </row>
    <row r="135" spans="1:15" x14ac:dyDescent="0.3">
      <c r="A135" t="s">
        <v>1793</v>
      </c>
      <c r="B135" t="s">
        <v>1905</v>
      </c>
      <c r="C135" t="s">
        <v>1907</v>
      </c>
      <c r="D135">
        <v>4</v>
      </c>
      <c r="E135" t="s">
        <v>1447</v>
      </c>
      <c r="F135" t="s">
        <v>1909</v>
      </c>
      <c r="G135" t="s">
        <v>1797</v>
      </c>
      <c r="H135" t="s">
        <v>1911</v>
      </c>
      <c r="I135" t="s">
        <v>1799</v>
      </c>
      <c r="J135" t="s">
        <v>1799</v>
      </c>
      <c r="K135" t="s">
        <v>1799</v>
      </c>
      <c r="L135" t="s">
        <v>1799</v>
      </c>
      <c r="M135" t="s">
        <v>1799</v>
      </c>
      <c r="N135" t="s">
        <v>1799</v>
      </c>
      <c r="O135" s="184" t="str">
        <f>"["&amp;$C135&amp;"]["&amp;$D135&amp;"]["&amp;$F135&amp;"]"</f>
        <v>[S05_MSCustomisedTemplatesMRR1][4][HowTemplateSpecific]</v>
      </c>
    </row>
    <row r="136" spans="1:15" x14ac:dyDescent="0.3">
      <c r="A136" t="s">
        <v>1793</v>
      </c>
      <c r="B136" t="s">
        <v>1905</v>
      </c>
      <c r="C136" t="s">
        <v>1912</v>
      </c>
      <c r="D136">
        <v>1</v>
      </c>
      <c r="E136" t="s">
        <v>1447</v>
      </c>
      <c r="F136" t="s">
        <v>1909</v>
      </c>
      <c r="G136" t="s">
        <v>1797</v>
      </c>
      <c r="H136" t="s">
        <v>1911</v>
      </c>
      <c r="I136" t="s">
        <v>1799</v>
      </c>
      <c r="J136" t="s">
        <v>1799</v>
      </c>
      <c r="K136" t="s">
        <v>1799</v>
      </c>
      <c r="L136" t="s">
        <v>1799</v>
      </c>
      <c r="M136" t="s">
        <v>1799</v>
      </c>
      <c r="N136" t="s">
        <v>1799</v>
      </c>
      <c r="O136" s="184" t="str">
        <f>"["&amp;$C136&amp;"]["&amp;$D136&amp;"]["&amp;$F136&amp;"]"</f>
        <v>[S05_MSCustomisedTemplatesMRR2][1][HowTemplateSpecific]</v>
      </c>
    </row>
    <row r="137" spans="1:15" x14ac:dyDescent="0.3">
      <c r="A137" t="s">
        <v>1793</v>
      </c>
      <c r="B137" t="s">
        <v>1905</v>
      </c>
      <c r="C137" t="s">
        <v>1912</v>
      </c>
      <c r="D137">
        <v>2</v>
      </c>
      <c r="E137" t="s">
        <v>1447</v>
      </c>
      <c r="F137" t="s">
        <v>1909</v>
      </c>
      <c r="G137" t="s">
        <v>1797</v>
      </c>
      <c r="H137" t="s">
        <v>1911</v>
      </c>
      <c r="I137" t="s">
        <v>1799</v>
      </c>
      <c r="J137" t="s">
        <v>1799</v>
      </c>
      <c r="K137" t="s">
        <v>1799</v>
      </c>
      <c r="L137" t="s">
        <v>1799</v>
      </c>
      <c r="M137" t="s">
        <v>1799</v>
      </c>
      <c r="N137" t="s">
        <v>1799</v>
      </c>
      <c r="O137" s="184" t="str">
        <f>"["&amp;$C137&amp;"]["&amp;$D137&amp;"]["&amp;$F137&amp;"]"</f>
        <v>[S05_MSCustomisedTemplatesMRR2][2][HowTemplateSpecific]</v>
      </c>
    </row>
    <row r="138" spans="1:15" x14ac:dyDescent="0.3">
      <c r="A138" t="s">
        <v>1793</v>
      </c>
      <c r="B138" t="s">
        <v>1905</v>
      </c>
      <c r="C138" t="s">
        <v>1912</v>
      </c>
      <c r="D138">
        <v>3</v>
      </c>
      <c r="E138" t="s">
        <v>1447</v>
      </c>
      <c r="F138" t="s">
        <v>1909</v>
      </c>
      <c r="G138" t="s">
        <v>1797</v>
      </c>
      <c r="H138" t="s">
        <v>1911</v>
      </c>
      <c r="I138" t="s">
        <v>1799</v>
      </c>
      <c r="J138" t="s">
        <v>1799</v>
      </c>
      <c r="K138" t="s">
        <v>1799</v>
      </c>
      <c r="L138" t="s">
        <v>1799</v>
      </c>
      <c r="M138" t="s">
        <v>1799</v>
      </c>
      <c r="N138" t="s">
        <v>1799</v>
      </c>
      <c r="O138" s="184" t="str">
        <f>"["&amp;$C138&amp;"]["&amp;$D138&amp;"]["&amp;$F138&amp;"]"</f>
        <v>[S05_MSCustomisedTemplatesMRR2][3][HowTemplateSpecific]</v>
      </c>
    </row>
    <row r="139" spans="1:15" x14ac:dyDescent="0.3">
      <c r="A139" t="s">
        <v>1793</v>
      </c>
      <c r="B139" t="s">
        <v>1905</v>
      </c>
      <c r="C139" t="s">
        <v>1912</v>
      </c>
      <c r="D139">
        <v>4</v>
      </c>
      <c r="E139" t="s">
        <v>1447</v>
      </c>
      <c r="F139" t="s">
        <v>1909</v>
      </c>
      <c r="G139" t="s">
        <v>1797</v>
      </c>
      <c r="H139" t="s">
        <v>1911</v>
      </c>
      <c r="I139" t="s">
        <v>1799</v>
      </c>
      <c r="J139" t="s">
        <v>1799</v>
      </c>
      <c r="K139" t="s">
        <v>1799</v>
      </c>
      <c r="L139" t="s">
        <v>1799</v>
      </c>
      <c r="M139" t="s">
        <v>1799</v>
      </c>
      <c r="N139" t="s">
        <v>1799</v>
      </c>
      <c r="O139" s="184" t="str">
        <f>"["&amp;$C139&amp;"]["&amp;$D139&amp;"]["&amp;$F139&amp;"]"</f>
        <v>[S05_MSCustomisedTemplatesMRR2][4][HowTemplateSpecific]</v>
      </c>
    </row>
    <row r="140" spans="1:15" x14ac:dyDescent="0.3">
      <c r="A140" t="s">
        <v>1793</v>
      </c>
      <c r="B140" t="s">
        <v>1905</v>
      </c>
      <c r="C140" t="s">
        <v>1913</v>
      </c>
      <c r="D140">
        <v>0</v>
      </c>
      <c r="E140" t="s">
        <v>1447</v>
      </c>
      <c r="F140" t="s">
        <v>1913</v>
      </c>
      <c r="G140" t="s">
        <v>1797</v>
      </c>
      <c r="H140" t="s">
        <v>1914</v>
      </c>
      <c r="I140" t="s">
        <v>1799</v>
      </c>
      <c r="J140" t="s">
        <v>1799</v>
      </c>
      <c r="K140" t="s">
        <v>1799</v>
      </c>
      <c r="L140" t="s">
        <v>1799</v>
      </c>
      <c r="M140" t="s">
        <v>1799</v>
      </c>
      <c r="N140" t="s">
        <v>1799</v>
      </c>
      <c r="O140" s="184" t="str">
        <f>"["&amp;$C140&amp;"]["&amp;$D140&amp;"]["&amp;$F140&amp;"]"</f>
        <v>[ComplyMeasuresArt74][0][ComplyMeasuresArt74]</v>
      </c>
    </row>
    <row r="141" spans="1:15" x14ac:dyDescent="0.3">
      <c r="A141" t="s">
        <v>1793</v>
      </c>
      <c r="B141" t="s">
        <v>1915</v>
      </c>
      <c r="C141" t="s">
        <v>1916</v>
      </c>
      <c r="D141">
        <v>0</v>
      </c>
      <c r="E141" t="s">
        <v>1447</v>
      </c>
      <c r="F141" t="s">
        <v>1916</v>
      </c>
      <c r="G141" t="s">
        <v>1833</v>
      </c>
      <c r="H141" t="s">
        <v>1799</v>
      </c>
      <c r="I141" t="s">
        <v>1799</v>
      </c>
      <c r="J141" t="s">
        <v>1799</v>
      </c>
      <c r="K141" t="s">
        <v>1799</v>
      </c>
      <c r="L141" t="s">
        <v>1419</v>
      </c>
      <c r="M141" t="s">
        <v>1799</v>
      </c>
      <c r="N141" t="s">
        <v>1799</v>
      </c>
      <c r="O141" s="184" t="str">
        <f>"["&amp;$C141&amp;"]["&amp;$D141&amp;"]["&amp;$F141&amp;"]"</f>
        <v>[AutomatedSystemInformationExchange][0][AutomatedSystemInformationExchange]</v>
      </c>
    </row>
    <row r="142" spans="1:15" x14ac:dyDescent="0.3">
      <c r="A142" t="s">
        <v>1793</v>
      </c>
      <c r="B142" t="s">
        <v>1915</v>
      </c>
      <c r="C142" t="s">
        <v>1917</v>
      </c>
      <c r="D142">
        <v>0</v>
      </c>
      <c r="E142" t="s">
        <v>1447</v>
      </c>
      <c r="F142" t="s">
        <v>1917</v>
      </c>
      <c r="G142" t="s">
        <v>1797</v>
      </c>
      <c r="H142" t="s">
        <v>1918</v>
      </c>
      <c r="I142" t="s">
        <v>1799</v>
      </c>
      <c r="J142" t="s">
        <v>1799</v>
      </c>
      <c r="K142" t="s">
        <v>1799</v>
      </c>
      <c r="L142" t="s">
        <v>1799</v>
      </c>
      <c r="M142" t="s">
        <v>1799</v>
      </c>
      <c r="N142" t="s">
        <v>1799</v>
      </c>
      <c r="O142" s="184" t="str">
        <f>"["&amp;$C142&amp;"]["&amp;$D142&amp;"]["&amp;$F142&amp;"]"</f>
        <v>[ComplyRequirementsArt75][0][ComplyRequirementsArt75]</v>
      </c>
    </row>
    <row r="143" spans="1:15" x14ac:dyDescent="0.3">
      <c r="A143" t="s">
        <v>1793</v>
      </c>
      <c r="B143" t="s">
        <v>1919</v>
      </c>
      <c r="C143" t="s">
        <v>1920</v>
      </c>
      <c r="D143">
        <v>1</v>
      </c>
      <c r="E143" t="s">
        <v>1447</v>
      </c>
      <c r="F143" t="s">
        <v>1921</v>
      </c>
      <c r="G143" t="s">
        <v>1922</v>
      </c>
      <c r="H143" t="s">
        <v>1799</v>
      </c>
      <c r="I143" t="s">
        <v>1799</v>
      </c>
      <c r="J143">
        <v>22662</v>
      </c>
      <c r="K143" t="s">
        <v>1799</v>
      </c>
      <c r="L143" t="s">
        <v>1799</v>
      </c>
      <c r="M143" t="s">
        <v>1799</v>
      </c>
      <c r="N143" t="s">
        <v>1799</v>
      </c>
      <c r="O143" s="184" t="str">
        <f>"["&amp;$C143&amp;"]["&amp;$D143&amp;"]["&amp;$F143&amp;"]"</f>
        <v>[S05_InstallationFuelConsEmissions][1][FuelConsumption]</v>
      </c>
    </row>
    <row r="144" spans="1:15" x14ac:dyDescent="0.3">
      <c r="A144" t="s">
        <v>1793</v>
      </c>
      <c r="B144" t="s">
        <v>1919</v>
      </c>
      <c r="C144" t="s">
        <v>1920</v>
      </c>
      <c r="D144">
        <v>4</v>
      </c>
      <c r="E144" t="s">
        <v>1447</v>
      </c>
      <c r="F144" t="s">
        <v>1921</v>
      </c>
      <c r="G144" t="s">
        <v>1922</v>
      </c>
      <c r="H144" t="s">
        <v>1799</v>
      </c>
      <c r="I144" t="s">
        <v>1799</v>
      </c>
      <c r="J144">
        <v>10453</v>
      </c>
      <c r="K144" t="s">
        <v>1799</v>
      </c>
      <c r="L144" t="s">
        <v>1799</v>
      </c>
      <c r="M144" t="s">
        <v>1799</v>
      </c>
      <c r="N144" t="s">
        <v>1799</v>
      </c>
      <c r="O144" s="184" t="str">
        <f>"["&amp;$C144&amp;"]["&amp;$D144&amp;"]["&amp;$F144&amp;"]"</f>
        <v>[S05_InstallationFuelConsEmissions][4][FuelConsumption]</v>
      </c>
    </row>
    <row r="145" spans="1:15" x14ac:dyDescent="0.3">
      <c r="A145" t="s">
        <v>1793</v>
      </c>
      <c r="B145" t="s">
        <v>1919</v>
      </c>
      <c r="C145" t="s">
        <v>1920</v>
      </c>
      <c r="D145">
        <v>5</v>
      </c>
      <c r="E145" t="s">
        <v>1447</v>
      </c>
      <c r="F145" t="s">
        <v>1921</v>
      </c>
      <c r="G145" t="s">
        <v>1922</v>
      </c>
      <c r="H145" t="s">
        <v>1799</v>
      </c>
      <c r="I145" t="s">
        <v>1799</v>
      </c>
      <c r="J145">
        <v>12381</v>
      </c>
      <c r="K145" t="s">
        <v>1799</v>
      </c>
      <c r="L145" t="s">
        <v>1799</v>
      </c>
      <c r="M145" t="s">
        <v>1799</v>
      </c>
      <c r="N145" t="s">
        <v>1799</v>
      </c>
      <c r="O145" s="184" t="str">
        <f>"["&amp;$C145&amp;"]["&amp;$D145&amp;"]["&amp;$F145&amp;"]"</f>
        <v>[S05_InstallationFuelConsEmissions][5][FuelConsumption]</v>
      </c>
    </row>
    <row r="146" spans="1:15" x14ac:dyDescent="0.3">
      <c r="A146" t="s">
        <v>1793</v>
      </c>
      <c r="B146" t="s">
        <v>1919</v>
      </c>
      <c r="C146" t="s">
        <v>1920</v>
      </c>
      <c r="D146">
        <v>8</v>
      </c>
      <c r="E146" t="s">
        <v>1447</v>
      </c>
      <c r="F146" t="s">
        <v>1921</v>
      </c>
      <c r="G146" t="s">
        <v>1922</v>
      </c>
      <c r="H146" t="s">
        <v>1799</v>
      </c>
      <c r="I146" t="s">
        <v>1799</v>
      </c>
      <c r="J146">
        <v>223092</v>
      </c>
      <c r="K146" t="s">
        <v>1799</v>
      </c>
      <c r="L146" t="s">
        <v>1799</v>
      </c>
      <c r="M146" t="s">
        <v>1799</v>
      </c>
      <c r="N146" t="s">
        <v>1799</v>
      </c>
      <c r="O146" s="184" t="str">
        <f>"["&amp;$C146&amp;"]["&amp;$D146&amp;"]["&amp;$F146&amp;"]"</f>
        <v>[S05_InstallationFuelConsEmissions][8][FuelConsumption]</v>
      </c>
    </row>
    <row r="147" spans="1:15" x14ac:dyDescent="0.3">
      <c r="A147" t="s">
        <v>1793</v>
      </c>
      <c r="B147" t="s">
        <v>1919</v>
      </c>
      <c r="C147" t="s">
        <v>1920</v>
      </c>
      <c r="D147">
        <v>9</v>
      </c>
      <c r="E147" t="s">
        <v>1447</v>
      </c>
      <c r="F147" t="s">
        <v>1921</v>
      </c>
      <c r="G147" t="s">
        <v>1922</v>
      </c>
      <c r="H147" t="s">
        <v>1799</v>
      </c>
      <c r="I147" t="s">
        <v>1799</v>
      </c>
      <c r="J147">
        <v>1164</v>
      </c>
      <c r="K147" t="s">
        <v>1799</v>
      </c>
      <c r="L147" t="s">
        <v>1799</v>
      </c>
      <c r="M147" t="s">
        <v>1799</v>
      </c>
      <c r="N147" t="s">
        <v>1799</v>
      </c>
      <c r="O147" s="184" t="str">
        <f>"["&amp;$C147&amp;"]["&amp;$D147&amp;"]["&amp;$F147&amp;"]"</f>
        <v>[S05_InstallationFuelConsEmissions][9][FuelConsumption]</v>
      </c>
    </row>
    <row r="148" spans="1:15" x14ac:dyDescent="0.3">
      <c r="A148" t="s">
        <v>1793</v>
      </c>
      <c r="B148" t="s">
        <v>1919</v>
      </c>
      <c r="C148" t="s">
        <v>1920</v>
      </c>
      <c r="D148">
        <v>10</v>
      </c>
      <c r="E148" t="s">
        <v>1447</v>
      </c>
      <c r="F148" t="s">
        <v>1921</v>
      </c>
      <c r="G148" t="s">
        <v>1922</v>
      </c>
      <c r="H148" t="s">
        <v>1799</v>
      </c>
      <c r="I148" t="s">
        <v>1799</v>
      </c>
      <c r="J148">
        <v>1965</v>
      </c>
      <c r="K148" t="s">
        <v>1799</v>
      </c>
      <c r="L148" t="s">
        <v>1799</v>
      </c>
      <c r="M148" t="s">
        <v>1799</v>
      </c>
      <c r="N148" t="s">
        <v>1799</v>
      </c>
      <c r="O148" s="184" t="str">
        <f>"["&amp;$C148&amp;"]["&amp;$D148&amp;"]["&amp;$F148&amp;"]"</f>
        <v>[S05_InstallationFuelConsEmissions][10][FuelConsumption]</v>
      </c>
    </row>
    <row r="149" spans="1:15" x14ac:dyDescent="0.3">
      <c r="A149" t="s">
        <v>1793</v>
      </c>
      <c r="B149" t="s">
        <v>1923</v>
      </c>
      <c r="C149" t="s">
        <v>1920</v>
      </c>
      <c r="D149">
        <v>11</v>
      </c>
      <c r="E149" t="s">
        <v>1447</v>
      </c>
      <c r="F149" t="s">
        <v>1921</v>
      </c>
      <c r="G149" t="s">
        <v>1922</v>
      </c>
      <c r="H149" t="s">
        <v>1799</v>
      </c>
      <c r="I149" t="s">
        <v>1799</v>
      </c>
      <c r="J149">
        <v>9294</v>
      </c>
      <c r="K149" t="s">
        <v>1799</v>
      </c>
      <c r="L149" t="s">
        <v>1799</v>
      </c>
      <c r="M149" t="s">
        <v>1799</v>
      </c>
      <c r="N149" t="s">
        <v>1799</v>
      </c>
      <c r="O149" s="184" t="str">
        <f>"["&amp;$C149&amp;"]["&amp;$D149&amp;"]["&amp;$F149&amp;"]"</f>
        <v>[S05_InstallationFuelConsEmissions][11][FuelConsumption]</v>
      </c>
    </row>
    <row r="150" spans="1:15" x14ac:dyDescent="0.3">
      <c r="A150" t="s">
        <v>1793</v>
      </c>
      <c r="B150" t="s">
        <v>1924</v>
      </c>
      <c r="C150" t="s">
        <v>1920</v>
      </c>
      <c r="D150">
        <v>12</v>
      </c>
      <c r="E150" t="s">
        <v>1447</v>
      </c>
      <c r="F150" t="s">
        <v>1921</v>
      </c>
      <c r="G150" t="s">
        <v>1922</v>
      </c>
      <c r="H150" t="s">
        <v>1799</v>
      </c>
      <c r="I150" t="s">
        <v>1799</v>
      </c>
      <c r="J150">
        <v>15760</v>
      </c>
      <c r="K150" t="s">
        <v>1799</v>
      </c>
      <c r="L150" t="s">
        <v>1799</v>
      </c>
      <c r="M150" t="s">
        <v>1799</v>
      </c>
      <c r="N150" t="s">
        <v>1799</v>
      </c>
      <c r="O150" s="184" t="str">
        <f>"["&amp;$C150&amp;"]["&amp;$D150&amp;"]["&amp;$F150&amp;"]"</f>
        <v>[S05_InstallationFuelConsEmissions][12][FuelConsumption]</v>
      </c>
    </row>
    <row r="151" spans="1:15" x14ac:dyDescent="0.3">
      <c r="A151" t="s">
        <v>1793</v>
      </c>
      <c r="B151" t="s">
        <v>1919</v>
      </c>
      <c r="C151" t="s">
        <v>1920</v>
      </c>
      <c r="D151">
        <v>1</v>
      </c>
      <c r="E151" t="s">
        <v>1447</v>
      </c>
      <c r="F151" t="s">
        <v>1925</v>
      </c>
      <c r="G151" t="s">
        <v>1922</v>
      </c>
      <c r="H151" t="s">
        <v>1799</v>
      </c>
      <c r="I151" t="s">
        <v>1799</v>
      </c>
      <c r="J151">
        <v>2143862</v>
      </c>
      <c r="K151" t="s">
        <v>1799</v>
      </c>
      <c r="L151" t="s">
        <v>1799</v>
      </c>
      <c r="M151" t="s">
        <v>1799</v>
      </c>
      <c r="N151" t="s">
        <v>1799</v>
      </c>
      <c r="O151" s="184" t="str">
        <f>"["&amp;$C151&amp;"]["&amp;$D151&amp;"]["&amp;$F151&amp;"]"</f>
        <v>[S05_InstallationFuelConsEmissions][1][FuelAnnualEmissions]</v>
      </c>
    </row>
    <row r="152" spans="1:15" x14ac:dyDescent="0.3">
      <c r="A152" t="s">
        <v>1793</v>
      </c>
      <c r="B152" t="s">
        <v>1919</v>
      </c>
      <c r="C152" t="s">
        <v>1920</v>
      </c>
      <c r="D152">
        <v>4</v>
      </c>
      <c r="E152" t="s">
        <v>1447</v>
      </c>
      <c r="F152" t="s">
        <v>1925</v>
      </c>
      <c r="G152" t="s">
        <v>1922</v>
      </c>
      <c r="H152" t="s">
        <v>1799</v>
      </c>
      <c r="I152" t="s">
        <v>1799</v>
      </c>
      <c r="J152">
        <v>1118481</v>
      </c>
      <c r="K152" t="s">
        <v>1799</v>
      </c>
      <c r="L152" t="s">
        <v>1799</v>
      </c>
      <c r="M152" t="s">
        <v>1799</v>
      </c>
      <c r="N152" t="s">
        <v>1799</v>
      </c>
      <c r="O152" s="184" t="str">
        <f>"["&amp;$C152&amp;"]["&amp;$D152&amp;"]["&amp;$F152&amp;"]"</f>
        <v>[S05_InstallationFuelConsEmissions][4][FuelAnnualEmissions]</v>
      </c>
    </row>
    <row r="153" spans="1:15" x14ac:dyDescent="0.3">
      <c r="A153" t="s">
        <v>1793</v>
      </c>
      <c r="B153" t="s">
        <v>1919</v>
      </c>
      <c r="C153" t="s">
        <v>1920</v>
      </c>
      <c r="D153">
        <v>5</v>
      </c>
      <c r="E153" t="s">
        <v>1447</v>
      </c>
      <c r="F153" t="s">
        <v>1925</v>
      </c>
      <c r="G153" t="s">
        <v>1922</v>
      </c>
      <c r="H153" t="s">
        <v>1799</v>
      </c>
      <c r="I153" t="s">
        <v>1799</v>
      </c>
      <c r="J153">
        <v>694573</v>
      </c>
      <c r="K153" t="s">
        <v>1799</v>
      </c>
      <c r="L153" t="s">
        <v>1799</v>
      </c>
      <c r="M153" t="s">
        <v>1799</v>
      </c>
      <c r="N153" t="s">
        <v>1799</v>
      </c>
      <c r="O153" s="184" t="str">
        <f>"["&amp;$C153&amp;"]["&amp;$D153&amp;"]["&amp;$F153&amp;"]"</f>
        <v>[S05_InstallationFuelConsEmissions][5][FuelAnnualEmissions]</v>
      </c>
    </row>
    <row r="154" spans="1:15" x14ac:dyDescent="0.3">
      <c r="A154" t="s">
        <v>1793</v>
      </c>
      <c r="B154" t="s">
        <v>1919</v>
      </c>
      <c r="C154" t="s">
        <v>1920</v>
      </c>
      <c r="D154">
        <v>8</v>
      </c>
      <c r="E154" t="s">
        <v>1447</v>
      </c>
      <c r="F154" t="s">
        <v>1925</v>
      </c>
      <c r="G154" t="s">
        <v>1922</v>
      </c>
      <c r="H154" t="s">
        <v>1799</v>
      </c>
      <c r="I154" t="s">
        <v>1799</v>
      </c>
      <c r="J154">
        <v>12850088</v>
      </c>
      <c r="K154" t="s">
        <v>1799</v>
      </c>
      <c r="L154" t="s">
        <v>1799</v>
      </c>
      <c r="M154" t="s">
        <v>1799</v>
      </c>
      <c r="N154" t="s">
        <v>1799</v>
      </c>
      <c r="O154" s="184" t="str">
        <f>"["&amp;$C154&amp;"]["&amp;$D154&amp;"]["&amp;$F154&amp;"]"</f>
        <v>[S05_InstallationFuelConsEmissions][8][FuelAnnualEmissions]</v>
      </c>
    </row>
    <row r="155" spans="1:15" x14ac:dyDescent="0.3">
      <c r="A155" t="s">
        <v>1793</v>
      </c>
      <c r="B155" t="s">
        <v>1919</v>
      </c>
      <c r="C155" t="s">
        <v>1920</v>
      </c>
      <c r="D155">
        <v>9</v>
      </c>
      <c r="E155" t="s">
        <v>1447</v>
      </c>
      <c r="F155" t="s">
        <v>1925</v>
      </c>
      <c r="G155" t="s">
        <v>1922</v>
      </c>
      <c r="H155" t="s">
        <v>1799</v>
      </c>
      <c r="I155" t="s">
        <v>1799</v>
      </c>
      <c r="J155">
        <v>91960</v>
      </c>
      <c r="K155" t="s">
        <v>1799</v>
      </c>
      <c r="L155" t="s">
        <v>1799</v>
      </c>
      <c r="M155" t="s">
        <v>1799</v>
      </c>
      <c r="N155" t="s">
        <v>1799</v>
      </c>
      <c r="O155" s="184" t="str">
        <f>"["&amp;$C155&amp;"]["&amp;$D155&amp;"]["&amp;$F155&amp;"]"</f>
        <v>[S05_InstallationFuelConsEmissions][9][FuelAnnualEmissions]</v>
      </c>
    </row>
    <row r="156" spans="1:15" x14ac:dyDescent="0.3">
      <c r="A156" t="s">
        <v>1793</v>
      </c>
      <c r="B156" t="s">
        <v>1919</v>
      </c>
      <c r="C156" t="s">
        <v>1920</v>
      </c>
      <c r="D156">
        <v>10</v>
      </c>
      <c r="E156" t="s">
        <v>1447</v>
      </c>
      <c r="F156" t="s">
        <v>1925</v>
      </c>
      <c r="G156" t="s">
        <v>1922</v>
      </c>
      <c r="H156" t="s">
        <v>1799</v>
      </c>
      <c r="I156" t="s">
        <v>1799</v>
      </c>
      <c r="J156">
        <v>124102</v>
      </c>
      <c r="K156" t="s">
        <v>1799</v>
      </c>
      <c r="L156" t="s">
        <v>1799</v>
      </c>
      <c r="M156" t="s">
        <v>1799</v>
      </c>
      <c r="N156" t="s">
        <v>1799</v>
      </c>
      <c r="O156" s="184" t="str">
        <f>"["&amp;$C156&amp;"]["&amp;$D156&amp;"]["&amp;$F156&amp;"]"</f>
        <v>[S05_InstallationFuelConsEmissions][10][FuelAnnualEmissions]</v>
      </c>
    </row>
    <row r="157" spans="1:15" x14ac:dyDescent="0.3">
      <c r="A157" t="s">
        <v>1793</v>
      </c>
      <c r="B157" t="s">
        <v>1919</v>
      </c>
      <c r="C157" t="s">
        <v>1920</v>
      </c>
      <c r="D157">
        <v>11</v>
      </c>
      <c r="E157" t="s">
        <v>1447</v>
      </c>
      <c r="F157" t="s">
        <v>1925</v>
      </c>
      <c r="G157" t="s">
        <v>1922</v>
      </c>
      <c r="H157" t="s">
        <v>1799</v>
      </c>
      <c r="I157" t="s">
        <v>1799</v>
      </c>
      <c r="J157">
        <v>906147</v>
      </c>
      <c r="K157" t="s">
        <v>1799</v>
      </c>
      <c r="L157" t="s">
        <v>1799</v>
      </c>
      <c r="M157" t="s">
        <v>1799</v>
      </c>
      <c r="N157" t="s">
        <v>1799</v>
      </c>
      <c r="O157" s="184" t="str">
        <f>"["&amp;$C157&amp;"]["&amp;$D157&amp;"]["&amp;$F157&amp;"]"</f>
        <v>[S05_InstallationFuelConsEmissions][11][FuelAnnualEmissions]</v>
      </c>
    </row>
    <row r="158" spans="1:15" x14ac:dyDescent="0.3">
      <c r="A158" t="s">
        <v>1793</v>
      </c>
      <c r="B158" t="s">
        <v>1919</v>
      </c>
      <c r="C158" t="s">
        <v>1920</v>
      </c>
      <c r="D158">
        <v>12</v>
      </c>
      <c r="E158" t="s">
        <v>1447</v>
      </c>
      <c r="F158" t="s">
        <v>1925</v>
      </c>
      <c r="G158" t="s">
        <v>1922</v>
      </c>
      <c r="H158" t="s">
        <v>1799</v>
      </c>
      <c r="I158" t="s">
        <v>1799</v>
      </c>
      <c r="J158">
        <v>1155229</v>
      </c>
      <c r="K158" t="s">
        <v>1799</v>
      </c>
      <c r="L158" t="s">
        <v>1799</v>
      </c>
      <c r="M158" t="s">
        <v>1799</v>
      </c>
      <c r="N158" t="s">
        <v>1799</v>
      </c>
      <c r="O158" s="184" t="str">
        <f>"["&amp;$C158&amp;"]["&amp;$D158&amp;"]["&amp;$F158&amp;"]"</f>
        <v>[S05_InstallationFuelConsEmissions][12][FuelAnnualEmissions]</v>
      </c>
    </row>
    <row r="159" spans="1:15" x14ac:dyDescent="0.3">
      <c r="A159" t="s">
        <v>1793</v>
      </c>
      <c r="B159" t="s">
        <v>1923</v>
      </c>
      <c r="C159" t="s">
        <v>1926</v>
      </c>
      <c r="D159">
        <v>1</v>
      </c>
      <c r="E159" t="s">
        <v>1447</v>
      </c>
      <c r="F159" t="s">
        <v>1927</v>
      </c>
      <c r="G159" t="s">
        <v>1737</v>
      </c>
      <c r="H159" t="s">
        <v>1799</v>
      </c>
      <c r="I159" t="s">
        <v>1799</v>
      </c>
      <c r="J159" t="s">
        <v>1799</v>
      </c>
      <c r="K159" t="s">
        <v>1799</v>
      </c>
      <c r="L159" t="s">
        <v>1453</v>
      </c>
      <c r="M159" t="s">
        <v>1799</v>
      </c>
      <c r="N159" t="s">
        <v>1799</v>
      </c>
      <c r="O159" s="184" t="str">
        <f>"["&amp;$C159&amp;"]["&amp;$D159&amp;"]["&amp;$F159&amp;"]"</f>
        <v>[S05_AggregateTotalEmissionsByCRF][1][CRFCategory1]</v>
      </c>
    </row>
    <row r="160" spans="1:15" x14ac:dyDescent="0.3">
      <c r="A160" t="s">
        <v>1793</v>
      </c>
      <c r="B160" t="s">
        <v>1923</v>
      </c>
      <c r="C160" t="s">
        <v>1926</v>
      </c>
      <c r="D160">
        <v>2</v>
      </c>
      <c r="E160" t="s">
        <v>1447</v>
      </c>
      <c r="F160" t="s">
        <v>1927</v>
      </c>
      <c r="G160" t="s">
        <v>1737</v>
      </c>
      <c r="H160" t="s">
        <v>1799</v>
      </c>
      <c r="I160" t="s">
        <v>1799</v>
      </c>
      <c r="J160" t="s">
        <v>1799</v>
      </c>
      <c r="K160" t="s">
        <v>1799</v>
      </c>
      <c r="L160" t="s">
        <v>1481</v>
      </c>
      <c r="M160" t="s">
        <v>1799</v>
      </c>
      <c r="N160" t="s">
        <v>1799</v>
      </c>
      <c r="O160" s="184" t="str">
        <f>"["&amp;$C160&amp;"]["&amp;$D160&amp;"]["&amp;$F160&amp;"]"</f>
        <v>[S05_AggregateTotalEmissionsByCRF][2][CRFCategory1]</v>
      </c>
    </row>
    <row r="161" spans="1:15" x14ac:dyDescent="0.3">
      <c r="A161" t="s">
        <v>1793</v>
      </c>
      <c r="B161" t="s">
        <v>1923</v>
      </c>
      <c r="C161" t="s">
        <v>1926</v>
      </c>
      <c r="D161">
        <v>3</v>
      </c>
      <c r="E161" t="s">
        <v>1447</v>
      </c>
      <c r="F161" t="s">
        <v>1927</v>
      </c>
      <c r="G161" t="s">
        <v>1737</v>
      </c>
      <c r="H161" t="s">
        <v>1799</v>
      </c>
      <c r="I161" t="s">
        <v>1799</v>
      </c>
      <c r="J161" t="s">
        <v>1799</v>
      </c>
      <c r="K161" t="s">
        <v>1799</v>
      </c>
      <c r="L161" t="s">
        <v>1503</v>
      </c>
      <c r="M161" t="s">
        <v>1799</v>
      </c>
      <c r="N161" t="s">
        <v>1799</v>
      </c>
      <c r="O161" s="184" t="str">
        <f>"["&amp;$C161&amp;"]["&amp;$D161&amp;"]["&amp;$F161&amp;"]"</f>
        <v>[S05_AggregateTotalEmissionsByCRF][3][CRFCategory1]</v>
      </c>
    </row>
    <row r="162" spans="1:15" x14ac:dyDescent="0.3">
      <c r="A162" t="s">
        <v>1793</v>
      </c>
      <c r="B162" t="s">
        <v>1923</v>
      </c>
      <c r="C162" t="s">
        <v>1926</v>
      </c>
      <c r="D162">
        <v>4</v>
      </c>
      <c r="E162" t="s">
        <v>1447</v>
      </c>
      <c r="F162" t="s">
        <v>1927</v>
      </c>
      <c r="G162" t="s">
        <v>1737</v>
      </c>
      <c r="H162" t="s">
        <v>1799</v>
      </c>
      <c r="I162" t="s">
        <v>1799</v>
      </c>
      <c r="J162" t="s">
        <v>1799</v>
      </c>
      <c r="K162" t="s">
        <v>1799</v>
      </c>
      <c r="L162" t="s">
        <v>1531</v>
      </c>
      <c r="M162" t="s">
        <v>1799</v>
      </c>
      <c r="N162" t="s">
        <v>1799</v>
      </c>
      <c r="O162" s="184" t="str">
        <f>"["&amp;$C162&amp;"]["&amp;$D162&amp;"]["&amp;$F162&amp;"]"</f>
        <v>[S05_AggregateTotalEmissionsByCRF][4][CRFCategory1]</v>
      </c>
    </row>
    <row r="163" spans="1:15" x14ac:dyDescent="0.3">
      <c r="A163" t="s">
        <v>1793</v>
      </c>
      <c r="B163" t="s">
        <v>1923</v>
      </c>
      <c r="C163" t="s">
        <v>1926</v>
      </c>
      <c r="D163">
        <v>5</v>
      </c>
      <c r="E163" t="s">
        <v>1447</v>
      </c>
      <c r="F163" t="s">
        <v>1927</v>
      </c>
      <c r="G163" t="s">
        <v>1737</v>
      </c>
      <c r="H163" t="s">
        <v>1799</v>
      </c>
      <c r="I163" t="s">
        <v>1799</v>
      </c>
      <c r="J163" t="s">
        <v>1799</v>
      </c>
      <c r="K163" t="s">
        <v>1799</v>
      </c>
      <c r="L163" t="s">
        <v>1541</v>
      </c>
      <c r="M163" t="s">
        <v>1799</v>
      </c>
      <c r="N163" t="s">
        <v>1799</v>
      </c>
      <c r="O163" s="184" t="str">
        <f>"["&amp;$C163&amp;"]["&amp;$D163&amp;"]["&amp;$F163&amp;"]"</f>
        <v>[S05_AggregateTotalEmissionsByCRF][5][CRFCategory1]</v>
      </c>
    </row>
    <row r="164" spans="1:15" x14ac:dyDescent="0.3">
      <c r="A164" t="s">
        <v>1793</v>
      </c>
      <c r="B164" t="s">
        <v>1923</v>
      </c>
      <c r="C164" t="s">
        <v>1926</v>
      </c>
      <c r="D164">
        <v>6</v>
      </c>
      <c r="E164" t="s">
        <v>1447</v>
      </c>
      <c r="F164" t="s">
        <v>1927</v>
      </c>
      <c r="G164" t="s">
        <v>1737</v>
      </c>
      <c r="H164" t="s">
        <v>1799</v>
      </c>
      <c r="I164" t="s">
        <v>1799</v>
      </c>
      <c r="J164" t="s">
        <v>1799</v>
      </c>
      <c r="K164" t="s">
        <v>1799</v>
      </c>
      <c r="L164" t="s">
        <v>1550</v>
      </c>
      <c r="M164" t="s">
        <v>1799</v>
      </c>
      <c r="N164" t="s">
        <v>1799</v>
      </c>
      <c r="O164" s="184" t="str">
        <f>"["&amp;$C164&amp;"]["&amp;$D164&amp;"]["&amp;$F164&amp;"]"</f>
        <v>[S05_AggregateTotalEmissionsByCRF][6][CRFCategory1]</v>
      </c>
    </row>
    <row r="165" spans="1:15" x14ac:dyDescent="0.3">
      <c r="A165" t="s">
        <v>1793</v>
      </c>
      <c r="B165" t="s">
        <v>1923</v>
      </c>
      <c r="C165" t="s">
        <v>1926</v>
      </c>
      <c r="D165">
        <v>7</v>
      </c>
      <c r="E165" t="s">
        <v>1447</v>
      </c>
      <c r="F165" t="s">
        <v>1927</v>
      </c>
      <c r="G165" t="s">
        <v>1737</v>
      </c>
      <c r="H165" t="s">
        <v>1799</v>
      </c>
      <c r="I165" t="s">
        <v>1799</v>
      </c>
      <c r="J165" t="s">
        <v>1799</v>
      </c>
      <c r="K165" t="s">
        <v>1799</v>
      </c>
      <c r="L165" t="s">
        <v>1558</v>
      </c>
      <c r="M165" t="s">
        <v>1799</v>
      </c>
      <c r="N165" t="s">
        <v>1799</v>
      </c>
      <c r="O165" s="184" t="str">
        <f>"["&amp;$C165&amp;"]["&amp;$D165&amp;"]["&amp;$F165&amp;"]"</f>
        <v>[S05_AggregateTotalEmissionsByCRF][7][CRFCategory1]</v>
      </c>
    </row>
    <row r="166" spans="1:15" x14ac:dyDescent="0.3">
      <c r="A166" t="s">
        <v>1793</v>
      </c>
      <c r="B166" t="s">
        <v>1923</v>
      </c>
      <c r="C166" t="s">
        <v>1926</v>
      </c>
      <c r="D166">
        <v>8</v>
      </c>
      <c r="E166" t="s">
        <v>1447</v>
      </c>
      <c r="F166" t="s">
        <v>1927</v>
      </c>
      <c r="G166" t="s">
        <v>1737</v>
      </c>
      <c r="H166" t="s">
        <v>1799</v>
      </c>
      <c r="I166" t="s">
        <v>1799</v>
      </c>
      <c r="J166" t="s">
        <v>1799</v>
      </c>
      <c r="K166" t="s">
        <v>1799</v>
      </c>
      <c r="L166" t="s">
        <v>1563</v>
      </c>
      <c r="M166" t="s">
        <v>1799</v>
      </c>
      <c r="N166" t="s">
        <v>1799</v>
      </c>
      <c r="O166" s="184" t="str">
        <f>"["&amp;$C166&amp;"]["&amp;$D166&amp;"]["&amp;$F166&amp;"]"</f>
        <v>[S05_AggregateTotalEmissionsByCRF][8][CRFCategory1]</v>
      </c>
    </row>
    <row r="167" spans="1:15" x14ac:dyDescent="0.3">
      <c r="A167" t="s">
        <v>1793</v>
      </c>
      <c r="B167" t="s">
        <v>1923</v>
      </c>
      <c r="C167" t="s">
        <v>1926</v>
      </c>
      <c r="D167">
        <v>9</v>
      </c>
      <c r="E167" t="s">
        <v>1447</v>
      </c>
      <c r="F167" t="s">
        <v>1927</v>
      </c>
      <c r="G167" t="s">
        <v>1737</v>
      </c>
      <c r="H167" t="s">
        <v>1799</v>
      </c>
      <c r="I167" t="s">
        <v>1799</v>
      </c>
      <c r="J167" t="s">
        <v>1799</v>
      </c>
      <c r="K167" t="s">
        <v>1799</v>
      </c>
      <c r="L167" t="s">
        <v>1569</v>
      </c>
      <c r="M167" t="s">
        <v>1799</v>
      </c>
      <c r="N167" t="s">
        <v>1799</v>
      </c>
      <c r="O167" s="184" t="str">
        <f>"["&amp;$C167&amp;"]["&amp;$D167&amp;"]["&amp;$F167&amp;"]"</f>
        <v>[S05_AggregateTotalEmissionsByCRF][9][CRFCategory1]</v>
      </c>
    </row>
    <row r="168" spans="1:15" x14ac:dyDescent="0.3">
      <c r="A168" t="s">
        <v>1793</v>
      </c>
      <c r="B168" t="s">
        <v>1923</v>
      </c>
      <c r="C168" t="s">
        <v>1926</v>
      </c>
      <c r="D168">
        <v>10</v>
      </c>
      <c r="E168" t="s">
        <v>1447</v>
      </c>
      <c r="F168" t="s">
        <v>1927</v>
      </c>
      <c r="G168" t="s">
        <v>1737</v>
      </c>
      <c r="H168" t="s">
        <v>1799</v>
      </c>
      <c r="I168" t="s">
        <v>1799</v>
      </c>
      <c r="J168" t="s">
        <v>1799</v>
      </c>
      <c r="K168" t="s">
        <v>1799</v>
      </c>
      <c r="L168" t="s">
        <v>1574</v>
      </c>
      <c r="M168" t="s">
        <v>1799</v>
      </c>
      <c r="N168" t="s">
        <v>1799</v>
      </c>
      <c r="O168" s="184" t="str">
        <f>"["&amp;$C168&amp;"]["&amp;$D168&amp;"]["&amp;$F168&amp;"]"</f>
        <v>[S05_AggregateTotalEmissionsByCRF][10][CRFCategory1]</v>
      </c>
    </row>
    <row r="169" spans="1:15" x14ac:dyDescent="0.3">
      <c r="A169" t="s">
        <v>1793</v>
      </c>
      <c r="B169" t="s">
        <v>1923</v>
      </c>
      <c r="C169" t="s">
        <v>1926</v>
      </c>
      <c r="D169">
        <v>11</v>
      </c>
      <c r="E169" t="s">
        <v>1447</v>
      </c>
      <c r="F169" t="s">
        <v>1927</v>
      </c>
      <c r="G169" t="s">
        <v>1737</v>
      </c>
      <c r="H169" t="s">
        <v>1799</v>
      </c>
      <c r="I169" t="s">
        <v>1799</v>
      </c>
      <c r="J169" t="s">
        <v>1799</v>
      </c>
      <c r="K169" t="s">
        <v>1799</v>
      </c>
      <c r="L169" t="s">
        <v>1657</v>
      </c>
      <c r="M169" t="s">
        <v>1799</v>
      </c>
      <c r="N169" t="s">
        <v>1799</v>
      </c>
      <c r="O169" s="184" t="str">
        <f>"["&amp;$C169&amp;"]["&amp;$D169&amp;"]["&amp;$F169&amp;"]"</f>
        <v>[S05_AggregateTotalEmissionsByCRF][11][CRFCategory1]</v>
      </c>
    </row>
    <row r="170" spans="1:15" x14ac:dyDescent="0.3">
      <c r="A170" t="s">
        <v>1793</v>
      </c>
      <c r="B170" t="s">
        <v>1923</v>
      </c>
      <c r="C170" t="s">
        <v>1926</v>
      </c>
      <c r="D170">
        <v>4</v>
      </c>
      <c r="E170" t="s">
        <v>1447</v>
      </c>
      <c r="F170" t="s">
        <v>1928</v>
      </c>
      <c r="G170" t="s">
        <v>1737</v>
      </c>
      <c r="H170" t="s">
        <v>1799</v>
      </c>
      <c r="I170" t="s">
        <v>1799</v>
      </c>
      <c r="J170" t="s">
        <v>1799</v>
      </c>
      <c r="K170" t="s">
        <v>1799</v>
      </c>
      <c r="L170" t="s">
        <v>1589</v>
      </c>
      <c r="M170" t="s">
        <v>1799</v>
      </c>
      <c r="N170" t="s">
        <v>1799</v>
      </c>
      <c r="O170" s="184" t="str">
        <f>"["&amp;$C170&amp;"]["&amp;$D170&amp;"]["&amp;$F170&amp;"]"</f>
        <v>[S05_AggregateTotalEmissionsByCRF][4][CRFCategory2]</v>
      </c>
    </row>
    <row r="171" spans="1:15" x14ac:dyDescent="0.3">
      <c r="A171" t="s">
        <v>1793</v>
      </c>
      <c r="B171" t="s">
        <v>1923</v>
      </c>
      <c r="C171" t="s">
        <v>1926</v>
      </c>
      <c r="D171">
        <v>7</v>
      </c>
      <c r="E171" t="s">
        <v>1447</v>
      </c>
      <c r="F171" t="s">
        <v>1928</v>
      </c>
      <c r="G171" t="s">
        <v>1737</v>
      </c>
      <c r="H171" t="s">
        <v>1799</v>
      </c>
      <c r="I171" t="s">
        <v>1799</v>
      </c>
      <c r="J171" t="s">
        <v>1799</v>
      </c>
      <c r="K171" t="s">
        <v>1799</v>
      </c>
      <c r="L171" t="s">
        <v>1676</v>
      </c>
      <c r="M171" t="s">
        <v>1799</v>
      </c>
      <c r="N171" t="s">
        <v>1799</v>
      </c>
      <c r="O171" s="184" t="str">
        <f>"["&amp;$C171&amp;"]["&amp;$D171&amp;"]["&amp;$F171&amp;"]"</f>
        <v>[S05_AggregateTotalEmissionsByCRF][7][CRFCategory2]</v>
      </c>
    </row>
    <row r="172" spans="1:15" x14ac:dyDescent="0.3">
      <c r="A172" t="s">
        <v>1793</v>
      </c>
      <c r="B172" t="s">
        <v>1923</v>
      </c>
      <c r="C172" t="s">
        <v>1926</v>
      </c>
      <c r="D172">
        <v>1</v>
      </c>
      <c r="E172" t="s">
        <v>1447</v>
      </c>
      <c r="F172" t="s">
        <v>1929</v>
      </c>
      <c r="G172" t="s">
        <v>1922</v>
      </c>
      <c r="H172" t="s">
        <v>1799</v>
      </c>
      <c r="I172" t="s">
        <v>1799</v>
      </c>
      <c r="J172">
        <v>185269</v>
      </c>
      <c r="K172" t="s">
        <v>1799</v>
      </c>
      <c r="L172" t="s">
        <v>1799</v>
      </c>
      <c r="M172" t="s">
        <v>1799</v>
      </c>
      <c r="N172" t="s">
        <v>1799</v>
      </c>
      <c r="O172" s="184" t="str">
        <f>"["&amp;$C172&amp;"]["&amp;$D172&amp;"]["&amp;$F172&amp;"]"</f>
        <v>[S05_AggregateTotalEmissionsByCRF][1][TotalEmissionsTCo2e]</v>
      </c>
    </row>
    <row r="173" spans="1:15" x14ac:dyDescent="0.3">
      <c r="A173" t="s">
        <v>1793</v>
      </c>
      <c r="B173" t="s">
        <v>1923</v>
      </c>
      <c r="C173" t="s">
        <v>1926</v>
      </c>
      <c r="D173">
        <v>2</v>
      </c>
      <c r="E173" t="s">
        <v>1447</v>
      </c>
      <c r="F173" t="s">
        <v>1929</v>
      </c>
      <c r="G173" t="s">
        <v>1922</v>
      </c>
      <c r="H173" t="s">
        <v>1799</v>
      </c>
      <c r="I173" t="s">
        <v>1799</v>
      </c>
      <c r="J173">
        <v>2164716</v>
      </c>
      <c r="K173" t="s">
        <v>1799</v>
      </c>
      <c r="L173" t="s">
        <v>1799</v>
      </c>
      <c r="M173" t="s">
        <v>1799</v>
      </c>
      <c r="N173" t="s">
        <v>1799</v>
      </c>
      <c r="O173" s="184" t="str">
        <f>"["&amp;$C173&amp;"]["&amp;$D173&amp;"]["&amp;$F173&amp;"]"</f>
        <v>[S05_AggregateTotalEmissionsByCRF][2][TotalEmissionsTCo2e]</v>
      </c>
    </row>
    <row r="174" spans="1:15" x14ac:dyDescent="0.3">
      <c r="A174" t="s">
        <v>1793</v>
      </c>
      <c r="B174" t="s">
        <v>1923</v>
      </c>
      <c r="C174" t="s">
        <v>1926</v>
      </c>
      <c r="D174">
        <v>3</v>
      </c>
      <c r="E174" t="s">
        <v>1447</v>
      </c>
      <c r="F174" t="s">
        <v>1929</v>
      </c>
      <c r="G174" t="s">
        <v>1922</v>
      </c>
      <c r="H174" t="s">
        <v>1799</v>
      </c>
      <c r="I174" t="s">
        <v>1799</v>
      </c>
      <c r="J174">
        <v>11310642</v>
      </c>
      <c r="K174" t="s">
        <v>1799</v>
      </c>
      <c r="L174" t="s">
        <v>1799</v>
      </c>
      <c r="M174" t="s">
        <v>1799</v>
      </c>
      <c r="N174" t="s">
        <v>1799</v>
      </c>
      <c r="O174" s="184" t="str">
        <f>"["&amp;$C174&amp;"]["&amp;$D174&amp;"]["&amp;$F174&amp;"]"</f>
        <v>[S05_AggregateTotalEmissionsByCRF][3][TotalEmissionsTCo2e]</v>
      </c>
    </row>
    <row r="175" spans="1:15" x14ac:dyDescent="0.3">
      <c r="A175" t="s">
        <v>1793</v>
      </c>
      <c r="B175" t="s">
        <v>1923</v>
      </c>
      <c r="C175" t="s">
        <v>1926</v>
      </c>
      <c r="D175">
        <v>4</v>
      </c>
      <c r="E175" t="s">
        <v>1447</v>
      </c>
      <c r="F175" t="s">
        <v>1929</v>
      </c>
      <c r="G175" t="s">
        <v>1922</v>
      </c>
      <c r="H175" t="s">
        <v>1799</v>
      </c>
      <c r="I175" t="s">
        <v>1799</v>
      </c>
      <c r="J175">
        <v>87094</v>
      </c>
      <c r="K175" t="s">
        <v>1799</v>
      </c>
      <c r="L175" t="s">
        <v>1799</v>
      </c>
      <c r="M175" t="s">
        <v>1799</v>
      </c>
      <c r="N175" t="s">
        <v>1799</v>
      </c>
      <c r="O175" s="184" t="str">
        <f>"["&amp;$C175&amp;"]["&amp;$D175&amp;"]["&amp;$F175&amp;"]"</f>
        <v>[S05_AggregateTotalEmissionsByCRF][4][TotalEmissionsTCo2e]</v>
      </c>
    </row>
    <row r="176" spans="1:15" x14ac:dyDescent="0.3">
      <c r="A176" t="s">
        <v>1793</v>
      </c>
      <c r="B176" t="s">
        <v>1923</v>
      </c>
      <c r="C176" t="s">
        <v>1926</v>
      </c>
      <c r="D176">
        <v>5</v>
      </c>
      <c r="E176" t="s">
        <v>1447</v>
      </c>
      <c r="F176" t="s">
        <v>1929</v>
      </c>
      <c r="G176" t="s">
        <v>1922</v>
      </c>
      <c r="H176" t="s">
        <v>1799</v>
      </c>
      <c r="I176" t="s">
        <v>1799</v>
      </c>
      <c r="J176">
        <v>4857167</v>
      </c>
      <c r="K176" t="s">
        <v>1799</v>
      </c>
      <c r="L176" t="s">
        <v>1799</v>
      </c>
      <c r="M176" t="s">
        <v>1799</v>
      </c>
      <c r="N176" t="s">
        <v>1799</v>
      </c>
      <c r="O176" s="184" t="str">
        <f>"["&amp;$C176&amp;"]["&amp;$D176&amp;"]["&amp;$F176&amp;"]"</f>
        <v>[S05_AggregateTotalEmissionsByCRF][5][TotalEmissionsTCo2e]</v>
      </c>
    </row>
    <row r="177" spans="1:15" x14ac:dyDescent="0.3">
      <c r="A177" t="s">
        <v>1793</v>
      </c>
      <c r="B177" t="s">
        <v>1923</v>
      </c>
      <c r="C177" t="s">
        <v>1926</v>
      </c>
      <c r="D177">
        <v>6</v>
      </c>
      <c r="E177" t="s">
        <v>1447</v>
      </c>
      <c r="F177" t="s">
        <v>1929</v>
      </c>
      <c r="G177" t="s">
        <v>1922</v>
      </c>
      <c r="H177" t="s">
        <v>1799</v>
      </c>
      <c r="I177" t="s">
        <v>1799</v>
      </c>
      <c r="J177">
        <v>1874026</v>
      </c>
      <c r="K177" t="s">
        <v>1799</v>
      </c>
      <c r="L177" t="s">
        <v>1799</v>
      </c>
      <c r="M177" t="s">
        <v>1799</v>
      </c>
      <c r="N177" t="s">
        <v>1799</v>
      </c>
      <c r="O177" s="184" t="str">
        <f>"["&amp;$C177&amp;"]["&amp;$D177&amp;"]["&amp;$F177&amp;"]"</f>
        <v>[S05_AggregateTotalEmissionsByCRF][6][TotalEmissionsTCo2e]</v>
      </c>
    </row>
    <row r="178" spans="1:15" x14ac:dyDescent="0.3">
      <c r="A178" t="s">
        <v>1793</v>
      </c>
      <c r="B178" t="s">
        <v>1923</v>
      </c>
      <c r="C178" t="s">
        <v>1926</v>
      </c>
      <c r="D178">
        <v>7</v>
      </c>
      <c r="E178" t="s">
        <v>1447</v>
      </c>
      <c r="F178" t="s">
        <v>1929</v>
      </c>
      <c r="G178" t="s">
        <v>1922</v>
      </c>
      <c r="H178" t="s">
        <v>1799</v>
      </c>
      <c r="I178" t="s">
        <v>1799</v>
      </c>
      <c r="J178">
        <v>112005</v>
      </c>
      <c r="K178" t="s">
        <v>1799</v>
      </c>
      <c r="L178" t="s">
        <v>1799</v>
      </c>
      <c r="M178" t="s">
        <v>1799</v>
      </c>
      <c r="N178" t="s">
        <v>1799</v>
      </c>
      <c r="O178" s="184" t="str">
        <f>"["&amp;$C178&amp;"]["&amp;$D178&amp;"]["&amp;$F178&amp;"]"</f>
        <v>[S05_AggregateTotalEmissionsByCRF][7][TotalEmissionsTCo2e]</v>
      </c>
    </row>
    <row r="179" spans="1:15" x14ac:dyDescent="0.3">
      <c r="A179" t="s">
        <v>1793</v>
      </c>
      <c r="B179" t="s">
        <v>1923</v>
      </c>
      <c r="C179" t="s">
        <v>1926</v>
      </c>
      <c r="D179">
        <v>8</v>
      </c>
      <c r="E179" t="s">
        <v>1447</v>
      </c>
      <c r="F179" t="s">
        <v>1929</v>
      </c>
      <c r="G179" t="s">
        <v>1922</v>
      </c>
      <c r="H179" t="s">
        <v>1799</v>
      </c>
      <c r="I179" t="s">
        <v>1799</v>
      </c>
      <c r="J179">
        <v>72917</v>
      </c>
      <c r="K179" t="s">
        <v>1799</v>
      </c>
      <c r="L179" t="s">
        <v>1799</v>
      </c>
      <c r="M179" t="s">
        <v>1799</v>
      </c>
      <c r="N179" t="s">
        <v>1799</v>
      </c>
      <c r="O179" s="184" t="str">
        <f>"["&amp;$C179&amp;"]["&amp;$D179&amp;"]["&amp;$F179&amp;"]"</f>
        <v>[S05_AggregateTotalEmissionsByCRF][8][TotalEmissionsTCo2e]</v>
      </c>
    </row>
    <row r="180" spans="1:15" x14ac:dyDescent="0.3">
      <c r="A180" t="s">
        <v>1793</v>
      </c>
      <c r="B180" t="s">
        <v>1923</v>
      </c>
      <c r="C180" t="s">
        <v>1926</v>
      </c>
      <c r="D180">
        <v>9</v>
      </c>
      <c r="E180" t="s">
        <v>1447</v>
      </c>
      <c r="F180" t="s">
        <v>1929</v>
      </c>
      <c r="G180" t="s">
        <v>1922</v>
      </c>
      <c r="H180" t="s">
        <v>1799</v>
      </c>
      <c r="I180" t="s">
        <v>1799</v>
      </c>
      <c r="J180">
        <v>1519215</v>
      </c>
      <c r="K180" t="s">
        <v>1799</v>
      </c>
      <c r="L180" t="s">
        <v>1799</v>
      </c>
      <c r="M180" t="s">
        <v>1799</v>
      </c>
      <c r="N180" t="s">
        <v>1799</v>
      </c>
      <c r="O180" s="184" t="str">
        <f>"["&amp;$C180&amp;"]["&amp;$D180&amp;"]["&amp;$F180&amp;"]"</f>
        <v>[S05_AggregateTotalEmissionsByCRF][9][TotalEmissionsTCo2e]</v>
      </c>
    </row>
    <row r="181" spans="1:15" x14ac:dyDescent="0.3">
      <c r="A181" t="s">
        <v>1793</v>
      </c>
      <c r="B181" t="s">
        <v>1923</v>
      </c>
      <c r="C181" t="s">
        <v>1926</v>
      </c>
      <c r="D181">
        <v>10</v>
      </c>
      <c r="E181" t="s">
        <v>1447</v>
      </c>
      <c r="F181" t="s">
        <v>1929</v>
      </c>
      <c r="G181" t="s">
        <v>1922</v>
      </c>
      <c r="H181" t="s">
        <v>1799</v>
      </c>
      <c r="I181" t="s">
        <v>1799</v>
      </c>
      <c r="J181">
        <v>4363</v>
      </c>
      <c r="K181" t="s">
        <v>1799</v>
      </c>
      <c r="L181" t="s">
        <v>1799</v>
      </c>
      <c r="M181" t="s">
        <v>1799</v>
      </c>
      <c r="N181" t="s">
        <v>1799</v>
      </c>
      <c r="O181" s="184" t="str">
        <f>"["&amp;$C181&amp;"]["&amp;$D181&amp;"]["&amp;$F181&amp;"]"</f>
        <v>[S05_AggregateTotalEmissionsByCRF][10][TotalEmissionsTCo2e]</v>
      </c>
    </row>
    <row r="182" spans="1:15" x14ac:dyDescent="0.3">
      <c r="A182" t="s">
        <v>1793</v>
      </c>
      <c r="B182" t="s">
        <v>1923</v>
      </c>
      <c r="C182" t="s">
        <v>1926</v>
      </c>
      <c r="D182">
        <v>11</v>
      </c>
      <c r="E182" t="s">
        <v>1447</v>
      </c>
      <c r="F182" t="s">
        <v>1929</v>
      </c>
      <c r="G182" t="s">
        <v>1922</v>
      </c>
      <c r="H182" t="s">
        <v>1799</v>
      </c>
      <c r="I182" t="s">
        <v>1799</v>
      </c>
      <c r="J182">
        <v>3074</v>
      </c>
      <c r="K182" t="s">
        <v>1799</v>
      </c>
      <c r="L182" t="s">
        <v>1799</v>
      </c>
      <c r="M182" t="s">
        <v>1799</v>
      </c>
      <c r="N182" t="s">
        <v>1799</v>
      </c>
      <c r="O182" s="184" t="str">
        <f>"["&amp;$C182&amp;"]["&amp;$D182&amp;"]["&amp;$F182&amp;"]"</f>
        <v>[S05_AggregateTotalEmissionsByCRF][11][TotalEmissionsTCo2e]</v>
      </c>
    </row>
    <row r="183" spans="1:15" x14ac:dyDescent="0.3">
      <c r="A183" t="s">
        <v>1793</v>
      </c>
      <c r="B183" t="s">
        <v>1923</v>
      </c>
      <c r="C183" t="s">
        <v>1926</v>
      </c>
      <c r="D183">
        <v>1</v>
      </c>
      <c r="E183" t="s">
        <v>1447</v>
      </c>
      <c r="F183" t="s">
        <v>1930</v>
      </c>
      <c r="G183" t="s">
        <v>1922</v>
      </c>
      <c r="H183" t="s">
        <v>1799</v>
      </c>
      <c r="I183" t="s">
        <v>1799</v>
      </c>
      <c r="J183">
        <v>185269</v>
      </c>
      <c r="K183" t="s">
        <v>1799</v>
      </c>
      <c r="L183" t="s">
        <v>1799</v>
      </c>
      <c r="M183" t="s">
        <v>1799</v>
      </c>
      <c r="N183" t="s">
        <v>1799</v>
      </c>
      <c r="O183" s="184" t="str">
        <f>"["&amp;$C183&amp;"]["&amp;$D183&amp;"]["&amp;$F183&amp;"]"</f>
        <v>[S05_AggregateTotalEmissionsByCRF][1][TotalCombustionEmissionsTCo2e]</v>
      </c>
    </row>
    <row r="184" spans="1:15" x14ac:dyDescent="0.3">
      <c r="A184" t="s">
        <v>1793</v>
      </c>
      <c r="B184" t="s">
        <v>1923</v>
      </c>
      <c r="C184" t="s">
        <v>1926</v>
      </c>
      <c r="D184">
        <v>2</v>
      </c>
      <c r="E184" t="s">
        <v>1447</v>
      </c>
      <c r="F184" t="s">
        <v>1930</v>
      </c>
      <c r="G184" t="s">
        <v>1922</v>
      </c>
      <c r="H184" t="s">
        <v>1799</v>
      </c>
      <c r="I184" t="s">
        <v>1799</v>
      </c>
      <c r="J184">
        <v>2164716</v>
      </c>
      <c r="K184" t="s">
        <v>1799</v>
      </c>
      <c r="L184" t="s">
        <v>1799</v>
      </c>
      <c r="M184" t="s">
        <v>1799</v>
      </c>
      <c r="N184" t="s">
        <v>1799</v>
      </c>
      <c r="O184" s="184" t="str">
        <f>"["&amp;$C184&amp;"]["&amp;$D184&amp;"]["&amp;$F184&amp;"]"</f>
        <v>[S05_AggregateTotalEmissionsByCRF][2][TotalCombustionEmissionsTCo2e]</v>
      </c>
    </row>
    <row r="185" spans="1:15" x14ac:dyDescent="0.3">
      <c r="A185" t="s">
        <v>1793</v>
      </c>
      <c r="B185" t="s">
        <v>1923</v>
      </c>
      <c r="C185" t="s">
        <v>1926</v>
      </c>
      <c r="D185">
        <v>3</v>
      </c>
      <c r="E185" t="s">
        <v>1447</v>
      </c>
      <c r="F185" t="s">
        <v>1930</v>
      </c>
      <c r="G185" t="s">
        <v>1922</v>
      </c>
      <c r="H185" t="s">
        <v>1799</v>
      </c>
      <c r="I185" t="s">
        <v>1799</v>
      </c>
      <c r="J185">
        <v>11310642</v>
      </c>
      <c r="K185" t="s">
        <v>1799</v>
      </c>
      <c r="L185" t="s">
        <v>1799</v>
      </c>
      <c r="M185" t="s">
        <v>1799</v>
      </c>
      <c r="N185" t="s">
        <v>1799</v>
      </c>
      <c r="O185" s="184" t="str">
        <f>"["&amp;$C185&amp;"]["&amp;$D185&amp;"]["&amp;$F185&amp;"]"</f>
        <v>[S05_AggregateTotalEmissionsByCRF][3][TotalCombustionEmissionsTCo2e]</v>
      </c>
    </row>
    <row r="186" spans="1:15" x14ac:dyDescent="0.3">
      <c r="A186" t="s">
        <v>1793</v>
      </c>
      <c r="B186" t="s">
        <v>1923</v>
      </c>
      <c r="C186" t="s">
        <v>1926</v>
      </c>
      <c r="D186">
        <v>4</v>
      </c>
      <c r="E186" t="s">
        <v>1447</v>
      </c>
      <c r="F186" t="s">
        <v>1930</v>
      </c>
      <c r="G186" t="s">
        <v>1922</v>
      </c>
      <c r="H186" t="s">
        <v>1799</v>
      </c>
      <c r="I186" t="s">
        <v>1799</v>
      </c>
      <c r="J186">
        <v>54500</v>
      </c>
      <c r="K186" t="s">
        <v>1799</v>
      </c>
      <c r="L186" t="s">
        <v>1799</v>
      </c>
      <c r="M186" t="s">
        <v>1799</v>
      </c>
      <c r="N186" t="s">
        <v>1799</v>
      </c>
      <c r="O186" s="184" t="str">
        <f>"["&amp;$C186&amp;"]["&amp;$D186&amp;"]["&amp;$F186&amp;"]"</f>
        <v>[S05_AggregateTotalEmissionsByCRF][4][TotalCombustionEmissionsTCo2e]</v>
      </c>
    </row>
    <row r="187" spans="1:15" x14ac:dyDescent="0.3">
      <c r="A187" t="s">
        <v>1793</v>
      </c>
      <c r="B187" t="s">
        <v>1923</v>
      </c>
      <c r="C187" t="s">
        <v>1926</v>
      </c>
      <c r="D187">
        <v>5</v>
      </c>
      <c r="E187" t="s">
        <v>1447</v>
      </c>
      <c r="F187" t="s">
        <v>1930</v>
      </c>
      <c r="G187" t="s">
        <v>1922</v>
      </c>
      <c r="H187" t="s">
        <v>1799</v>
      </c>
      <c r="I187" t="s">
        <v>1799</v>
      </c>
      <c r="J187">
        <v>160772</v>
      </c>
      <c r="K187" t="s">
        <v>1799</v>
      </c>
      <c r="L187" t="s">
        <v>1799</v>
      </c>
      <c r="M187" t="s">
        <v>1799</v>
      </c>
      <c r="N187" t="s">
        <v>1799</v>
      </c>
      <c r="O187" s="184" t="str">
        <f>"["&amp;$C187&amp;"]["&amp;$D187&amp;"]["&amp;$F187&amp;"]"</f>
        <v>[S05_AggregateTotalEmissionsByCRF][5][TotalCombustionEmissionsTCo2e]</v>
      </c>
    </row>
    <row r="188" spans="1:15" x14ac:dyDescent="0.3">
      <c r="A188" t="s">
        <v>1793</v>
      </c>
      <c r="B188" t="s">
        <v>1923</v>
      </c>
      <c r="C188" t="s">
        <v>1926</v>
      </c>
      <c r="D188">
        <v>6</v>
      </c>
      <c r="E188" t="s">
        <v>1447</v>
      </c>
      <c r="F188" t="s">
        <v>1930</v>
      </c>
      <c r="G188" t="s">
        <v>1922</v>
      </c>
      <c r="H188" t="s">
        <v>1799</v>
      </c>
      <c r="I188" t="s">
        <v>1799</v>
      </c>
      <c r="J188">
        <v>116059</v>
      </c>
      <c r="K188" t="s">
        <v>1799</v>
      </c>
      <c r="L188" t="s">
        <v>1799</v>
      </c>
      <c r="M188" t="s">
        <v>1799</v>
      </c>
      <c r="N188" t="s">
        <v>1799</v>
      </c>
      <c r="O188" s="184" t="str">
        <f>"["&amp;$C188&amp;"]["&amp;$D188&amp;"]["&amp;$F188&amp;"]"</f>
        <v>[S05_AggregateTotalEmissionsByCRF][6][TotalCombustionEmissionsTCo2e]</v>
      </c>
    </row>
    <row r="189" spans="1:15" x14ac:dyDescent="0.3">
      <c r="A189" t="s">
        <v>1793</v>
      </c>
      <c r="B189" t="s">
        <v>1923</v>
      </c>
      <c r="C189" t="s">
        <v>1926</v>
      </c>
      <c r="D189">
        <v>7</v>
      </c>
      <c r="E189" t="s">
        <v>1447</v>
      </c>
      <c r="F189" t="s">
        <v>1930</v>
      </c>
      <c r="G189" t="s">
        <v>1922</v>
      </c>
      <c r="H189" t="s">
        <v>1799</v>
      </c>
      <c r="I189" t="s">
        <v>1799</v>
      </c>
      <c r="J189">
        <v>102841</v>
      </c>
      <c r="K189" t="s">
        <v>1799</v>
      </c>
      <c r="L189" t="s">
        <v>1799</v>
      </c>
      <c r="M189" t="s">
        <v>1799</v>
      </c>
      <c r="N189" t="s">
        <v>1799</v>
      </c>
      <c r="O189" s="184" t="str">
        <f>"["&amp;$C189&amp;"]["&amp;$D189&amp;"]["&amp;$F189&amp;"]"</f>
        <v>[S05_AggregateTotalEmissionsByCRF][7][TotalCombustionEmissionsTCo2e]</v>
      </c>
    </row>
    <row r="190" spans="1:15" x14ac:dyDescent="0.3">
      <c r="A190" t="s">
        <v>1793</v>
      </c>
      <c r="B190" t="s">
        <v>1923</v>
      </c>
      <c r="C190" t="s">
        <v>1926</v>
      </c>
      <c r="D190">
        <v>8</v>
      </c>
      <c r="E190" t="s">
        <v>1447</v>
      </c>
      <c r="F190" t="s">
        <v>1930</v>
      </c>
      <c r="G190" t="s">
        <v>1922</v>
      </c>
      <c r="H190" t="s">
        <v>1799</v>
      </c>
      <c r="I190" t="s">
        <v>1799</v>
      </c>
      <c r="J190">
        <v>72917</v>
      </c>
      <c r="K190" t="s">
        <v>1799</v>
      </c>
      <c r="L190" t="s">
        <v>1799</v>
      </c>
      <c r="M190" t="s">
        <v>1799</v>
      </c>
      <c r="N190" t="s">
        <v>1799</v>
      </c>
      <c r="O190" s="184" t="str">
        <f>"["&amp;$C190&amp;"]["&amp;$D190&amp;"]["&amp;$F190&amp;"]"</f>
        <v>[S05_AggregateTotalEmissionsByCRF][8][TotalCombustionEmissionsTCo2e]</v>
      </c>
    </row>
    <row r="191" spans="1:15" x14ac:dyDescent="0.3">
      <c r="A191" t="s">
        <v>1793</v>
      </c>
      <c r="B191" t="s">
        <v>1923</v>
      </c>
      <c r="C191" t="s">
        <v>1926</v>
      </c>
      <c r="D191">
        <v>9</v>
      </c>
      <c r="E191" t="s">
        <v>1447</v>
      </c>
      <c r="F191" t="s">
        <v>1930</v>
      </c>
      <c r="G191" t="s">
        <v>1922</v>
      </c>
      <c r="H191" t="s">
        <v>1799</v>
      </c>
      <c r="I191" t="s">
        <v>1799</v>
      </c>
      <c r="J191">
        <v>588209</v>
      </c>
      <c r="K191" t="s">
        <v>1799</v>
      </c>
      <c r="L191" t="s">
        <v>1799</v>
      </c>
      <c r="M191" t="s">
        <v>1799</v>
      </c>
      <c r="N191" t="s">
        <v>1799</v>
      </c>
      <c r="O191" s="184" t="str">
        <f>"["&amp;$C191&amp;"]["&amp;$D191&amp;"]["&amp;$F191&amp;"]"</f>
        <v>[S05_AggregateTotalEmissionsByCRF][9][TotalCombustionEmissionsTCo2e]</v>
      </c>
    </row>
    <row r="192" spans="1:15" x14ac:dyDescent="0.3">
      <c r="A192" t="s">
        <v>1793</v>
      </c>
      <c r="B192" t="s">
        <v>1923</v>
      </c>
      <c r="C192" t="s">
        <v>1926</v>
      </c>
      <c r="D192">
        <v>10</v>
      </c>
      <c r="E192" t="s">
        <v>1447</v>
      </c>
      <c r="F192" t="s">
        <v>1930</v>
      </c>
      <c r="G192" t="s">
        <v>1922</v>
      </c>
      <c r="H192" t="s">
        <v>1799</v>
      </c>
      <c r="I192" t="s">
        <v>1799</v>
      </c>
      <c r="J192">
        <v>4363</v>
      </c>
      <c r="K192" t="s">
        <v>1799</v>
      </c>
      <c r="L192" t="s">
        <v>1799</v>
      </c>
      <c r="M192" t="s">
        <v>1799</v>
      </c>
      <c r="N192" t="s">
        <v>1799</v>
      </c>
      <c r="O192" s="184" t="str">
        <f>"["&amp;$C192&amp;"]["&amp;$D192&amp;"]["&amp;$F192&amp;"]"</f>
        <v>[S05_AggregateTotalEmissionsByCRF][10][TotalCombustionEmissionsTCo2e]</v>
      </c>
    </row>
    <row r="193" spans="1:15" x14ac:dyDescent="0.3">
      <c r="A193" t="s">
        <v>1793</v>
      </c>
      <c r="B193" t="s">
        <v>1923</v>
      </c>
      <c r="C193" t="s">
        <v>1926</v>
      </c>
      <c r="D193">
        <v>11</v>
      </c>
      <c r="E193" t="s">
        <v>1447</v>
      </c>
      <c r="F193" t="s">
        <v>1930</v>
      </c>
      <c r="G193" t="s">
        <v>1922</v>
      </c>
      <c r="H193" t="s">
        <v>1799</v>
      </c>
      <c r="I193" t="s">
        <v>1799</v>
      </c>
      <c r="J193">
        <v>3074</v>
      </c>
      <c r="K193" t="s">
        <v>1799</v>
      </c>
      <c r="L193" t="s">
        <v>1799</v>
      </c>
      <c r="M193" t="s">
        <v>1799</v>
      </c>
      <c r="N193" t="s">
        <v>1799</v>
      </c>
      <c r="O193" s="184" t="str">
        <f>"["&amp;$C193&amp;"]["&amp;$D193&amp;"]["&amp;$F193&amp;"]"</f>
        <v>[S05_AggregateTotalEmissionsByCRF][11][TotalCombustionEmissionsTCo2e]</v>
      </c>
    </row>
    <row r="194" spans="1:15" x14ac:dyDescent="0.3">
      <c r="A194" t="s">
        <v>1793</v>
      </c>
      <c r="B194" t="s">
        <v>1923</v>
      </c>
      <c r="C194" t="s">
        <v>1926</v>
      </c>
      <c r="D194">
        <v>4</v>
      </c>
      <c r="E194" t="s">
        <v>1447</v>
      </c>
      <c r="F194" t="s">
        <v>1931</v>
      </c>
      <c r="G194" t="s">
        <v>1922</v>
      </c>
      <c r="H194" t="s">
        <v>1799</v>
      </c>
      <c r="I194" t="s">
        <v>1799</v>
      </c>
      <c r="J194">
        <v>32594</v>
      </c>
      <c r="K194" t="s">
        <v>1799</v>
      </c>
      <c r="L194" t="s">
        <v>1799</v>
      </c>
      <c r="M194" t="s">
        <v>1799</v>
      </c>
      <c r="N194" t="s">
        <v>1799</v>
      </c>
      <c r="O194" s="184" t="str">
        <f>"["&amp;$C194&amp;"]["&amp;$D194&amp;"]["&amp;$F194&amp;"]"</f>
        <v>[S05_AggregateTotalEmissionsByCRF][4][TotalProcessEmissionsTCo2e]</v>
      </c>
    </row>
    <row r="195" spans="1:15" x14ac:dyDescent="0.3">
      <c r="A195" t="s">
        <v>1793</v>
      </c>
      <c r="B195" t="s">
        <v>1923</v>
      </c>
      <c r="C195" t="s">
        <v>1926</v>
      </c>
      <c r="D195">
        <v>5</v>
      </c>
      <c r="E195" t="s">
        <v>1447</v>
      </c>
      <c r="F195" t="s">
        <v>1931</v>
      </c>
      <c r="G195" t="s">
        <v>1922</v>
      </c>
      <c r="H195" t="s">
        <v>1799</v>
      </c>
      <c r="I195" t="s">
        <v>1799</v>
      </c>
      <c r="J195">
        <v>4696395</v>
      </c>
      <c r="K195" t="s">
        <v>1799</v>
      </c>
      <c r="L195" t="s">
        <v>1799</v>
      </c>
      <c r="M195" t="s">
        <v>1799</v>
      </c>
      <c r="N195" t="s">
        <v>1799</v>
      </c>
      <c r="O195" s="184" t="str">
        <f>"["&amp;$C195&amp;"]["&amp;$D195&amp;"]["&amp;$F195&amp;"]"</f>
        <v>[S05_AggregateTotalEmissionsByCRF][5][TotalProcessEmissionsTCo2e]</v>
      </c>
    </row>
    <row r="196" spans="1:15" x14ac:dyDescent="0.3">
      <c r="A196" t="s">
        <v>1793</v>
      </c>
      <c r="B196" t="s">
        <v>1923</v>
      </c>
      <c r="C196" t="s">
        <v>1926</v>
      </c>
      <c r="D196">
        <v>6</v>
      </c>
      <c r="E196" t="s">
        <v>1447</v>
      </c>
      <c r="F196" t="s">
        <v>1931</v>
      </c>
      <c r="G196" t="s">
        <v>1922</v>
      </c>
      <c r="H196" t="s">
        <v>1799</v>
      </c>
      <c r="I196" t="s">
        <v>1799</v>
      </c>
      <c r="J196">
        <v>1757967</v>
      </c>
      <c r="K196" t="s">
        <v>1799</v>
      </c>
      <c r="L196" t="s">
        <v>1799</v>
      </c>
      <c r="M196" t="s">
        <v>1799</v>
      </c>
      <c r="N196" t="s">
        <v>1799</v>
      </c>
      <c r="O196" s="184" t="str">
        <f>"["&amp;$C196&amp;"]["&amp;$D196&amp;"]["&amp;$F196&amp;"]"</f>
        <v>[S05_AggregateTotalEmissionsByCRF][6][TotalProcessEmissionsTCo2e]</v>
      </c>
    </row>
    <row r="197" spans="1:15" x14ac:dyDescent="0.3">
      <c r="A197" t="s">
        <v>1793</v>
      </c>
      <c r="B197" t="s">
        <v>1923</v>
      </c>
      <c r="C197" t="s">
        <v>1926</v>
      </c>
      <c r="D197">
        <v>7</v>
      </c>
      <c r="E197" t="s">
        <v>1447</v>
      </c>
      <c r="F197" t="s">
        <v>1931</v>
      </c>
      <c r="G197" t="s">
        <v>1922</v>
      </c>
      <c r="H197" t="s">
        <v>1799</v>
      </c>
      <c r="I197" t="s">
        <v>1799</v>
      </c>
      <c r="J197">
        <v>9163</v>
      </c>
      <c r="K197" t="s">
        <v>1799</v>
      </c>
      <c r="L197" t="s">
        <v>1799</v>
      </c>
      <c r="M197" t="s">
        <v>1799</v>
      </c>
      <c r="N197" t="s">
        <v>1799</v>
      </c>
      <c r="O197" s="184" t="str">
        <f>"["&amp;$C197&amp;"]["&amp;$D197&amp;"]["&amp;$F197&amp;"]"</f>
        <v>[S05_AggregateTotalEmissionsByCRF][7][TotalProcessEmissionsTCo2e]</v>
      </c>
    </row>
    <row r="198" spans="1:15" x14ac:dyDescent="0.3">
      <c r="A198" t="s">
        <v>1793</v>
      </c>
      <c r="B198" t="s">
        <v>1923</v>
      </c>
      <c r="C198" t="s">
        <v>1926</v>
      </c>
      <c r="D198">
        <v>9</v>
      </c>
      <c r="E198" t="s">
        <v>1447</v>
      </c>
      <c r="F198" t="s">
        <v>1931</v>
      </c>
      <c r="G198" t="s">
        <v>1922</v>
      </c>
      <c r="H198" t="s">
        <v>1799</v>
      </c>
      <c r="I198" t="s">
        <v>1799</v>
      </c>
      <c r="J198">
        <v>931006</v>
      </c>
      <c r="K198" t="s">
        <v>1799</v>
      </c>
      <c r="L198" t="s">
        <v>1799</v>
      </c>
      <c r="M198" t="s">
        <v>1799</v>
      </c>
      <c r="N198" t="s">
        <v>1799</v>
      </c>
      <c r="O198" s="184" t="str">
        <f>"["&amp;$C198&amp;"]["&amp;$D198&amp;"]["&amp;$F198&amp;"]"</f>
        <v>[S05_AggregateTotalEmissionsByCRF][9][TotalProcessEmissionsTCo2e]</v>
      </c>
    </row>
    <row r="199" spans="1:15" x14ac:dyDescent="0.3">
      <c r="A199" t="s">
        <v>1793</v>
      </c>
      <c r="B199" t="s">
        <v>1924</v>
      </c>
      <c r="C199" t="s">
        <v>1932</v>
      </c>
      <c r="D199">
        <v>1</v>
      </c>
      <c r="E199" t="s">
        <v>1447</v>
      </c>
      <c r="F199" t="s">
        <v>1933</v>
      </c>
      <c r="G199" t="s">
        <v>1737</v>
      </c>
      <c r="H199" t="s">
        <v>1799</v>
      </c>
      <c r="I199" t="s">
        <v>1799</v>
      </c>
      <c r="J199" t="s">
        <v>1799</v>
      </c>
      <c r="K199" t="s">
        <v>1799</v>
      </c>
      <c r="L199" t="s">
        <v>1427</v>
      </c>
      <c r="M199" t="s">
        <v>1799</v>
      </c>
      <c r="N199" t="s">
        <v>1799</v>
      </c>
      <c r="O199" s="184" t="str">
        <f>"["&amp;$C199&amp;"]["&amp;$D199&amp;"]["&amp;$F199&amp;"]"</f>
        <v>[S05_DefaultValues][1][InstallationCategory]</v>
      </c>
    </row>
    <row r="200" spans="1:15" x14ac:dyDescent="0.3">
      <c r="A200" t="s">
        <v>1793</v>
      </c>
      <c r="B200" t="s">
        <v>1924</v>
      </c>
      <c r="C200" t="s">
        <v>1932</v>
      </c>
      <c r="D200">
        <v>2</v>
      </c>
      <c r="E200" t="s">
        <v>1447</v>
      </c>
      <c r="F200" t="s">
        <v>1933</v>
      </c>
      <c r="G200" t="s">
        <v>1737</v>
      </c>
      <c r="H200" t="s">
        <v>1799</v>
      </c>
      <c r="I200" t="s">
        <v>1799</v>
      </c>
      <c r="J200" t="s">
        <v>1799</v>
      </c>
      <c r="K200" t="s">
        <v>1799</v>
      </c>
      <c r="L200" t="s">
        <v>1455</v>
      </c>
      <c r="M200" t="s">
        <v>1799</v>
      </c>
      <c r="N200" t="s">
        <v>1799</v>
      </c>
      <c r="O200" s="184" t="str">
        <f>"["&amp;$C200&amp;"]["&amp;$D200&amp;"]["&amp;$F200&amp;"]"</f>
        <v>[S05_DefaultValues][2][InstallationCategory]</v>
      </c>
    </row>
    <row r="201" spans="1:15" x14ac:dyDescent="0.3">
      <c r="A201" t="s">
        <v>1793</v>
      </c>
      <c r="B201" t="s">
        <v>1924</v>
      </c>
      <c r="C201" t="s">
        <v>1932</v>
      </c>
      <c r="D201">
        <v>3</v>
      </c>
      <c r="E201" t="s">
        <v>1447</v>
      </c>
      <c r="F201" t="s">
        <v>1933</v>
      </c>
      <c r="G201" t="s">
        <v>1737</v>
      </c>
      <c r="H201" t="s">
        <v>1799</v>
      </c>
      <c r="I201" t="s">
        <v>1799</v>
      </c>
      <c r="J201" t="s">
        <v>1799</v>
      </c>
      <c r="K201" t="s">
        <v>1799</v>
      </c>
      <c r="L201" t="s">
        <v>1455</v>
      </c>
      <c r="M201" t="s">
        <v>1799</v>
      </c>
      <c r="N201" t="s">
        <v>1799</v>
      </c>
      <c r="O201" s="184" t="str">
        <f>"["&amp;$C201&amp;"]["&amp;$D201&amp;"]["&amp;$F201&amp;"]"</f>
        <v>[S05_DefaultValues][3][InstallationCategory]</v>
      </c>
    </row>
    <row r="202" spans="1:15" x14ac:dyDescent="0.3">
      <c r="A202" t="s">
        <v>1793</v>
      </c>
      <c r="B202" t="s">
        <v>1924</v>
      </c>
      <c r="C202" t="s">
        <v>1932</v>
      </c>
      <c r="D202">
        <v>4</v>
      </c>
      <c r="E202" t="s">
        <v>1447</v>
      </c>
      <c r="F202" t="s">
        <v>1933</v>
      </c>
      <c r="G202" t="s">
        <v>1737</v>
      </c>
      <c r="H202" t="s">
        <v>1799</v>
      </c>
      <c r="I202" t="s">
        <v>1799</v>
      </c>
      <c r="J202" t="s">
        <v>1799</v>
      </c>
      <c r="K202" t="s">
        <v>1799</v>
      </c>
      <c r="L202" t="s">
        <v>1455</v>
      </c>
      <c r="M202" t="s">
        <v>1799</v>
      </c>
      <c r="N202" t="s">
        <v>1799</v>
      </c>
      <c r="O202" s="184" t="str">
        <f>"["&amp;$C202&amp;"]["&amp;$D202&amp;"]["&amp;$F202&amp;"]"</f>
        <v>[S05_DefaultValues][4][InstallationCategory]</v>
      </c>
    </row>
    <row r="203" spans="1:15" x14ac:dyDescent="0.3">
      <c r="A203" t="s">
        <v>1793</v>
      </c>
      <c r="B203" t="s">
        <v>1924</v>
      </c>
      <c r="C203" t="s">
        <v>1932</v>
      </c>
      <c r="D203">
        <v>5</v>
      </c>
      <c r="E203" t="s">
        <v>1447</v>
      </c>
      <c r="F203" t="s">
        <v>1933</v>
      </c>
      <c r="G203" t="s">
        <v>1737</v>
      </c>
      <c r="H203" t="s">
        <v>1799</v>
      </c>
      <c r="I203" t="s">
        <v>1799</v>
      </c>
      <c r="J203" t="s">
        <v>1799</v>
      </c>
      <c r="K203" t="s">
        <v>1799</v>
      </c>
      <c r="L203" t="s">
        <v>1455</v>
      </c>
      <c r="M203" t="s">
        <v>1799</v>
      </c>
      <c r="N203" t="s">
        <v>1799</v>
      </c>
      <c r="O203" s="184" t="str">
        <f>"["&amp;$C203&amp;"]["&amp;$D203&amp;"]["&amp;$F203&amp;"]"</f>
        <v>[S05_DefaultValues][5][InstallationCategory]</v>
      </c>
    </row>
    <row r="204" spans="1:15" x14ac:dyDescent="0.3">
      <c r="A204" t="s">
        <v>1793</v>
      </c>
      <c r="B204" t="s">
        <v>1924</v>
      </c>
      <c r="C204" t="s">
        <v>1932</v>
      </c>
      <c r="D204">
        <v>6</v>
      </c>
      <c r="E204" t="s">
        <v>1447</v>
      </c>
      <c r="F204" t="s">
        <v>1933</v>
      </c>
      <c r="G204" t="s">
        <v>1737</v>
      </c>
      <c r="H204" t="s">
        <v>1799</v>
      </c>
      <c r="I204" t="s">
        <v>1799</v>
      </c>
      <c r="J204" t="s">
        <v>1799</v>
      </c>
      <c r="K204" t="s">
        <v>1799</v>
      </c>
      <c r="L204" t="s">
        <v>1455</v>
      </c>
      <c r="M204" t="s">
        <v>1799</v>
      </c>
      <c r="N204" t="s">
        <v>1799</v>
      </c>
      <c r="O204" s="184" t="str">
        <f>"["&amp;$C204&amp;"]["&amp;$D204&amp;"]["&amp;$F204&amp;"]"</f>
        <v>[S05_DefaultValues][6][InstallationCategory]</v>
      </c>
    </row>
    <row r="205" spans="1:15" x14ac:dyDescent="0.3">
      <c r="A205" t="s">
        <v>1793</v>
      </c>
      <c r="B205" t="s">
        <v>1924</v>
      </c>
      <c r="C205" t="s">
        <v>1932</v>
      </c>
      <c r="D205">
        <v>7</v>
      </c>
      <c r="E205" t="s">
        <v>1447</v>
      </c>
      <c r="F205" t="s">
        <v>1933</v>
      </c>
      <c r="G205" t="s">
        <v>1737</v>
      </c>
      <c r="H205" t="s">
        <v>1799</v>
      </c>
      <c r="I205" t="s">
        <v>1799</v>
      </c>
      <c r="J205" t="s">
        <v>1799</v>
      </c>
      <c r="K205" t="s">
        <v>1799</v>
      </c>
      <c r="L205" t="s">
        <v>1455</v>
      </c>
      <c r="M205" t="s">
        <v>1799</v>
      </c>
      <c r="N205" t="s">
        <v>1799</v>
      </c>
      <c r="O205" s="184" t="str">
        <f>"["&amp;$C205&amp;"]["&amp;$D205&amp;"]["&amp;$F205&amp;"]"</f>
        <v>[S05_DefaultValues][7][InstallationCategory]</v>
      </c>
    </row>
    <row r="206" spans="1:15" x14ac:dyDescent="0.3">
      <c r="A206" t="s">
        <v>1793</v>
      </c>
      <c r="B206" t="s">
        <v>1924</v>
      </c>
      <c r="C206" t="s">
        <v>1932</v>
      </c>
      <c r="D206">
        <v>8</v>
      </c>
      <c r="E206" t="s">
        <v>1447</v>
      </c>
      <c r="F206" t="s">
        <v>1933</v>
      </c>
      <c r="G206" t="s">
        <v>1737</v>
      </c>
      <c r="H206" t="s">
        <v>1799</v>
      </c>
      <c r="I206" t="s">
        <v>1799</v>
      </c>
      <c r="J206" t="s">
        <v>1799</v>
      </c>
      <c r="K206" t="s">
        <v>1799</v>
      </c>
      <c r="L206" t="s">
        <v>1455</v>
      </c>
      <c r="M206" t="s">
        <v>1799</v>
      </c>
      <c r="N206" t="s">
        <v>1799</v>
      </c>
      <c r="O206" s="184" t="str">
        <f>"["&amp;$C206&amp;"]["&amp;$D206&amp;"]["&amp;$F206&amp;"]"</f>
        <v>[S05_DefaultValues][8][InstallationCategory]</v>
      </c>
    </row>
    <row r="207" spans="1:15" x14ac:dyDescent="0.3">
      <c r="A207" t="s">
        <v>1793</v>
      </c>
      <c r="B207" t="s">
        <v>1924</v>
      </c>
      <c r="C207" t="s">
        <v>1932</v>
      </c>
      <c r="D207">
        <v>9</v>
      </c>
      <c r="E207" t="s">
        <v>1447</v>
      </c>
      <c r="F207" t="s">
        <v>1933</v>
      </c>
      <c r="G207" t="s">
        <v>1737</v>
      </c>
      <c r="H207" t="s">
        <v>1799</v>
      </c>
      <c r="I207" t="s">
        <v>1799</v>
      </c>
      <c r="J207" t="s">
        <v>1799</v>
      </c>
      <c r="K207" t="s">
        <v>1799</v>
      </c>
      <c r="L207" t="s">
        <v>1455</v>
      </c>
      <c r="M207" t="s">
        <v>1799</v>
      </c>
      <c r="N207" t="s">
        <v>1799</v>
      </c>
      <c r="O207" s="184" t="str">
        <f>"["&amp;$C207&amp;"]["&amp;$D207&amp;"]["&amp;$F207&amp;"]"</f>
        <v>[S05_DefaultValues][9][InstallationCategory]</v>
      </c>
    </row>
    <row r="208" spans="1:15" x14ac:dyDescent="0.3">
      <c r="A208" t="s">
        <v>1793</v>
      </c>
      <c r="B208" t="s">
        <v>1924</v>
      </c>
      <c r="C208" t="s">
        <v>1932</v>
      </c>
      <c r="D208">
        <v>10</v>
      </c>
      <c r="E208" t="s">
        <v>1447</v>
      </c>
      <c r="F208" t="s">
        <v>1933</v>
      </c>
      <c r="G208" t="s">
        <v>1737</v>
      </c>
      <c r="H208" t="s">
        <v>1799</v>
      </c>
      <c r="I208" t="s">
        <v>1799</v>
      </c>
      <c r="J208" t="s">
        <v>1799</v>
      </c>
      <c r="K208" t="s">
        <v>1799</v>
      </c>
      <c r="L208" t="s">
        <v>1455</v>
      </c>
      <c r="M208" t="s">
        <v>1799</v>
      </c>
      <c r="N208" t="s">
        <v>1799</v>
      </c>
      <c r="O208" s="184" t="str">
        <f>"["&amp;$C208&amp;"]["&amp;$D208&amp;"]["&amp;$F208&amp;"]"</f>
        <v>[S05_DefaultValues][10][InstallationCategory]</v>
      </c>
    </row>
    <row r="209" spans="1:15" x14ac:dyDescent="0.3">
      <c r="A209" t="s">
        <v>1793</v>
      </c>
      <c r="B209" t="s">
        <v>1924</v>
      </c>
      <c r="C209" t="s">
        <v>1932</v>
      </c>
      <c r="D209">
        <v>11</v>
      </c>
      <c r="E209" t="s">
        <v>1447</v>
      </c>
      <c r="F209" t="s">
        <v>1933</v>
      </c>
      <c r="G209" t="s">
        <v>1737</v>
      </c>
      <c r="H209" t="s">
        <v>1799</v>
      </c>
      <c r="I209" t="s">
        <v>1799</v>
      </c>
      <c r="J209" t="s">
        <v>1799</v>
      </c>
      <c r="K209" t="s">
        <v>1799</v>
      </c>
      <c r="L209" t="s">
        <v>1455</v>
      </c>
      <c r="M209" t="s">
        <v>1799</v>
      </c>
      <c r="N209" t="s">
        <v>1799</v>
      </c>
      <c r="O209" s="184" t="str">
        <f>"["&amp;$C209&amp;"]["&amp;$D209&amp;"]["&amp;$F209&amp;"]"</f>
        <v>[S05_DefaultValues][11][InstallationCategory]</v>
      </c>
    </row>
    <row r="210" spans="1:15" x14ac:dyDescent="0.3">
      <c r="A210" t="s">
        <v>1793</v>
      </c>
      <c r="B210" t="s">
        <v>1924</v>
      </c>
      <c r="C210" t="s">
        <v>1932</v>
      </c>
      <c r="D210">
        <v>12</v>
      </c>
      <c r="E210" t="s">
        <v>1447</v>
      </c>
      <c r="F210" t="s">
        <v>1933</v>
      </c>
      <c r="G210" t="s">
        <v>1737</v>
      </c>
      <c r="H210" t="s">
        <v>1799</v>
      </c>
      <c r="I210" t="s">
        <v>1799</v>
      </c>
      <c r="J210" t="s">
        <v>1799</v>
      </c>
      <c r="K210" t="s">
        <v>1799</v>
      </c>
      <c r="L210" t="s">
        <v>1455</v>
      </c>
      <c r="M210" t="s">
        <v>1799</v>
      </c>
      <c r="N210" t="s">
        <v>1799</v>
      </c>
      <c r="O210" s="184" t="str">
        <f>"["&amp;$C210&amp;"]["&amp;$D210&amp;"]["&amp;$F210&amp;"]"</f>
        <v>[S05_DefaultValues][12][InstallationCategory]</v>
      </c>
    </row>
    <row r="211" spans="1:15" x14ac:dyDescent="0.3">
      <c r="A211" t="s">
        <v>1793</v>
      </c>
      <c r="B211" t="s">
        <v>1924</v>
      </c>
      <c r="C211" t="s">
        <v>1932</v>
      </c>
      <c r="D211">
        <v>13</v>
      </c>
      <c r="E211" t="s">
        <v>1447</v>
      </c>
      <c r="F211" t="s">
        <v>1933</v>
      </c>
      <c r="G211" t="s">
        <v>1737</v>
      </c>
      <c r="H211" t="s">
        <v>1799</v>
      </c>
      <c r="I211" t="s">
        <v>1799</v>
      </c>
      <c r="J211" t="s">
        <v>1799</v>
      </c>
      <c r="K211" t="s">
        <v>1799</v>
      </c>
      <c r="L211" t="s">
        <v>1455</v>
      </c>
      <c r="M211" t="s">
        <v>1799</v>
      </c>
      <c r="N211" t="s">
        <v>1799</v>
      </c>
      <c r="O211" s="184" t="str">
        <f>"["&amp;$C211&amp;"]["&amp;$D211&amp;"]["&amp;$F211&amp;"]"</f>
        <v>[S05_DefaultValues][13][InstallationCategory]</v>
      </c>
    </row>
    <row r="212" spans="1:15" x14ac:dyDescent="0.3">
      <c r="A212" t="s">
        <v>1793</v>
      </c>
      <c r="B212" t="s">
        <v>1924</v>
      </c>
      <c r="C212" t="s">
        <v>1932</v>
      </c>
      <c r="D212">
        <v>14</v>
      </c>
      <c r="E212" t="s">
        <v>1447</v>
      </c>
      <c r="F212" t="s">
        <v>1933</v>
      </c>
      <c r="G212" t="s">
        <v>1737</v>
      </c>
      <c r="H212" t="s">
        <v>1799</v>
      </c>
      <c r="I212" t="s">
        <v>1799</v>
      </c>
      <c r="J212" t="s">
        <v>1799</v>
      </c>
      <c r="K212" t="s">
        <v>1799</v>
      </c>
      <c r="L212" t="s">
        <v>1455</v>
      </c>
      <c r="M212" t="s">
        <v>1799</v>
      </c>
      <c r="N212" t="s">
        <v>1799</v>
      </c>
      <c r="O212" s="184" t="str">
        <f>"["&amp;$C212&amp;"]["&amp;$D212&amp;"]["&amp;$F212&amp;"]"</f>
        <v>[S05_DefaultValues][14][InstallationCategory]</v>
      </c>
    </row>
    <row r="213" spans="1:15" x14ac:dyDescent="0.3">
      <c r="A213" t="s">
        <v>1793</v>
      </c>
      <c r="B213" t="s">
        <v>1924</v>
      </c>
      <c r="C213" t="s">
        <v>1932</v>
      </c>
      <c r="D213">
        <v>15</v>
      </c>
      <c r="E213" t="s">
        <v>1447</v>
      </c>
      <c r="F213" t="s">
        <v>1933</v>
      </c>
      <c r="G213" t="s">
        <v>1737</v>
      </c>
      <c r="H213" t="s">
        <v>1799</v>
      </c>
      <c r="I213" t="s">
        <v>1799</v>
      </c>
      <c r="J213" t="s">
        <v>1799</v>
      </c>
      <c r="K213" t="s">
        <v>1799</v>
      </c>
      <c r="L213" t="s">
        <v>1455</v>
      </c>
      <c r="M213" t="s">
        <v>1799</v>
      </c>
      <c r="N213" t="s">
        <v>1799</v>
      </c>
      <c r="O213" s="184" t="str">
        <f>"["&amp;$C213&amp;"]["&amp;$D213&amp;"]["&amp;$F213&amp;"]"</f>
        <v>[S05_DefaultValues][15][InstallationCategory]</v>
      </c>
    </row>
    <row r="214" spans="1:15" x14ac:dyDescent="0.3">
      <c r="A214" t="s">
        <v>1793</v>
      </c>
      <c r="B214" t="s">
        <v>1924</v>
      </c>
      <c r="C214" t="s">
        <v>1932</v>
      </c>
      <c r="D214">
        <v>16</v>
      </c>
      <c r="E214" t="s">
        <v>1447</v>
      </c>
      <c r="F214" t="s">
        <v>1933</v>
      </c>
      <c r="G214" t="s">
        <v>1737</v>
      </c>
      <c r="H214" t="s">
        <v>1799</v>
      </c>
      <c r="I214" t="s">
        <v>1799</v>
      </c>
      <c r="J214" t="s">
        <v>1799</v>
      </c>
      <c r="K214" t="s">
        <v>1799</v>
      </c>
      <c r="L214" t="s">
        <v>1455</v>
      </c>
      <c r="M214" t="s">
        <v>1799</v>
      </c>
      <c r="N214" t="s">
        <v>1799</v>
      </c>
      <c r="O214" s="184" t="str">
        <f>"["&amp;$C214&amp;"]["&amp;$D214&amp;"]["&amp;$F214&amp;"]"</f>
        <v>[S05_DefaultValues][16][InstallationCategory]</v>
      </c>
    </row>
    <row r="215" spans="1:15" x14ac:dyDescent="0.3">
      <c r="A215" t="s">
        <v>1793</v>
      </c>
      <c r="B215" t="s">
        <v>1924</v>
      </c>
      <c r="C215" t="s">
        <v>1932</v>
      </c>
      <c r="D215">
        <v>17</v>
      </c>
      <c r="E215" t="s">
        <v>1447</v>
      </c>
      <c r="F215" t="s">
        <v>1933</v>
      </c>
      <c r="G215" t="s">
        <v>1737</v>
      </c>
      <c r="H215" t="s">
        <v>1799</v>
      </c>
      <c r="I215" t="s">
        <v>1799</v>
      </c>
      <c r="J215" t="s">
        <v>1799</v>
      </c>
      <c r="K215" t="s">
        <v>1799</v>
      </c>
      <c r="L215" t="s">
        <v>1455</v>
      </c>
      <c r="M215" t="s">
        <v>1799</v>
      </c>
      <c r="N215" t="s">
        <v>1799</v>
      </c>
      <c r="O215" s="184" t="str">
        <f>"["&amp;$C215&amp;"]["&amp;$D215&amp;"]["&amp;$F215&amp;"]"</f>
        <v>[S05_DefaultValues][17][InstallationCategory]</v>
      </c>
    </row>
    <row r="216" spans="1:15" x14ac:dyDescent="0.3">
      <c r="A216" t="s">
        <v>1793</v>
      </c>
      <c r="B216" t="s">
        <v>1924</v>
      </c>
      <c r="C216" t="s">
        <v>1932</v>
      </c>
      <c r="D216">
        <v>18</v>
      </c>
      <c r="E216" t="s">
        <v>1447</v>
      </c>
      <c r="F216" t="s">
        <v>1933</v>
      </c>
      <c r="G216" t="s">
        <v>1737</v>
      </c>
      <c r="H216" t="s">
        <v>1799</v>
      </c>
      <c r="I216" t="s">
        <v>1799</v>
      </c>
      <c r="J216" t="s">
        <v>1799</v>
      </c>
      <c r="K216" t="s">
        <v>1799</v>
      </c>
      <c r="L216" t="s">
        <v>1455</v>
      </c>
      <c r="M216" t="s">
        <v>1799</v>
      </c>
      <c r="N216" t="s">
        <v>1799</v>
      </c>
      <c r="O216" s="184" t="str">
        <f>"["&amp;$C216&amp;"]["&amp;$D216&amp;"]["&amp;$F216&amp;"]"</f>
        <v>[S05_DefaultValues][18][InstallationCategory]</v>
      </c>
    </row>
    <row r="217" spans="1:15" x14ac:dyDescent="0.3">
      <c r="A217" t="s">
        <v>1793</v>
      </c>
      <c r="B217" t="s">
        <v>1924</v>
      </c>
      <c r="C217" t="s">
        <v>1932</v>
      </c>
      <c r="D217">
        <v>19</v>
      </c>
      <c r="E217" t="s">
        <v>1447</v>
      </c>
      <c r="F217" t="s">
        <v>1933</v>
      </c>
      <c r="G217" t="s">
        <v>1737</v>
      </c>
      <c r="H217" t="s">
        <v>1799</v>
      </c>
      <c r="I217" t="s">
        <v>1799</v>
      </c>
      <c r="J217" t="s">
        <v>1799</v>
      </c>
      <c r="K217" t="s">
        <v>1799</v>
      </c>
      <c r="L217" t="s">
        <v>1455</v>
      </c>
      <c r="M217" t="s">
        <v>1799</v>
      </c>
      <c r="N217" t="s">
        <v>1799</v>
      </c>
      <c r="O217" s="184" t="str">
        <f>"["&amp;$C217&amp;"]["&amp;$D217&amp;"]["&amp;$F217&amp;"]"</f>
        <v>[S05_DefaultValues][19][InstallationCategory]</v>
      </c>
    </row>
    <row r="218" spans="1:15" x14ac:dyDescent="0.3">
      <c r="A218" t="s">
        <v>1793</v>
      </c>
      <c r="B218" t="s">
        <v>1924</v>
      </c>
      <c r="C218" t="s">
        <v>1932</v>
      </c>
      <c r="D218">
        <v>20</v>
      </c>
      <c r="E218" t="s">
        <v>1447</v>
      </c>
      <c r="F218" t="s">
        <v>1933</v>
      </c>
      <c r="G218" t="s">
        <v>1737</v>
      </c>
      <c r="H218" t="s">
        <v>1799</v>
      </c>
      <c r="I218" t="s">
        <v>1799</v>
      </c>
      <c r="J218" t="s">
        <v>1799</v>
      </c>
      <c r="K218" t="s">
        <v>1799</v>
      </c>
      <c r="L218" t="s">
        <v>1455</v>
      </c>
      <c r="M218" t="s">
        <v>1799</v>
      </c>
      <c r="N218" t="s">
        <v>1799</v>
      </c>
      <c r="O218" s="184" t="str">
        <f>"["&amp;$C218&amp;"]["&amp;$D218&amp;"]["&amp;$F218&amp;"]"</f>
        <v>[S05_DefaultValues][20][InstallationCategory]</v>
      </c>
    </row>
    <row r="219" spans="1:15" x14ac:dyDescent="0.3">
      <c r="A219" t="s">
        <v>1793</v>
      </c>
      <c r="B219" t="s">
        <v>1924</v>
      </c>
      <c r="C219" t="s">
        <v>1932</v>
      </c>
      <c r="D219">
        <v>21</v>
      </c>
      <c r="E219" t="s">
        <v>1447</v>
      </c>
      <c r="F219" t="s">
        <v>1933</v>
      </c>
      <c r="G219" t="s">
        <v>1737</v>
      </c>
      <c r="H219" t="s">
        <v>1799</v>
      </c>
      <c r="I219" t="s">
        <v>1799</v>
      </c>
      <c r="J219" t="s">
        <v>1799</v>
      </c>
      <c r="K219" t="s">
        <v>1799</v>
      </c>
      <c r="L219" t="s">
        <v>1455</v>
      </c>
      <c r="M219" t="s">
        <v>1799</v>
      </c>
      <c r="N219" t="s">
        <v>1799</v>
      </c>
      <c r="O219" s="184" t="str">
        <f>"["&amp;$C219&amp;"]["&amp;$D219&amp;"]["&amp;$F219&amp;"]"</f>
        <v>[S05_DefaultValues][21][InstallationCategory]</v>
      </c>
    </row>
    <row r="220" spans="1:15" x14ac:dyDescent="0.3">
      <c r="A220" t="s">
        <v>1793</v>
      </c>
      <c r="B220" t="s">
        <v>1924</v>
      </c>
      <c r="C220" t="s">
        <v>1932</v>
      </c>
      <c r="D220">
        <v>22</v>
      </c>
      <c r="E220" t="s">
        <v>1447</v>
      </c>
      <c r="F220" t="s">
        <v>1933</v>
      </c>
      <c r="G220" t="s">
        <v>1737</v>
      </c>
      <c r="H220" t="s">
        <v>1799</v>
      </c>
      <c r="I220" t="s">
        <v>1799</v>
      </c>
      <c r="J220" t="s">
        <v>1799</v>
      </c>
      <c r="K220" t="s">
        <v>1799</v>
      </c>
      <c r="L220" t="s">
        <v>1455</v>
      </c>
      <c r="M220" t="s">
        <v>1799</v>
      </c>
      <c r="N220" t="s">
        <v>1799</v>
      </c>
      <c r="O220" s="184" t="str">
        <f>"["&amp;$C220&amp;"]["&amp;$D220&amp;"]["&amp;$F220&amp;"]"</f>
        <v>[S05_DefaultValues][22][InstallationCategory]</v>
      </c>
    </row>
    <row r="221" spans="1:15" x14ac:dyDescent="0.3">
      <c r="A221" t="s">
        <v>1793</v>
      </c>
      <c r="B221" t="s">
        <v>1924</v>
      </c>
      <c r="C221" t="s">
        <v>1932</v>
      </c>
      <c r="D221">
        <v>23</v>
      </c>
      <c r="E221" t="s">
        <v>1447</v>
      </c>
      <c r="F221" t="s">
        <v>1933</v>
      </c>
      <c r="G221" t="s">
        <v>1737</v>
      </c>
      <c r="H221" t="s">
        <v>1799</v>
      </c>
      <c r="I221" t="s">
        <v>1799</v>
      </c>
      <c r="J221" t="s">
        <v>1799</v>
      </c>
      <c r="K221" t="s">
        <v>1799</v>
      </c>
      <c r="L221" t="s">
        <v>1455</v>
      </c>
      <c r="M221" t="s">
        <v>1799</v>
      </c>
      <c r="N221" t="s">
        <v>1799</v>
      </c>
      <c r="O221" s="184" t="str">
        <f>"["&amp;$C221&amp;"]["&amp;$D221&amp;"]["&amp;$F221&amp;"]"</f>
        <v>[S05_DefaultValues][23][InstallationCategory]</v>
      </c>
    </row>
    <row r="222" spans="1:15" x14ac:dyDescent="0.3">
      <c r="A222" t="s">
        <v>1793</v>
      </c>
      <c r="B222" t="s">
        <v>1924</v>
      </c>
      <c r="C222" t="s">
        <v>1932</v>
      </c>
      <c r="D222">
        <v>24</v>
      </c>
      <c r="E222" t="s">
        <v>1447</v>
      </c>
      <c r="F222" t="s">
        <v>1933</v>
      </c>
      <c r="G222" t="s">
        <v>1737</v>
      </c>
      <c r="H222" t="s">
        <v>1799</v>
      </c>
      <c r="I222" t="s">
        <v>1799</v>
      </c>
      <c r="J222" t="s">
        <v>1799</v>
      </c>
      <c r="K222" t="s">
        <v>1799</v>
      </c>
      <c r="L222" t="s">
        <v>1455</v>
      </c>
      <c r="M222" t="s">
        <v>1799</v>
      </c>
      <c r="N222" t="s">
        <v>1799</v>
      </c>
      <c r="O222" s="184" t="str">
        <f>"["&amp;$C222&amp;"]["&amp;$D222&amp;"]["&amp;$F222&amp;"]"</f>
        <v>[S05_DefaultValues][24][InstallationCategory]</v>
      </c>
    </row>
    <row r="223" spans="1:15" x14ac:dyDescent="0.3">
      <c r="A223" t="s">
        <v>1793</v>
      </c>
      <c r="B223" t="s">
        <v>1924</v>
      </c>
      <c r="C223" t="s">
        <v>1932</v>
      </c>
      <c r="D223">
        <v>25</v>
      </c>
      <c r="E223" t="s">
        <v>1447</v>
      </c>
      <c r="F223" t="s">
        <v>1933</v>
      </c>
      <c r="G223" t="s">
        <v>1737</v>
      </c>
      <c r="H223" t="s">
        <v>1799</v>
      </c>
      <c r="I223" t="s">
        <v>1799</v>
      </c>
      <c r="J223" t="s">
        <v>1799</v>
      </c>
      <c r="K223" t="s">
        <v>1799</v>
      </c>
      <c r="L223" t="s">
        <v>1455</v>
      </c>
      <c r="M223" t="s">
        <v>1799</v>
      </c>
      <c r="N223" t="s">
        <v>1799</v>
      </c>
      <c r="O223" s="184" t="str">
        <f>"["&amp;$C223&amp;"]["&amp;$D223&amp;"]["&amp;$F223&amp;"]"</f>
        <v>[S05_DefaultValues][25][InstallationCategory]</v>
      </c>
    </row>
    <row r="224" spans="1:15" x14ac:dyDescent="0.3">
      <c r="A224" t="s">
        <v>1793</v>
      </c>
      <c r="B224" t="s">
        <v>1924</v>
      </c>
      <c r="C224" t="s">
        <v>1932</v>
      </c>
      <c r="D224">
        <v>26</v>
      </c>
      <c r="E224" t="s">
        <v>1447</v>
      </c>
      <c r="F224" t="s">
        <v>1933</v>
      </c>
      <c r="G224" t="s">
        <v>1737</v>
      </c>
      <c r="H224" t="s">
        <v>1799</v>
      </c>
      <c r="I224" t="s">
        <v>1799</v>
      </c>
      <c r="J224" t="s">
        <v>1799</v>
      </c>
      <c r="K224" t="s">
        <v>1799</v>
      </c>
      <c r="L224" t="s">
        <v>1455</v>
      </c>
      <c r="M224" t="s">
        <v>1799</v>
      </c>
      <c r="N224" t="s">
        <v>1799</v>
      </c>
      <c r="O224" s="184" t="str">
        <f>"["&amp;$C224&amp;"]["&amp;$D224&amp;"]["&amp;$F224&amp;"]"</f>
        <v>[S05_DefaultValues][26][InstallationCategory]</v>
      </c>
    </row>
    <row r="225" spans="1:15" x14ac:dyDescent="0.3">
      <c r="A225" t="s">
        <v>1793</v>
      </c>
      <c r="B225" t="s">
        <v>1924</v>
      </c>
      <c r="C225" t="s">
        <v>1932</v>
      </c>
      <c r="D225">
        <v>27</v>
      </c>
      <c r="E225" t="s">
        <v>1447</v>
      </c>
      <c r="F225" t="s">
        <v>1933</v>
      </c>
      <c r="G225" t="s">
        <v>1737</v>
      </c>
      <c r="H225" t="s">
        <v>1799</v>
      </c>
      <c r="I225" t="s">
        <v>1799</v>
      </c>
      <c r="J225" t="s">
        <v>1799</v>
      </c>
      <c r="K225" t="s">
        <v>1799</v>
      </c>
      <c r="L225" t="s">
        <v>1455</v>
      </c>
      <c r="M225" t="s">
        <v>1799</v>
      </c>
      <c r="N225" t="s">
        <v>1799</v>
      </c>
      <c r="O225" s="184" t="str">
        <f>"["&amp;$C225&amp;"]["&amp;$D225&amp;"]["&amp;$F225&amp;"]"</f>
        <v>[S05_DefaultValues][27][InstallationCategory]</v>
      </c>
    </row>
    <row r="226" spans="1:15" x14ac:dyDescent="0.3">
      <c r="A226" t="s">
        <v>1793</v>
      </c>
      <c r="B226" t="s">
        <v>1924</v>
      </c>
      <c r="C226" t="s">
        <v>1932</v>
      </c>
      <c r="D226">
        <v>28</v>
      </c>
      <c r="E226" t="s">
        <v>1447</v>
      </c>
      <c r="F226" t="s">
        <v>1933</v>
      </c>
      <c r="G226" t="s">
        <v>1737</v>
      </c>
      <c r="H226" t="s">
        <v>1799</v>
      </c>
      <c r="I226" t="s">
        <v>1799</v>
      </c>
      <c r="J226" t="s">
        <v>1799</v>
      </c>
      <c r="K226" t="s">
        <v>1799</v>
      </c>
      <c r="L226" t="s">
        <v>1455</v>
      </c>
      <c r="M226" t="s">
        <v>1799</v>
      </c>
      <c r="N226" t="s">
        <v>1799</v>
      </c>
      <c r="O226" s="184" t="str">
        <f>"["&amp;$C226&amp;"]["&amp;$D226&amp;"]["&amp;$F226&amp;"]"</f>
        <v>[S05_DefaultValues][28][InstallationCategory]</v>
      </c>
    </row>
    <row r="227" spans="1:15" x14ac:dyDescent="0.3">
      <c r="A227" t="s">
        <v>1793</v>
      </c>
      <c r="B227" t="s">
        <v>1924</v>
      </c>
      <c r="C227" t="s">
        <v>1932</v>
      </c>
      <c r="D227">
        <v>29</v>
      </c>
      <c r="E227" t="s">
        <v>1447</v>
      </c>
      <c r="F227" t="s">
        <v>1933</v>
      </c>
      <c r="G227" t="s">
        <v>1737</v>
      </c>
      <c r="H227" t="s">
        <v>1799</v>
      </c>
      <c r="I227" t="s">
        <v>1799</v>
      </c>
      <c r="J227" t="s">
        <v>1799</v>
      </c>
      <c r="K227" t="s">
        <v>1799</v>
      </c>
      <c r="L227" t="s">
        <v>1455</v>
      </c>
      <c r="M227" t="s">
        <v>1799</v>
      </c>
      <c r="N227" t="s">
        <v>1799</v>
      </c>
      <c r="O227" s="184" t="str">
        <f>"["&amp;$C227&amp;"]["&amp;$D227&amp;"]["&amp;$F227&amp;"]"</f>
        <v>[S05_DefaultValues][29][InstallationCategory]</v>
      </c>
    </row>
    <row r="228" spans="1:15" x14ac:dyDescent="0.3">
      <c r="A228" t="s">
        <v>1793</v>
      </c>
      <c r="B228" t="s">
        <v>1924</v>
      </c>
      <c r="C228" t="s">
        <v>1932</v>
      </c>
      <c r="D228">
        <v>30</v>
      </c>
      <c r="E228" t="s">
        <v>1447</v>
      </c>
      <c r="F228" t="s">
        <v>1933</v>
      </c>
      <c r="G228" t="s">
        <v>1737</v>
      </c>
      <c r="H228" t="s">
        <v>1799</v>
      </c>
      <c r="I228" t="s">
        <v>1799</v>
      </c>
      <c r="J228" t="s">
        <v>1799</v>
      </c>
      <c r="K228" t="s">
        <v>1799</v>
      </c>
      <c r="L228" t="s">
        <v>1455</v>
      </c>
      <c r="M228" t="s">
        <v>1799</v>
      </c>
      <c r="N228" t="s">
        <v>1799</v>
      </c>
      <c r="O228" s="184" t="str">
        <f>"["&amp;$C228&amp;"]["&amp;$D228&amp;"]["&amp;$F228&amp;"]"</f>
        <v>[S05_DefaultValues][30][InstallationCategory]</v>
      </c>
    </row>
    <row r="229" spans="1:15" x14ac:dyDescent="0.3">
      <c r="A229" t="s">
        <v>1793</v>
      </c>
      <c r="B229" t="s">
        <v>1924</v>
      </c>
      <c r="C229" t="s">
        <v>1932</v>
      </c>
      <c r="D229">
        <v>31</v>
      </c>
      <c r="E229" t="s">
        <v>1447</v>
      </c>
      <c r="F229" t="s">
        <v>1933</v>
      </c>
      <c r="G229" t="s">
        <v>1737</v>
      </c>
      <c r="H229" t="s">
        <v>1799</v>
      </c>
      <c r="I229" t="s">
        <v>1799</v>
      </c>
      <c r="J229" t="s">
        <v>1799</v>
      </c>
      <c r="K229" t="s">
        <v>1799</v>
      </c>
      <c r="L229" t="s">
        <v>1455</v>
      </c>
      <c r="M229" t="s">
        <v>1799</v>
      </c>
      <c r="N229" t="s">
        <v>1799</v>
      </c>
      <c r="O229" s="184" t="str">
        <f>"["&amp;$C229&amp;"]["&amp;$D229&amp;"]["&amp;$F229&amp;"]"</f>
        <v>[S05_DefaultValues][31][InstallationCategory]</v>
      </c>
    </row>
    <row r="230" spans="1:15" x14ac:dyDescent="0.3">
      <c r="A230" t="s">
        <v>1793</v>
      </c>
      <c r="B230" t="s">
        <v>1924</v>
      </c>
      <c r="C230" t="s">
        <v>1932</v>
      </c>
      <c r="D230">
        <v>32</v>
      </c>
      <c r="E230" t="s">
        <v>1447</v>
      </c>
      <c r="F230" t="s">
        <v>1933</v>
      </c>
      <c r="G230" t="s">
        <v>1737</v>
      </c>
      <c r="H230" t="s">
        <v>1799</v>
      </c>
      <c r="I230" t="s">
        <v>1799</v>
      </c>
      <c r="J230" t="s">
        <v>1799</v>
      </c>
      <c r="K230" t="s">
        <v>1799</v>
      </c>
      <c r="L230" t="s">
        <v>1455</v>
      </c>
      <c r="M230" t="s">
        <v>1799</v>
      </c>
      <c r="N230" t="s">
        <v>1799</v>
      </c>
      <c r="O230" s="184" t="str">
        <f>"["&amp;$C230&amp;"]["&amp;$D230&amp;"]["&amp;$F230&amp;"]"</f>
        <v>[S05_DefaultValues][32][InstallationCategory]</v>
      </c>
    </row>
    <row r="231" spans="1:15" x14ac:dyDescent="0.3">
      <c r="A231" t="s">
        <v>1793</v>
      </c>
      <c r="B231" t="s">
        <v>1924</v>
      </c>
      <c r="C231" t="s">
        <v>1932</v>
      </c>
      <c r="D231">
        <v>33</v>
      </c>
      <c r="E231" t="s">
        <v>1447</v>
      </c>
      <c r="F231" t="s">
        <v>1933</v>
      </c>
      <c r="G231" t="s">
        <v>1737</v>
      </c>
      <c r="H231" t="s">
        <v>1799</v>
      </c>
      <c r="I231" t="s">
        <v>1799</v>
      </c>
      <c r="J231" t="s">
        <v>1799</v>
      </c>
      <c r="K231" t="s">
        <v>1799</v>
      </c>
      <c r="L231" t="s">
        <v>1455</v>
      </c>
      <c r="M231" t="s">
        <v>1799</v>
      </c>
      <c r="N231" t="s">
        <v>1799</v>
      </c>
      <c r="O231" s="184" t="str">
        <f>"["&amp;$C231&amp;"]["&amp;$D231&amp;"]["&amp;$F231&amp;"]"</f>
        <v>[S05_DefaultValues][33][InstallationCategory]</v>
      </c>
    </row>
    <row r="232" spans="1:15" x14ac:dyDescent="0.3">
      <c r="A232" t="s">
        <v>1793</v>
      </c>
      <c r="B232" t="s">
        <v>1924</v>
      </c>
      <c r="C232" t="s">
        <v>1932</v>
      </c>
      <c r="D232">
        <v>34</v>
      </c>
      <c r="E232" t="s">
        <v>1447</v>
      </c>
      <c r="F232" t="s">
        <v>1933</v>
      </c>
      <c r="G232" t="s">
        <v>1737</v>
      </c>
      <c r="H232" t="s">
        <v>1799</v>
      </c>
      <c r="I232" t="s">
        <v>1799</v>
      </c>
      <c r="J232" t="s">
        <v>1799</v>
      </c>
      <c r="K232" t="s">
        <v>1799</v>
      </c>
      <c r="L232" t="s">
        <v>1455</v>
      </c>
      <c r="M232" t="s">
        <v>1799</v>
      </c>
      <c r="N232" t="s">
        <v>1799</v>
      </c>
      <c r="O232" s="184" t="str">
        <f>"["&amp;$C232&amp;"]["&amp;$D232&amp;"]["&amp;$F232&amp;"]"</f>
        <v>[S05_DefaultValues][34][InstallationCategory]</v>
      </c>
    </row>
    <row r="233" spans="1:15" x14ac:dyDescent="0.3">
      <c r="A233" t="s">
        <v>1793</v>
      </c>
      <c r="B233" t="s">
        <v>1924</v>
      </c>
      <c r="C233" t="s">
        <v>1932</v>
      </c>
      <c r="D233">
        <v>35</v>
      </c>
      <c r="E233" t="s">
        <v>1447</v>
      </c>
      <c r="F233" t="s">
        <v>1933</v>
      </c>
      <c r="G233" t="s">
        <v>1737</v>
      </c>
      <c r="H233" t="s">
        <v>1799</v>
      </c>
      <c r="I233" t="s">
        <v>1799</v>
      </c>
      <c r="J233" t="s">
        <v>1799</v>
      </c>
      <c r="K233" t="s">
        <v>1799</v>
      </c>
      <c r="L233" t="s">
        <v>1455</v>
      </c>
      <c r="M233" t="s">
        <v>1799</v>
      </c>
      <c r="N233" t="s">
        <v>1799</v>
      </c>
      <c r="O233" s="184" t="str">
        <f>"["&amp;$C233&amp;"]["&amp;$D233&amp;"]["&amp;$F233&amp;"]"</f>
        <v>[S05_DefaultValues][35][InstallationCategory]</v>
      </c>
    </row>
    <row r="234" spans="1:15" x14ac:dyDescent="0.3">
      <c r="A234" t="s">
        <v>1793</v>
      </c>
      <c r="B234" t="s">
        <v>1924</v>
      </c>
      <c r="C234" t="s">
        <v>1932</v>
      </c>
      <c r="D234">
        <v>36</v>
      </c>
      <c r="E234" t="s">
        <v>1447</v>
      </c>
      <c r="F234" t="s">
        <v>1933</v>
      </c>
      <c r="G234" t="s">
        <v>1737</v>
      </c>
      <c r="H234" t="s">
        <v>1799</v>
      </c>
      <c r="I234" t="s">
        <v>1799</v>
      </c>
      <c r="J234" t="s">
        <v>1799</v>
      </c>
      <c r="K234" t="s">
        <v>1799</v>
      </c>
      <c r="L234" t="s">
        <v>1455</v>
      </c>
      <c r="M234" t="s">
        <v>1799</v>
      </c>
      <c r="N234" t="s">
        <v>1799</v>
      </c>
      <c r="O234" s="184" t="str">
        <f>"["&amp;$C234&amp;"]["&amp;$D234&amp;"]["&amp;$F234&amp;"]"</f>
        <v>[S05_DefaultValues][36][InstallationCategory]</v>
      </c>
    </row>
    <row r="235" spans="1:15" x14ac:dyDescent="0.3">
      <c r="A235" t="s">
        <v>1793</v>
      </c>
      <c r="B235" t="s">
        <v>1924</v>
      </c>
      <c r="C235" t="s">
        <v>1932</v>
      </c>
      <c r="D235">
        <v>37</v>
      </c>
      <c r="E235" t="s">
        <v>1447</v>
      </c>
      <c r="F235" t="s">
        <v>1933</v>
      </c>
      <c r="G235" t="s">
        <v>1737</v>
      </c>
      <c r="H235" t="s">
        <v>1799</v>
      </c>
      <c r="I235" t="s">
        <v>1799</v>
      </c>
      <c r="J235" t="s">
        <v>1799</v>
      </c>
      <c r="K235" t="s">
        <v>1799</v>
      </c>
      <c r="L235" t="s">
        <v>1455</v>
      </c>
      <c r="M235" t="s">
        <v>1799</v>
      </c>
      <c r="N235" t="s">
        <v>1799</v>
      </c>
      <c r="O235" s="184" t="str">
        <f>"["&amp;$C235&amp;"]["&amp;$D235&amp;"]["&amp;$F235&amp;"]"</f>
        <v>[S05_DefaultValues][37][InstallationCategory]</v>
      </c>
    </row>
    <row r="236" spans="1:15" x14ac:dyDescent="0.3">
      <c r="A236" t="s">
        <v>1793</v>
      </c>
      <c r="B236" t="s">
        <v>1924</v>
      </c>
      <c r="C236" t="s">
        <v>1932</v>
      </c>
      <c r="D236">
        <v>38</v>
      </c>
      <c r="E236" t="s">
        <v>1447</v>
      </c>
      <c r="F236" t="s">
        <v>1933</v>
      </c>
      <c r="G236" t="s">
        <v>1737</v>
      </c>
      <c r="H236" t="s">
        <v>1799</v>
      </c>
      <c r="I236" t="s">
        <v>1799</v>
      </c>
      <c r="J236" t="s">
        <v>1799</v>
      </c>
      <c r="K236" t="s">
        <v>1799</v>
      </c>
      <c r="L236" t="s">
        <v>1455</v>
      </c>
      <c r="M236" t="s">
        <v>1799</v>
      </c>
      <c r="N236" t="s">
        <v>1799</v>
      </c>
      <c r="O236" s="184" t="str">
        <f>"["&amp;$C236&amp;"]["&amp;$D236&amp;"]["&amp;$F236&amp;"]"</f>
        <v>[S05_DefaultValues][38][InstallationCategory]</v>
      </c>
    </row>
    <row r="237" spans="1:15" x14ac:dyDescent="0.3">
      <c r="A237" t="s">
        <v>1793</v>
      </c>
      <c r="B237" t="s">
        <v>1924</v>
      </c>
      <c r="C237" t="s">
        <v>1932</v>
      </c>
      <c r="D237">
        <v>39</v>
      </c>
      <c r="E237" t="s">
        <v>1447</v>
      </c>
      <c r="F237" t="s">
        <v>1933</v>
      </c>
      <c r="G237" t="s">
        <v>1737</v>
      </c>
      <c r="H237" t="s">
        <v>1799</v>
      </c>
      <c r="I237" t="s">
        <v>1799</v>
      </c>
      <c r="J237" t="s">
        <v>1799</v>
      </c>
      <c r="K237" t="s">
        <v>1799</v>
      </c>
      <c r="L237" t="s">
        <v>1455</v>
      </c>
      <c r="M237" t="s">
        <v>1799</v>
      </c>
      <c r="N237" t="s">
        <v>1799</v>
      </c>
      <c r="O237" s="184" t="str">
        <f>"["&amp;$C237&amp;"]["&amp;$D237&amp;"]["&amp;$F237&amp;"]"</f>
        <v>[S05_DefaultValues][39][InstallationCategory]</v>
      </c>
    </row>
    <row r="238" spans="1:15" x14ac:dyDescent="0.3">
      <c r="A238" t="s">
        <v>1793</v>
      </c>
      <c r="B238" t="s">
        <v>1924</v>
      </c>
      <c r="C238" t="s">
        <v>1932</v>
      </c>
      <c r="D238">
        <v>40</v>
      </c>
      <c r="E238" t="s">
        <v>1447</v>
      </c>
      <c r="F238" t="s">
        <v>1933</v>
      </c>
      <c r="G238" t="s">
        <v>1737</v>
      </c>
      <c r="H238" t="s">
        <v>1799</v>
      </c>
      <c r="I238" t="s">
        <v>1799</v>
      </c>
      <c r="J238" t="s">
        <v>1799</v>
      </c>
      <c r="K238" t="s">
        <v>1799</v>
      </c>
      <c r="L238" t="s">
        <v>1455</v>
      </c>
      <c r="M238" t="s">
        <v>1799</v>
      </c>
      <c r="N238" t="s">
        <v>1799</v>
      </c>
      <c r="O238" s="184" t="str">
        <f>"["&amp;$C238&amp;"]["&amp;$D238&amp;"]["&amp;$F238&amp;"]"</f>
        <v>[S05_DefaultValues][40][InstallationCategory]</v>
      </c>
    </row>
    <row r="239" spans="1:15" x14ac:dyDescent="0.3">
      <c r="A239" t="s">
        <v>1793</v>
      </c>
      <c r="B239" t="s">
        <v>1924</v>
      </c>
      <c r="C239" t="s">
        <v>1932</v>
      </c>
      <c r="D239">
        <v>41</v>
      </c>
      <c r="E239" t="s">
        <v>1447</v>
      </c>
      <c r="F239" t="s">
        <v>1933</v>
      </c>
      <c r="G239" t="s">
        <v>1737</v>
      </c>
      <c r="H239" t="s">
        <v>1799</v>
      </c>
      <c r="I239" t="s">
        <v>1799</v>
      </c>
      <c r="J239" t="s">
        <v>1799</v>
      </c>
      <c r="K239" t="s">
        <v>1799</v>
      </c>
      <c r="L239" t="s">
        <v>1455</v>
      </c>
      <c r="M239" t="s">
        <v>1799</v>
      </c>
      <c r="N239" t="s">
        <v>1799</v>
      </c>
      <c r="O239" s="184" t="str">
        <f>"["&amp;$C239&amp;"]["&amp;$D239&amp;"]["&amp;$F239&amp;"]"</f>
        <v>[S05_DefaultValues][41][InstallationCategory]</v>
      </c>
    </row>
    <row r="240" spans="1:15" x14ac:dyDescent="0.3">
      <c r="A240" t="s">
        <v>1793</v>
      </c>
      <c r="B240" t="s">
        <v>1924</v>
      </c>
      <c r="C240" t="s">
        <v>1932</v>
      </c>
      <c r="D240">
        <v>42</v>
      </c>
      <c r="E240" t="s">
        <v>1447</v>
      </c>
      <c r="F240" t="s">
        <v>1933</v>
      </c>
      <c r="G240" t="s">
        <v>1737</v>
      </c>
      <c r="H240" t="s">
        <v>1799</v>
      </c>
      <c r="I240" t="s">
        <v>1799</v>
      </c>
      <c r="J240" t="s">
        <v>1799</v>
      </c>
      <c r="K240" t="s">
        <v>1799</v>
      </c>
      <c r="L240" t="s">
        <v>1483</v>
      </c>
      <c r="M240" t="s">
        <v>1799</v>
      </c>
      <c r="N240" t="s">
        <v>1799</v>
      </c>
      <c r="O240" s="184" t="str">
        <f>"["&amp;$C240&amp;"]["&amp;$D240&amp;"]["&amp;$F240&amp;"]"</f>
        <v>[S05_DefaultValues][42][InstallationCategory]</v>
      </c>
    </row>
    <row r="241" spans="1:15" x14ac:dyDescent="0.3">
      <c r="A241" t="s">
        <v>1793</v>
      </c>
      <c r="B241" t="s">
        <v>1924</v>
      </c>
      <c r="C241" t="s">
        <v>1932</v>
      </c>
      <c r="D241">
        <v>43</v>
      </c>
      <c r="E241" t="s">
        <v>1447</v>
      </c>
      <c r="F241" t="s">
        <v>1933</v>
      </c>
      <c r="G241" t="s">
        <v>1737</v>
      </c>
      <c r="H241" t="s">
        <v>1799</v>
      </c>
      <c r="I241" t="s">
        <v>1799</v>
      </c>
      <c r="J241" t="s">
        <v>1799</v>
      </c>
      <c r="K241" t="s">
        <v>1799</v>
      </c>
      <c r="L241" t="s">
        <v>1483</v>
      </c>
      <c r="M241" t="s">
        <v>1799</v>
      </c>
      <c r="N241" t="s">
        <v>1799</v>
      </c>
      <c r="O241" s="184" t="str">
        <f>"["&amp;$C241&amp;"]["&amp;$D241&amp;"]["&amp;$F241&amp;"]"</f>
        <v>[S05_DefaultValues][43][InstallationCategory]</v>
      </c>
    </row>
    <row r="242" spans="1:15" x14ac:dyDescent="0.3">
      <c r="A242" t="s">
        <v>1793</v>
      </c>
      <c r="B242" t="s">
        <v>1924</v>
      </c>
      <c r="C242" t="s">
        <v>1932</v>
      </c>
      <c r="D242">
        <v>44</v>
      </c>
      <c r="E242" t="s">
        <v>1447</v>
      </c>
      <c r="F242" t="s">
        <v>1933</v>
      </c>
      <c r="G242" t="s">
        <v>1737</v>
      </c>
      <c r="H242" t="s">
        <v>1799</v>
      </c>
      <c r="I242" t="s">
        <v>1799</v>
      </c>
      <c r="J242" t="s">
        <v>1799</v>
      </c>
      <c r="K242" t="s">
        <v>1799</v>
      </c>
      <c r="L242" t="s">
        <v>1483</v>
      </c>
      <c r="M242" t="s">
        <v>1799</v>
      </c>
      <c r="N242" t="s">
        <v>1799</v>
      </c>
      <c r="O242" s="184" t="str">
        <f>"["&amp;$C242&amp;"]["&amp;$D242&amp;"]["&amp;$F242&amp;"]"</f>
        <v>[S05_DefaultValues][44][InstallationCategory]</v>
      </c>
    </row>
    <row r="243" spans="1:15" x14ac:dyDescent="0.3">
      <c r="A243" t="s">
        <v>1793</v>
      </c>
      <c r="B243" t="s">
        <v>1924</v>
      </c>
      <c r="C243" t="s">
        <v>1932</v>
      </c>
      <c r="D243">
        <v>45</v>
      </c>
      <c r="E243" t="s">
        <v>1447</v>
      </c>
      <c r="F243" t="s">
        <v>1933</v>
      </c>
      <c r="G243" t="s">
        <v>1737</v>
      </c>
      <c r="H243" t="s">
        <v>1799</v>
      </c>
      <c r="I243" t="s">
        <v>1799</v>
      </c>
      <c r="J243" t="s">
        <v>1799</v>
      </c>
      <c r="K243" t="s">
        <v>1799</v>
      </c>
      <c r="L243" t="s">
        <v>1483</v>
      </c>
      <c r="M243" t="s">
        <v>1799</v>
      </c>
      <c r="N243" t="s">
        <v>1799</v>
      </c>
      <c r="O243" s="184" t="str">
        <f>"["&amp;$C243&amp;"]["&amp;$D243&amp;"]["&amp;$F243&amp;"]"</f>
        <v>[S05_DefaultValues][45][InstallationCategory]</v>
      </c>
    </row>
    <row r="244" spans="1:15" x14ac:dyDescent="0.3">
      <c r="A244" t="s">
        <v>1793</v>
      </c>
      <c r="B244" t="s">
        <v>1924</v>
      </c>
      <c r="C244" t="s">
        <v>1932</v>
      </c>
      <c r="D244">
        <v>46</v>
      </c>
      <c r="E244" t="s">
        <v>1447</v>
      </c>
      <c r="F244" t="s">
        <v>1933</v>
      </c>
      <c r="G244" t="s">
        <v>1737</v>
      </c>
      <c r="H244" t="s">
        <v>1799</v>
      </c>
      <c r="I244" t="s">
        <v>1799</v>
      </c>
      <c r="J244" t="s">
        <v>1799</v>
      </c>
      <c r="K244" t="s">
        <v>1799</v>
      </c>
      <c r="L244" t="s">
        <v>1483</v>
      </c>
      <c r="M244" t="s">
        <v>1799</v>
      </c>
      <c r="N244" t="s">
        <v>1799</v>
      </c>
      <c r="O244" s="184" t="str">
        <f>"["&amp;$C244&amp;"]["&amp;$D244&amp;"]["&amp;$F244&amp;"]"</f>
        <v>[S05_DefaultValues][46][InstallationCategory]</v>
      </c>
    </row>
    <row r="245" spans="1:15" x14ac:dyDescent="0.3">
      <c r="A245" t="s">
        <v>1793</v>
      </c>
      <c r="B245" t="s">
        <v>1924</v>
      </c>
      <c r="C245" t="s">
        <v>1932</v>
      </c>
      <c r="D245">
        <v>47</v>
      </c>
      <c r="E245" t="s">
        <v>1447</v>
      </c>
      <c r="F245" t="s">
        <v>1933</v>
      </c>
      <c r="G245" t="s">
        <v>1737</v>
      </c>
      <c r="H245" t="s">
        <v>1799</v>
      </c>
      <c r="I245" t="s">
        <v>1799</v>
      </c>
      <c r="J245" t="s">
        <v>1799</v>
      </c>
      <c r="K245" t="s">
        <v>1799</v>
      </c>
      <c r="L245" t="s">
        <v>1483</v>
      </c>
      <c r="M245" t="s">
        <v>1799</v>
      </c>
      <c r="N245" t="s">
        <v>1799</v>
      </c>
      <c r="O245" s="184" t="str">
        <f>"["&amp;$C245&amp;"]["&amp;$D245&amp;"]["&amp;$F245&amp;"]"</f>
        <v>[S05_DefaultValues][47][InstallationCategory]</v>
      </c>
    </row>
    <row r="246" spans="1:15" x14ac:dyDescent="0.3">
      <c r="A246" t="s">
        <v>1793</v>
      </c>
      <c r="B246" t="s">
        <v>1924</v>
      </c>
      <c r="C246" t="s">
        <v>1932</v>
      </c>
      <c r="D246">
        <v>48</v>
      </c>
      <c r="E246" t="s">
        <v>1447</v>
      </c>
      <c r="F246" t="s">
        <v>1933</v>
      </c>
      <c r="G246" t="s">
        <v>1737</v>
      </c>
      <c r="H246" t="s">
        <v>1799</v>
      </c>
      <c r="I246" t="s">
        <v>1799</v>
      </c>
      <c r="J246" t="s">
        <v>1799</v>
      </c>
      <c r="K246" t="s">
        <v>1799</v>
      </c>
      <c r="L246" t="s">
        <v>1483</v>
      </c>
      <c r="M246" t="s">
        <v>1799</v>
      </c>
      <c r="N246" t="s">
        <v>1799</v>
      </c>
      <c r="O246" s="184" t="str">
        <f>"["&amp;$C246&amp;"]["&amp;$D246&amp;"]["&amp;$F246&amp;"]"</f>
        <v>[S05_DefaultValues][48][InstallationCategory]</v>
      </c>
    </row>
    <row r="247" spans="1:15" x14ac:dyDescent="0.3">
      <c r="A247" t="s">
        <v>1793</v>
      </c>
      <c r="B247" t="s">
        <v>1924</v>
      </c>
      <c r="C247" t="s">
        <v>1932</v>
      </c>
      <c r="D247">
        <v>49</v>
      </c>
      <c r="E247" t="s">
        <v>1447</v>
      </c>
      <c r="F247" t="s">
        <v>1933</v>
      </c>
      <c r="G247" t="s">
        <v>1737</v>
      </c>
      <c r="H247" t="s">
        <v>1799</v>
      </c>
      <c r="I247" t="s">
        <v>1799</v>
      </c>
      <c r="J247" t="s">
        <v>1799</v>
      </c>
      <c r="K247" t="s">
        <v>1799</v>
      </c>
      <c r="L247" t="s">
        <v>1483</v>
      </c>
      <c r="M247" t="s">
        <v>1799</v>
      </c>
      <c r="N247" t="s">
        <v>1799</v>
      </c>
      <c r="O247" s="184" t="str">
        <f>"["&amp;$C247&amp;"]["&amp;$D247&amp;"]["&amp;$F247&amp;"]"</f>
        <v>[S05_DefaultValues][49][InstallationCategory]</v>
      </c>
    </row>
    <row r="248" spans="1:15" x14ac:dyDescent="0.3">
      <c r="A248" t="s">
        <v>1793</v>
      </c>
      <c r="B248" t="s">
        <v>1924</v>
      </c>
      <c r="C248" t="s">
        <v>1932</v>
      </c>
      <c r="D248">
        <v>50</v>
      </c>
      <c r="E248" t="s">
        <v>1447</v>
      </c>
      <c r="F248" t="s">
        <v>1933</v>
      </c>
      <c r="G248" t="s">
        <v>1737</v>
      </c>
      <c r="H248" t="s">
        <v>1799</v>
      </c>
      <c r="I248" t="s">
        <v>1799</v>
      </c>
      <c r="J248" t="s">
        <v>1799</v>
      </c>
      <c r="K248" t="s">
        <v>1799</v>
      </c>
      <c r="L248" t="s">
        <v>1483</v>
      </c>
      <c r="M248" t="s">
        <v>1799</v>
      </c>
      <c r="N248" t="s">
        <v>1799</v>
      </c>
      <c r="O248" s="184" t="str">
        <f>"["&amp;$C248&amp;"]["&amp;$D248&amp;"]["&amp;$F248&amp;"]"</f>
        <v>[S05_DefaultValues][50][InstallationCategory]</v>
      </c>
    </row>
    <row r="249" spans="1:15" x14ac:dyDescent="0.3">
      <c r="A249" t="s">
        <v>1793</v>
      </c>
      <c r="B249" t="s">
        <v>1924</v>
      </c>
      <c r="C249" t="s">
        <v>1932</v>
      </c>
      <c r="D249">
        <v>51</v>
      </c>
      <c r="E249" t="s">
        <v>1447</v>
      </c>
      <c r="F249" t="s">
        <v>1933</v>
      </c>
      <c r="G249" t="s">
        <v>1737</v>
      </c>
      <c r="H249" t="s">
        <v>1799</v>
      </c>
      <c r="I249" t="s">
        <v>1799</v>
      </c>
      <c r="J249" t="s">
        <v>1799</v>
      </c>
      <c r="K249" t="s">
        <v>1799</v>
      </c>
      <c r="L249" t="s">
        <v>1483</v>
      </c>
      <c r="M249" t="s">
        <v>1799</v>
      </c>
      <c r="N249" t="s">
        <v>1799</v>
      </c>
      <c r="O249" s="184" t="str">
        <f>"["&amp;$C249&amp;"]["&amp;$D249&amp;"]["&amp;$F249&amp;"]"</f>
        <v>[S05_DefaultValues][51][InstallationCategory]</v>
      </c>
    </row>
    <row r="250" spans="1:15" x14ac:dyDescent="0.3">
      <c r="A250" t="s">
        <v>1793</v>
      </c>
      <c r="B250" t="s">
        <v>1924</v>
      </c>
      <c r="C250" t="s">
        <v>1932</v>
      </c>
      <c r="D250">
        <v>52</v>
      </c>
      <c r="E250" t="s">
        <v>1447</v>
      </c>
      <c r="F250" t="s">
        <v>1933</v>
      </c>
      <c r="G250" t="s">
        <v>1737</v>
      </c>
      <c r="H250" t="s">
        <v>1799</v>
      </c>
      <c r="I250" t="s">
        <v>1799</v>
      </c>
      <c r="J250" t="s">
        <v>1799</v>
      </c>
      <c r="K250" t="s">
        <v>1799</v>
      </c>
      <c r="L250" t="s">
        <v>1483</v>
      </c>
      <c r="M250" t="s">
        <v>1799</v>
      </c>
      <c r="N250" t="s">
        <v>1799</v>
      </c>
      <c r="O250" s="184" t="str">
        <f>"["&amp;$C250&amp;"]["&amp;$D250&amp;"]["&amp;$F250&amp;"]"</f>
        <v>[S05_DefaultValues][52][InstallationCategory]</v>
      </c>
    </row>
    <row r="251" spans="1:15" x14ac:dyDescent="0.3">
      <c r="A251" t="s">
        <v>1793</v>
      </c>
      <c r="B251" t="s">
        <v>1924</v>
      </c>
      <c r="C251" t="s">
        <v>1932</v>
      </c>
      <c r="D251">
        <v>53</v>
      </c>
      <c r="E251" t="s">
        <v>1447</v>
      </c>
      <c r="F251" t="s">
        <v>1933</v>
      </c>
      <c r="G251" t="s">
        <v>1737</v>
      </c>
      <c r="H251" t="s">
        <v>1799</v>
      </c>
      <c r="I251" t="s">
        <v>1799</v>
      </c>
      <c r="J251" t="s">
        <v>1799</v>
      </c>
      <c r="K251" t="s">
        <v>1799</v>
      </c>
      <c r="L251" t="s">
        <v>1483</v>
      </c>
      <c r="M251" t="s">
        <v>1799</v>
      </c>
      <c r="N251" t="s">
        <v>1799</v>
      </c>
      <c r="O251" s="184" t="str">
        <f>"["&amp;$C251&amp;"]["&amp;$D251&amp;"]["&amp;$F251&amp;"]"</f>
        <v>[S05_DefaultValues][53][InstallationCategory]</v>
      </c>
    </row>
    <row r="252" spans="1:15" x14ac:dyDescent="0.3">
      <c r="A252" t="s">
        <v>1793</v>
      </c>
      <c r="B252" t="s">
        <v>1924</v>
      </c>
      <c r="C252" t="s">
        <v>1932</v>
      </c>
      <c r="D252">
        <v>1</v>
      </c>
      <c r="E252" t="s">
        <v>1447</v>
      </c>
      <c r="F252" t="s">
        <v>1934</v>
      </c>
      <c r="G252" t="s">
        <v>1797</v>
      </c>
      <c r="H252" t="s">
        <v>1935</v>
      </c>
      <c r="I252" t="s">
        <v>1799</v>
      </c>
      <c r="J252" t="s">
        <v>1799</v>
      </c>
      <c r="K252" t="s">
        <v>1799</v>
      </c>
      <c r="L252" t="s">
        <v>1799</v>
      </c>
      <c r="M252" t="s">
        <v>1799</v>
      </c>
      <c r="N252" t="s">
        <v>1799</v>
      </c>
      <c r="O252" s="184" t="str">
        <f>"["&amp;$C252&amp;"]["&amp;$D252&amp;"]["&amp;$F252&amp;"]"</f>
        <v>[S05_DefaultValues][1][FuelMaterialType]</v>
      </c>
    </row>
    <row r="253" spans="1:15" x14ac:dyDescent="0.3">
      <c r="A253" t="s">
        <v>1793</v>
      </c>
      <c r="B253" t="s">
        <v>1924</v>
      </c>
      <c r="C253" t="s">
        <v>1932</v>
      </c>
      <c r="D253">
        <v>2</v>
      </c>
      <c r="E253" t="s">
        <v>1447</v>
      </c>
      <c r="F253" t="s">
        <v>1934</v>
      </c>
      <c r="G253" t="s">
        <v>1797</v>
      </c>
      <c r="H253" t="s">
        <v>1936</v>
      </c>
      <c r="I253" t="s">
        <v>1799</v>
      </c>
      <c r="J253" t="s">
        <v>1799</v>
      </c>
      <c r="K253" t="s">
        <v>1799</v>
      </c>
      <c r="L253" t="s">
        <v>1799</v>
      </c>
      <c r="M253" t="s">
        <v>1799</v>
      </c>
      <c r="N253" t="s">
        <v>1799</v>
      </c>
      <c r="O253" s="184" t="str">
        <f>"["&amp;$C253&amp;"]["&amp;$D253&amp;"]["&amp;$F253&amp;"]"</f>
        <v>[S05_DefaultValues][2][FuelMaterialType]</v>
      </c>
    </row>
    <row r="254" spans="1:15" x14ac:dyDescent="0.3">
      <c r="A254" t="s">
        <v>1793</v>
      </c>
      <c r="B254" t="s">
        <v>1924</v>
      </c>
      <c r="C254" t="s">
        <v>1932</v>
      </c>
      <c r="D254">
        <v>3</v>
      </c>
      <c r="E254" t="s">
        <v>1447</v>
      </c>
      <c r="F254" t="s">
        <v>1934</v>
      </c>
      <c r="G254" t="s">
        <v>1797</v>
      </c>
      <c r="H254" t="s">
        <v>1937</v>
      </c>
      <c r="I254" t="s">
        <v>1799</v>
      </c>
      <c r="J254" t="s">
        <v>1799</v>
      </c>
      <c r="K254" t="s">
        <v>1799</v>
      </c>
      <c r="L254" t="s">
        <v>1799</v>
      </c>
      <c r="M254" t="s">
        <v>1799</v>
      </c>
      <c r="N254" t="s">
        <v>1799</v>
      </c>
      <c r="O254" s="184" t="str">
        <f>"["&amp;$C254&amp;"]["&amp;$D254&amp;"]["&amp;$F254&amp;"]"</f>
        <v>[S05_DefaultValues][3][FuelMaterialType]</v>
      </c>
    </row>
    <row r="255" spans="1:15" x14ac:dyDescent="0.3">
      <c r="A255" t="s">
        <v>1793</v>
      </c>
      <c r="B255" t="s">
        <v>1924</v>
      </c>
      <c r="C255" t="s">
        <v>1932</v>
      </c>
      <c r="D255">
        <v>4</v>
      </c>
      <c r="E255" t="s">
        <v>1447</v>
      </c>
      <c r="F255" t="s">
        <v>1934</v>
      </c>
      <c r="G255" t="s">
        <v>1797</v>
      </c>
      <c r="H255" t="s">
        <v>1938</v>
      </c>
      <c r="I255" t="s">
        <v>1799</v>
      </c>
      <c r="J255" t="s">
        <v>1799</v>
      </c>
      <c r="K255" t="s">
        <v>1799</v>
      </c>
      <c r="L255" t="s">
        <v>1799</v>
      </c>
      <c r="M255" t="s">
        <v>1799</v>
      </c>
      <c r="N255" t="s">
        <v>1799</v>
      </c>
      <c r="O255" s="184" t="str">
        <f>"["&amp;$C255&amp;"]["&amp;$D255&amp;"]["&amp;$F255&amp;"]"</f>
        <v>[S05_DefaultValues][4][FuelMaterialType]</v>
      </c>
    </row>
    <row r="256" spans="1:15" x14ac:dyDescent="0.3">
      <c r="A256" t="s">
        <v>1793</v>
      </c>
      <c r="B256" t="s">
        <v>1924</v>
      </c>
      <c r="C256" t="s">
        <v>1932</v>
      </c>
      <c r="D256">
        <v>5</v>
      </c>
      <c r="E256" t="s">
        <v>1447</v>
      </c>
      <c r="F256" t="s">
        <v>1934</v>
      </c>
      <c r="G256" t="s">
        <v>1797</v>
      </c>
      <c r="H256" t="s">
        <v>201</v>
      </c>
      <c r="I256" t="s">
        <v>1799</v>
      </c>
      <c r="J256" t="s">
        <v>1799</v>
      </c>
      <c r="K256" t="s">
        <v>1799</v>
      </c>
      <c r="L256" t="s">
        <v>1799</v>
      </c>
      <c r="M256" t="s">
        <v>1799</v>
      </c>
      <c r="N256" t="s">
        <v>1799</v>
      </c>
      <c r="O256" s="184" t="str">
        <f>"["&amp;$C256&amp;"]["&amp;$D256&amp;"]["&amp;$F256&amp;"]"</f>
        <v>[S05_DefaultValues][5][FuelMaterialType]</v>
      </c>
    </row>
    <row r="257" spans="1:15" x14ac:dyDescent="0.3">
      <c r="A257" t="s">
        <v>1793</v>
      </c>
      <c r="B257" t="s">
        <v>1924</v>
      </c>
      <c r="C257" t="s">
        <v>1932</v>
      </c>
      <c r="D257">
        <v>6</v>
      </c>
      <c r="E257" t="s">
        <v>1447</v>
      </c>
      <c r="F257" t="s">
        <v>1934</v>
      </c>
      <c r="G257" t="s">
        <v>1797</v>
      </c>
      <c r="H257" t="s">
        <v>1939</v>
      </c>
      <c r="I257" t="s">
        <v>1799</v>
      </c>
      <c r="J257" t="s">
        <v>1799</v>
      </c>
      <c r="K257" t="s">
        <v>1799</v>
      </c>
      <c r="L257" t="s">
        <v>1799</v>
      </c>
      <c r="M257" t="s">
        <v>1799</v>
      </c>
      <c r="N257" t="s">
        <v>1799</v>
      </c>
      <c r="O257" s="184" t="str">
        <f>"["&amp;$C257&amp;"]["&amp;$D257&amp;"]["&amp;$F257&amp;"]"</f>
        <v>[S05_DefaultValues][6][FuelMaterialType]</v>
      </c>
    </row>
    <row r="258" spans="1:15" x14ac:dyDescent="0.3">
      <c r="A258" t="s">
        <v>1793</v>
      </c>
      <c r="B258" t="s">
        <v>1924</v>
      </c>
      <c r="C258" t="s">
        <v>1932</v>
      </c>
      <c r="D258">
        <v>7</v>
      </c>
      <c r="E258" t="s">
        <v>1447</v>
      </c>
      <c r="F258" t="s">
        <v>1934</v>
      </c>
      <c r="G258" t="s">
        <v>1797</v>
      </c>
      <c r="H258" t="s">
        <v>1940</v>
      </c>
      <c r="I258" t="s">
        <v>1799</v>
      </c>
      <c r="J258" t="s">
        <v>1799</v>
      </c>
      <c r="K258" t="s">
        <v>1799</v>
      </c>
      <c r="L258" t="s">
        <v>1799</v>
      </c>
      <c r="M258" t="s">
        <v>1799</v>
      </c>
      <c r="N258" t="s">
        <v>1799</v>
      </c>
      <c r="O258" s="184" t="str">
        <f>"["&amp;$C258&amp;"]["&amp;$D258&amp;"]["&amp;$F258&amp;"]"</f>
        <v>[S05_DefaultValues][7][FuelMaterialType]</v>
      </c>
    </row>
    <row r="259" spans="1:15" x14ac:dyDescent="0.3">
      <c r="A259" t="s">
        <v>1793</v>
      </c>
      <c r="B259" t="s">
        <v>1924</v>
      </c>
      <c r="C259" t="s">
        <v>1932</v>
      </c>
      <c r="D259">
        <v>8</v>
      </c>
      <c r="E259" t="s">
        <v>1447</v>
      </c>
      <c r="F259" t="s">
        <v>1934</v>
      </c>
      <c r="G259" t="s">
        <v>1797</v>
      </c>
      <c r="H259" t="s">
        <v>1941</v>
      </c>
      <c r="I259" t="s">
        <v>1799</v>
      </c>
      <c r="J259" t="s">
        <v>1799</v>
      </c>
      <c r="K259" t="s">
        <v>1799</v>
      </c>
      <c r="L259" t="s">
        <v>1799</v>
      </c>
      <c r="M259" t="s">
        <v>1799</v>
      </c>
      <c r="N259" t="s">
        <v>1799</v>
      </c>
      <c r="O259" s="184" t="str">
        <f>"["&amp;$C259&amp;"]["&amp;$D259&amp;"]["&amp;$F259&amp;"]"</f>
        <v>[S05_DefaultValues][8][FuelMaterialType]</v>
      </c>
    </row>
    <row r="260" spans="1:15" x14ac:dyDescent="0.3">
      <c r="A260" t="s">
        <v>1793</v>
      </c>
      <c r="B260" t="s">
        <v>1924</v>
      </c>
      <c r="C260" t="s">
        <v>1932</v>
      </c>
      <c r="D260">
        <v>9</v>
      </c>
      <c r="E260" t="s">
        <v>1447</v>
      </c>
      <c r="F260" t="s">
        <v>1934</v>
      </c>
      <c r="G260" t="s">
        <v>1797</v>
      </c>
      <c r="H260" t="s">
        <v>1942</v>
      </c>
      <c r="I260" t="s">
        <v>1799</v>
      </c>
      <c r="J260" t="s">
        <v>1799</v>
      </c>
      <c r="K260" t="s">
        <v>1799</v>
      </c>
      <c r="L260" t="s">
        <v>1799</v>
      </c>
      <c r="M260" t="s">
        <v>1799</v>
      </c>
      <c r="N260" t="s">
        <v>1799</v>
      </c>
      <c r="O260" s="184" t="str">
        <f>"["&amp;$C260&amp;"]["&amp;$D260&amp;"]["&amp;$F260&amp;"]"</f>
        <v>[S05_DefaultValues][9][FuelMaterialType]</v>
      </c>
    </row>
    <row r="261" spans="1:15" x14ac:dyDescent="0.3">
      <c r="A261" t="s">
        <v>1793</v>
      </c>
      <c r="B261" t="s">
        <v>1924</v>
      </c>
      <c r="C261" t="s">
        <v>1932</v>
      </c>
      <c r="D261">
        <v>10</v>
      </c>
      <c r="E261" t="s">
        <v>1447</v>
      </c>
      <c r="F261" t="s">
        <v>1934</v>
      </c>
      <c r="G261" t="s">
        <v>1797</v>
      </c>
      <c r="H261" t="s">
        <v>1943</v>
      </c>
      <c r="I261" t="s">
        <v>1799</v>
      </c>
      <c r="J261" t="s">
        <v>1799</v>
      </c>
      <c r="K261" t="s">
        <v>1799</v>
      </c>
      <c r="L261" t="s">
        <v>1799</v>
      </c>
      <c r="M261" t="s">
        <v>1799</v>
      </c>
      <c r="N261" t="s">
        <v>1799</v>
      </c>
      <c r="O261" s="184" t="str">
        <f>"["&amp;$C261&amp;"]["&amp;$D261&amp;"]["&amp;$F261&amp;"]"</f>
        <v>[S05_DefaultValues][10][FuelMaterialType]</v>
      </c>
    </row>
    <row r="262" spans="1:15" x14ac:dyDescent="0.3">
      <c r="A262" t="s">
        <v>1793</v>
      </c>
      <c r="B262" t="s">
        <v>1924</v>
      </c>
      <c r="C262" t="s">
        <v>1932</v>
      </c>
      <c r="D262">
        <v>11</v>
      </c>
      <c r="E262" t="s">
        <v>1447</v>
      </c>
      <c r="F262" t="s">
        <v>1934</v>
      </c>
      <c r="G262" t="s">
        <v>1797</v>
      </c>
      <c r="H262" t="s">
        <v>1944</v>
      </c>
      <c r="I262" t="s">
        <v>1799</v>
      </c>
      <c r="J262" t="s">
        <v>1799</v>
      </c>
      <c r="K262" t="s">
        <v>1799</v>
      </c>
      <c r="L262" t="s">
        <v>1799</v>
      </c>
      <c r="M262" t="s">
        <v>1799</v>
      </c>
      <c r="N262" t="s">
        <v>1799</v>
      </c>
      <c r="O262" s="184" t="str">
        <f>"["&amp;$C262&amp;"]["&amp;$D262&amp;"]["&amp;$F262&amp;"]"</f>
        <v>[S05_DefaultValues][11][FuelMaterialType]</v>
      </c>
    </row>
    <row r="263" spans="1:15" x14ac:dyDescent="0.3">
      <c r="A263" t="s">
        <v>1793</v>
      </c>
      <c r="B263" t="s">
        <v>1924</v>
      </c>
      <c r="C263" t="s">
        <v>1932</v>
      </c>
      <c r="D263">
        <v>12</v>
      </c>
      <c r="E263" t="s">
        <v>1447</v>
      </c>
      <c r="F263" t="s">
        <v>1934</v>
      </c>
      <c r="G263" t="s">
        <v>1797</v>
      </c>
      <c r="H263" t="s">
        <v>1945</v>
      </c>
      <c r="I263" t="s">
        <v>1799</v>
      </c>
      <c r="J263" t="s">
        <v>1799</v>
      </c>
      <c r="K263" t="s">
        <v>1799</v>
      </c>
      <c r="L263" t="s">
        <v>1799</v>
      </c>
      <c r="M263" t="s">
        <v>1799</v>
      </c>
      <c r="N263" t="s">
        <v>1799</v>
      </c>
      <c r="O263" s="184" t="str">
        <f>"["&amp;$C263&amp;"]["&amp;$D263&amp;"]["&amp;$F263&amp;"]"</f>
        <v>[S05_DefaultValues][12][FuelMaterialType]</v>
      </c>
    </row>
    <row r="264" spans="1:15" x14ac:dyDescent="0.3">
      <c r="A264" t="s">
        <v>1793</v>
      </c>
      <c r="B264" t="s">
        <v>1924</v>
      </c>
      <c r="C264" t="s">
        <v>1932</v>
      </c>
      <c r="D264">
        <v>13</v>
      </c>
      <c r="E264" t="s">
        <v>1447</v>
      </c>
      <c r="F264" t="s">
        <v>1934</v>
      </c>
      <c r="G264" t="s">
        <v>1797</v>
      </c>
      <c r="H264" t="s">
        <v>1946</v>
      </c>
      <c r="I264" t="s">
        <v>1799</v>
      </c>
      <c r="J264" t="s">
        <v>1799</v>
      </c>
      <c r="K264" t="s">
        <v>1799</v>
      </c>
      <c r="L264" t="s">
        <v>1799</v>
      </c>
      <c r="M264" t="s">
        <v>1799</v>
      </c>
      <c r="N264" t="s">
        <v>1799</v>
      </c>
      <c r="O264" s="184" t="str">
        <f>"["&amp;$C264&amp;"]["&amp;$D264&amp;"]["&amp;$F264&amp;"]"</f>
        <v>[S05_DefaultValues][13][FuelMaterialType]</v>
      </c>
    </row>
    <row r="265" spans="1:15" x14ac:dyDescent="0.3">
      <c r="A265" t="s">
        <v>1793</v>
      </c>
      <c r="B265" t="s">
        <v>1924</v>
      </c>
      <c r="C265" t="s">
        <v>1932</v>
      </c>
      <c r="D265">
        <v>14</v>
      </c>
      <c r="E265" t="s">
        <v>1447</v>
      </c>
      <c r="F265" t="s">
        <v>1934</v>
      </c>
      <c r="G265" t="s">
        <v>1797</v>
      </c>
      <c r="H265" t="s">
        <v>1947</v>
      </c>
      <c r="I265" t="s">
        <v>1799</v>
      </c>
      <c r="J265" t="s">
        <v>1799</v>
      </c>
      <c r="K265" t="s">
        <v>1799</v>
      </c>
      <c r="L265" t="s">
        <v>1799</v>
      </c>
      <c r="M265" t="s">
        <v>1799</v>
      </c>
      <c r="N265" t="s">
        <v>1799</v>
      </c>
      <c r="O265" s="184" t="str">
        <f>"["&amp;$C265&amp;"]["&amp;$D265&amp;"]["&amp;$F265&amp;"]"</f>
        <v>[S05_DefaultValues][14][FuelMaterialType]</v>
      </c>
    </row>
    <row r="266" spans="1:15" x14ac:dyDescent="0.3">
      <c r="A266" t="s">
        <v>1793</v>
      </c>
      <c r="B266" t="s">
        <v>1924</v>
      </c>
      <c r="C266" t="s">
        <v>1932</v>
      </c>
      <c r="D266">
        <v>15</v>
      </c>
      <c r="E266" t="s">
        <v>1447</v>
      </c>
      <c r="F266" t="s">
        <v>1934</v>
      </c>
      <c r="G266" t="s">
        <v>1797</v>
      </c>
      <c r="H266" t="s">
        <v>1948</v>
      </c>
      <c r="I266" t="s">
        <v>1799</v>
      </c>
      <c r="J266" t="s">
        <v>1799</v>
      </c>
      <c r="K266" t="s">
        <v>1799</v>
      </c>
      <c r="L266" t="s">
        <v>1799</v>
      </c>
      <c r="M266" t="s">
        <v>1799</v>
      </c>
      <c r="N266" t="s">
        <v>1799</v>
      </c>
      <c r="O266" s="184" t="str">
        <f>"["&amp;$C266&amp;"]["&amp;$D266&amp;"]["&amp;$F266&amp;"]"</f>
        <v>[S05_DefaultValues][15][FuelMaterialType]</v>
      </c>
    </row>
    <row r="267" spans="1:15" x14ac:dyDescent="0.3">
      <c r="A267" t="s">
        <v>1793</v>
      </c>
      <c r="B267" t="s">
        <v>1924</v>
      </c>
      <c r="C267" t="s">
        <v>1932</v>
      </c>
      <c r="D267">
        <v>16</v>
      </c>
      <c r="E267" t="s">
        <v>1447</v>
      </c>
      <c r="F267" t="s">
        <v>1934</v>
      </c>
      <c r="G267" t="s">
        <v>1797</v>
      </c>
      <c r="H267" t="s">
        <v>1949</v>
      </c>
      <c r="I267" t="s">
        <v>1799</v>
      </c>
      <c r="J267" t="s">
        <v>1799</v>
      </c>
      <c r="K267" t="s">
        <v>1799</v>
      </c>
      <c r="L267" t="s">
        <v>1799</v>
      </c>
      <c r="M267" t="s">
        <v>1799</v>
      </c>
      <c r="N267" t="s">
        <v>1799</v>
      </c>
      <c r="O267" s="184" t="str">
        <f>"["&amp;$C267&amp;"]["&amp;$D267&amp;"]["&amp;$F267&amp;"]"</f>
        <v>[S05_DefaultValues][16][FuelMaterialType]</v>
      </c>
    </row>
    <row r="268" spans="1:15" x14ac:dyDescent="0.3">
      <c r="A268" t="s">
        <v>1793</v>
      </c>
      <c r="B268" t="s">
        <v>1924</v>
      </c>
      <c r="C268" t="s">
        <v>1932</v>
      </c>
      <c r="D268">
        <v>17</v>
      </c>
      <c r="E268" t="s">
        <v>1447</v>
      </c>
      <c r="F268" t="s">
        <v>1934</v>
      </c>
      <c r="G268" t="s">
        <v>1797</v>
      </c>
      <c r="H268" t="s">
        <v>1950</v>
      </c>
      <c r="I268" t="s">
        <v>1799</v>
      </c>
      <c r="J268" t="s">
        <v>1799</v>
      </c>
      <c r="K268" t="s">
        <v>1799</v>
      </c>
      <c r="L268" t="s">
        <v>1799</v>
      </c>
      <c r="M268" t="s">
        <v>1799</v>
      </c>
      <c r="N268" t="s">
        <v>1799</v>
      </c>
      <c r="O268" s="184" t="str">
        <f>"["&amp;$C268&amp;"]["&amp;$D268&amp;"]["&amp;$F268&amp;"]"</f>
        <v>[S05_DefaultValues][17][FuelMaterialType]</v>
      </c>
    </row>
    <row r="269" spans="1:15" x14ac:dyDescent="0.3">
      <c r="A269" t="s">
        <v>1793</v>
      </c>
      <c r="B269" t="s">
        <v>1924</v>
      </c>
      <c r="C269" t="s">
        <v>1932</v>
      </c>
      <c r="D269">
        <v>18</v>
      </c>
      <c r="E269" t="s">
        <v>1447</v>
      </c>
      <c r="F269" t="s">
        <v>1934</v>
      </c>
      <c r="G269" t="s">
        <v>1797</v>
      </c>
      <c r="H269" t="s">
        <v>1951</v>
      </c>
      <c r="I269" t="s">
        <v>1799</v>
      </c>
      <c r="J269" t="s">
        <v>1799</v>
      </c>
      <c r="K269" t="s">
        <v>1799</v>
      </c>
      <c r="L269" t="s">
        <v>1799</v>
      </c>
      <c r="M269" t="s">
        <v>1799</v>
      </c>
      <c r="N269" t="s">
        <v>1799</v>
      </c>
      <c r="O269" s="184" t="str">
        <f>"["&amp;$C269&amp;"]["&amp;$D269&amp;"]["&amp;$F269&amp;"]"</f>
        <v>[S05_DefaultValues][18][FuelMaterialType]</v>
      </c>
    </row>
    <row r="270" spans="1:15" x14ac:dyDescent="0.3">
      <c r="A270" t="s">
        <v>1793</v>
      </c>
      <c r="B270" t="s">
        <v>1924</v>
      </c>
      <c r="C270" t="s">
        <v>1932</v>
      </c>
      <c r="D270">
        <v>19</v>
      </c>
      <c r="E270" t="s">
        <v>1447</v>
      </c>
      <c r="F270" t="s">
        <v>1934</v>
      </c>
      <c r="G270" t="s">
        <v>1797</v>
      </c>
      <c r="H270" t="s">
        <v>1952</v>
      </c>
      <c r="I270" t="s">
        <v>1799</v>
      </c>
      <c r="J270" t="s">
        <v>1799</v>
      </c>
      <c r="K270" t="s">
        <v>1799</v>
      </c>
      <c r="L270" t="s">
        <v>1799</v>
      </c>
      <c r="M270" t="s">
        <v>1799</v>
      </c>
      <c r="N270" t="s">
        <v>1799</v>
      </c>
      <c r="O270" s="184" t="str">
        <f>"["&amp;$C270&amp;"]["&amp;$D270&amp;"]["&amp;$F270&amp;"]"</f>
        <v>[S05_DefaultValues][19][FuelMaterialType]</v>
      </c>
    </row>
    <row r="271" spans="1:15" x14ac:dyDescent="0.3">
      <c r="A271" t="s">
        <v>1793</v>
      </c>
      <c r="B271" t="s">
        <v>1924</v>
      </c>
      <c r="C271" t="s">
        <v>1932</v>
      </c>
      <c r="D271">
        <v>20</v>
      </c>
      <c r="E271" t="s">
        <v>1447</v>
      </c>
      <c r="F271" t="s">
        <v>1934</v>
      </c>
      <c r="G271" t="s">
        <v>1797</v>
      </c>
      <c r="H271" t="s">
        <v>1935</v>
      </c>
      <c r="I271" t="s">
        <v>1799</v>
      </c>
      <c r="J271" t="s">
        <v>1799</v>
      </c>
      <c r="K271" t="s">
        <v>1799</v>
      </c>
      <c r="L271" t="s">
        <v>1799</v>
      </c>
      <c r="M271" t="s">
        <v>1799</v>
      </c>
      <c r="N271" t="s">
        <v>1799</v>
      </c>
      <c r="O271" s="184" t="str">
        <f>"["&amp;$C271&amp;"]["&amp;$D271&amp;"]["&amp;$F271&amp;"]"</f>
        <v>[S05_DefaultValues][20][FuelMaterialType]</v>
      </c>
    </row>
    <row r="272" spans="1:15" x14ac:dyDescent="0.3">
      <c r="A272" t="s">
        <v>1793</v>
      </c>
      <c r="B272" t="s">
        <v>1924</v>
      </c>
      <c r="C272" t="s">
        <v>1932</v>
      </c>
      <c r="D272">
        <v>21</v>
      </c>
      <c r="E272" t="s">
        <v>1447</v>
      </c>
      <c r="F272" t="s">
        <v>1934</v>
      </c>
      <c r="G272" t="s">
        <v>1797</v>
      </c>
      <c r="H272" t="s">
        <v>1953</v>
      </c>
      <c r="I272" t="s">
        <v>1799</v>
      </c>
      <c r="J272" t="s">
        <v>1799</v>
      </c>
      <c r="K272" t="s">
        <v>1799</v>
      </c>
      <c r="L272" t="s">
        <v>1799</v>
      </c>
      <c r="M272" t="s">
        <v>1799</v>
      </c>
      <c r="N272" t="s">
        <v>1799</v>
      </c>
      <c r="O272" s="184" t="str">
        <f>"["&amp;$C272&amp;"]["&amp;$D272&amp;"]["&amp;$F272&amp;"]"</f>
        <v>[S05_DefaultValues][21][FuelMaterialType]</v>
      </c>
    </row>
    <row r="273" spans="1:15" x14ac:dyDescent="0.3">
      <c r="A273" t="s">
        <v>1793</v>
      </c>
      <c r="B273" t="s">
        <v>1924</v>
      </c>
      <c r="C273" t="s">
        <v>1932</v>
      </c>
      <c r="D273">
        <v>22</v>
      </c>
      <c r="E273" t="s">
        <v>1447</v>
      </c>
      <c r="F273" t="s">
        <v>1934</v>
      </c>
      <c r="G273" t="s">
        <v>1797</v>
      </c>
      <c r="H273" t="s">
        <v>1954</v>
      </c>
      <c r="I273" t="s">
        <v>1799</v>
      </c>
      <c r="J273" t="s">
        <v>1799</v>
      </c>
      <c r="K273" t="s">
        <v>1799</v>
      </c>
      <c r="L273" t="s">
        <v>1799</v>
      </c>
      <c r="M273" t="s">
        <v>1799</v>
      </c>
      <c r="N273" t="s">
        <v>1799</v>
      </c>
      <c r="O273" s="184" t="str">
        <f>"["&amp;$C273&amp;"]["&amp;$D273&amp;"]["&amp;$F273&amp;"]"</f>
        <v>[S05_DefaultValues][22][FuelMaterialType]</v>
      </c>
    </row>
    <row r="274" spans="1:15" x14ac:dyDescent="0.3">
      <c r="A274" t="s">
        <v>1793</v>
      </c>
      <c r="B274" t="s">
        <v>1924</v>
      </c>
      <c r="C274" t="s">
        <v>1932</v>
      </c>
      <c r="D274">
        <v>23</v>
      </c>
      <c r="E274" t="s">
        <v>1447</v>
      </c>
      <c r="F274" t="s">
        <v>1934</v>
      </c>
      <c r="G274" t="s">
        <v>1797</v>
      </c>
      <c r="H274" t="s">
        <v>1955</v>
      </c>
      <c r="I274" t="s">
        <v>1799</v>
      </c>
      <c r="J274" t="s">
        <v>1799</v>
      </c>
      <c r="K274" t="s">
        <v>1799</v>
      </c>
      <c r="L274" t="s">
        <v>1799</v>
      </c>
      <c r="M274" t="s">
        <v>1799</v>
      </c>
      <c r="N274" t="s">
        <v>1799</v>
      </c>
      <c r="O274" s="184" t="str">
        <f>"["&amp;$C274&amp;"]["&amp;$D274&amp;"]["&amp;$F274&amp;"]"</f>
        <v>[S05_DefaultValues][23][FuelMaterialType]</v>
      </c>
    </row>
    <row r="275" spans="1:15" x14ac:dyDescent="0.3">
      <c r="A275" t="s">
        <v>1793</v>
      </c>
      <c r="B275" t="s">
        <v>1924</v>
      </c>
      <c r="C275" t="s">
        <v>1932</v>
      </c>
      <c r="D275">
        <v>24</v>
      </c>
      <c r="E275" t="s">
        <v>1447</v>
      </c>
      <c r="F275" t="s">
        <v>1934</v>
      </c>
      <c r="G275" t="s">
        <v>1797</v>
      </c>
      <c r="H275" t="s">
        <v>1956</v>
      </c>
      <c r="I275" t="s">
        <v>1799</v>
      </c>
      <c r="J275" t="s">
        <v>1799</v>
      </c>
      <c r="K275" t="s">
        <v>1799</v>
      </c>
      <c r="L275" t="s">
        <v>1799</v>
      </c>
      <c r="M275" t="s">
        <v>1799</v>
      </c>
      <c r="N275" t="s">
        <v>1799</v>
      </c>
      <c r="O275" s="184" t="str">
        <f>"["&amp;$C275&amp;"]["&amp;$D275&amp;"]["&amp;$F275&amp;"]"</f>
        <v>[S05_DefaultValues][24][FuelMaterialType]</v>
      </c>
    </row>
    <row r="276" spans="1:15" x14ac:dyDescent="0.3">
      <c r="A276" t="s">
        <v>1793</v>
      </c>
      <c r="B276" t="s">
        <v>1924</v>
      </c>
      <c r="C276" t="s">
        <v>1932</v>
      </c>
      <c r="D276">
        <v>25</v>
      </c>
      <c r="E276" t="s">
        <v>1447</v>
      </c>
      <c r="F276" t="s">
        <v>1934</v>
      </c>
      <c r="G276" t="s">
        <v>1797</v>
      </c>
      <c r="H276" t="s">
        <v>1957</v>
      </c>
      <c r="I276" t="s">
        <v>1799</v>
      </c>
      <c r="J276" t="s">
        <v>1799</v>
      </c>
      <c r="K276" t="s">
        <v>1799</v>
      </c>
      <c r="L276" t="s">
        <v>1799</v>
      </c>
      <c r="M276" t="s">
        <v>1799</v>
      </c>
      <c r="N276" t="s">
        <v>1799</v>
      </c>
      <c r="O276" s="184" t="str">
        <f>"["&amp;$C276&amp;"]["&amp;$D276&amp;"]["&amp;$F276&amp;"]"</f>
        <v>[S05_DefaultValues][25][FuelMaterialType]</v>
      </c>
    </row>
    <row r="277" spans="1:15" x14ac:dyDescent="0.3">
      <c r="A277" t="s">
        <v>1793</v>
      </c>
      <c r="B277" t="s">
        <v>1924</v>
      </c>
      <c r="C277" t="s">
        <v>1932</v>
      </c>
      <c r="D277">
        <v>26</v>
      </c>
      <c r="E277" t="s">
        <v>1447</v>
      </c>
      <c r="F277" t="s">
        <v>1934</v>
      </c>
      <c r="G277" t="s">
        <v>1797</v>
      </c>
      <c r="H277" t="s">
        <v>1958</v>
      </c>
      <c r="I277" t="s">
        <v>1799</v>
      </c>
      <c r="J277" t="s">
        <v>1799</v>
      </c>
      <c r="K277" t="s">
        <v>1799</v>
      </c>
      <c r="L277" t="s">
        <v>1799</v>
      </c>
      <c r="M277" t="s">
        <v>1799</v>
      </c>
      <c r="N277" t="s">
        <v>1799</v>
      </c>
      <c r="O277" s="184" t="str">
        <f>"["&amp;$C277&amp;"]["&amp;$D277&amp;"]["&amp;$F277&amp;"]"</f>
        <v>[S05_DefaultValues][26][FuelMaterialType]</v>
      </c>
    </row>
    <row r="278" spans="1:15" x14ac:dyDescent="0.3">
      <c r="A278" t="s">
        <v>1793</v>
      </c>
      <c r="B278" t="s">
        <v>1924</v>
      </c>
      <c r="C278" t="s">
        <v>1932</v>
      </c>
      <c r="D278">
        <v>27</v>
      </c>
      <c r="E278" t="s">
        <v>1447</v>
      </c>
      <c r="F278" t="s">
        <v>1934</v>
      </c>
      <c r="G278" t="s">
        <v>1797</v>
      </c>
      <c r="H278" t="s">
        <v>1959</v>
      </c>
      <c r="I278" t="s">
        <v>1799</v>
      </c>
      <c r="J278" t="s">
        <v>1799</v>
      </c>
      <c r="K278" t="s">
        <v>1799</v>
      </c>
      <c r="L278" t="s">
        <v>1799</v>
      </c>
      <c r="M278" t="s">
        <v>1799</v>
      </c>
      <c r="N278" t="s">
        <v>1799</v>
      </c>
      <c r="O278" s="184" t="str">
        <f>"["&amp;$C278&amp;"]["&amp;$D278&amp;"]["&amp;$F278&amp;"]"</f>
        <v>[S05_DefaultValues][27][FuelMaterialType]</v>
      </c>
    </row>
    <row r="279" spans="1:15" x14ac:dyDescent="0.3">
      <c r="A279" t="s">
        <v>1793</v>
      </c>
      <c r="B279" t="s">
        <v>1924</v>
      </c>
      <c r="C279" t="s">
        <v>1932</v>
      </c>
      <c r="D279">
        <v>28</v>
      </c>
      <c r="E279" t="s">
        <v>1447</v>
      </c>
      <c r="F279" t="s">
        <v>1934</v>
      </c>
      <c r="G279" t="s">
        <v>1797</v>
      </c>
      <c r="H279" t="s">
        <v>1960</v>
      </c>
      <c r="I279" t="s">
        <v>1799</v>
      </c>
      <c r="J279" t="s">
        <v>1799</v>
      </c>
      <c r="K279" t="s">
        <v>1799</v>
      </c>
      <c r="L279" t="s">
        <v>1799</v>
      </c>
      <c r="M279" t="s">
        <v>1799</v>
      </c>
      <c r="N279" t="s">
        <v>1799</v>
      </c>
      <c r="O279" s="184" t="str">
        <f>"["&amp;$C279&amp;"]["&amp;$D279&amp;"]["&amp;$F279&amp;"]"</f>
        <v>[S05_DefaultValues][28][FuelMaterialType]</v>
      </c>
    </row>
    <row r="280" spans="1:15" x14ac:dyDescent="0.3">
      <c r="A280" t="s">
        <v>1793</v>
      </c>
      <c r="B280" t="s">
        <v>1924</v>
      </c>
      <c r="C280" t="s">
        <v>1932</v>
      </c>
      <c r="D280">
        <v>29</v>
      </c>
      <c r="E280" t="s">
        <v>1447</v>
      </c>
      <c r="F280" t="s">
        <v>1934</v>
      </c>
      <c r="G280" t="s">
        <v>1797</v>
      </c>
      <c r="H280" t="s">
        <v>1961</v>
      </c>
      <c r="I280" t="s">
        <v>1799</v>
      </c>
      <c r="J280" t="s">
        <v>1799</v>
      </c>
      <c r="K280" t="s">
        <v>1799</v>
      </c>
      <c r="L280" t="s">
        <v>1799</v>
      </c>
      <c r="M280" t="s">
        <v>1799</v>
      </c>
      <c r="N280" t="s">
        <v>1799</v>
      </c>
      <c r="O280" s="184" t="str">
        <f>"["&amp;$C280&amp;"]["&amp;$D280&amp;"]["&amp;$F280&amp;"]"</f>
        <v>[S05_DefaultValues][29][FuelMaterialType]</v>
      </c>
    </row>
    <row r="281" spans="1:15" x14ac:dyDescent="0.3">
      <c r="A281" t="s">
        <v>1793</v>
      </c>
      <c r="B281" t="s">
        <v>1924</v>
      </c>
      <c r="C281" t="s">
        <v>1932</v>
      </c>
      <c r="D281">
        <v>30</v>
      </c>
      <c r="E281" t="s">
        <v>1447</v>
      </c>
      <c r="F281" t="s">
        <v>1934</v>
      </c>
      <c r="G281" t="s">
        <v>1797</v>
      </c>
      <c r="H281" t="s">
        <v>1962</v>
      </c>
      <c r="I281" t="s">
        <v>1799</v>
      </c>
      <c r="J281" t="s">
        <v>1799</v>
      </c>
      <c r="K281" t="s">
        <v>1799</v>
      </c>
      <c r="L281" t="s">
        <v>1799</v>
      </c>
      <c r="M281" t="s">
        <v>1799</v>
      </c>
      <c r="N281" t="s">
        <v>1799</v>
      </c>
      <c r="O281" s="184" t="str">
        <f>"["&amp;$C281&amp;"]["&amp;$D281&amp;"]["&amp;$F281&amp;"]"</f>
        <v>[S05_DefaultValues][30][FuelMaterialType]</v>
      </c>
    </row>
    <row r="282" spans="1:15" x14ac:dyDescent="0.3">
      <c r="A282" t="s">
        <v>1793</v>
      </c>
      <c r="B282" t="s">
        <v>1924</v>
      </c>
      <c r="C282" t="s">
        <v>1932</v>
      </c>
      <c r="D282">
        <v>31</v>
      </c>
      <c r="E282" t="s">
        <v>1447</v>
      </c>
      <c r="F282" t="s">
        <v>1934</v>
      </c>
      <c r="G282" t="s">
        <v>1797</v>
      </c>
      <c r="H282" t="s">
        <v>1963</v>
      </c>
      <c r="I282" t="s">
        <v>1799</v>
      </c>
      <c r="J282" t="s">
        <v>1799</v>
      </c>
      <c r="K282" t="s">
        <v>1799</v>
      </c>
      <c r="L282" t="s">
        <v>1799</v>
      </c>
      <c r="M282" t="s">
        <v>1799</v>
      </c>
      <c r="N282" t="s">
        <v>1799</v>
      </c>
      <c r="O282" s="184" t="str">
        <f>"["&amp;$C282&amp;"]["&amp;$D282&amp;"]["&amp;$F282&amp;"]"</f>
        <v>[S05_DefaultValues][31][FuelMaterialType]</v>
      </c>
    </row>
    <row r="283" spans="1:15" x14ac:dyDescent="0.3">
      <c r="A283" t="s">
        <v>1793</v>
      </c>
      <c r="B283" t="s">
        <v>1924</v>
      </c>
      <c r="C283" t="s">
        <v>1932</v>
      </c>
      <c r="D283">
        <v>32</v>
      </c>
      <c r="E283" t="s">
        <v>1447</v>
      </c>
      <c r="F283" t="s">
        <v>1934</v>
      </c>
      <c r="G283" t="s">
        <v>1797</v>
      </c>
      <c r="H283" t="s">
        <v>1964</v>
      </c>
      <c r="I283" t="s">
        <v>1799</v>
      </c>
      <c r="J283" t="s">
        <v>1799</v>
      </c>
      <c r="K283" t="s">
        <v>1799</v>
      </c>
      <c r="L283" t="s">
        <v>1799</v>
      </c>
      <c r="M283" t="s">
        <v>1799</v>
      </c>
      <c r="N283" t="s">
        <v>1799</v>
      </c>
      <c r="O283" s="184" t="str">
        <f>"["&amp;$C283&amp;"]["&amp;$D283&amp;"]["&amp;$F283&amp;"]"</f>
        <v>[S05_DefaultValues][32][FuelMaterialType]</v>
      </c>
    </row>
    <row r="284" spans="1:15" x14ac:dyDescent="0.3">
      <c r="A284" t="s">
        <v>1793</v>
      </c>
      <c r="B284" t="s">
        <v>1924</v>
      </c>
      <c r="C284" t="s">
        <v>1932</v>
      </c>
      <c r="D284">
        <v>33</v>
      </c>
      <c r="E284" t="s">
        <v>1447</v>
      </c>
      <c r="F284" t="s">
        <v>1934</v>
      </c>
      <c r="G284" t="s">
        <v>1797</v>
      </c>
      <c r="H284" t="s">
        <v>1965</v>
      </c>
      <c r="I284" t="s">
        <v>1799</v>
      </c>
      <c r="J284" t="s">
        <v>1799</v>
      </c>
      <c r="K284" t="s">
        <v>1799</v>
      </c>
      <c r="L284" t="s">
        <v>1799</v>
      </c>
      <c r="M284" t="s">
        <v>1799</v>
      </c>
      <c r="N284" t="s">
        <v>1799</v>
      </c>
      <c r="O284" s="184" t="str">
        <f>"["&amp;$C284&amp;"]["&amp;$D284&amp;"]["&amp;$F284&amp;"]"</f>
        <v>[S05_DefaultValues][33][FuelMaterialType]</v>
      </c>
    </row>
    <row r="285" spans="1:15" x14ac:dyDescent="0.3">
      <c r="A285" t="s">
        <v>1793</v>
      </c>
      <c r="B285" t="s">
        <v>1924</v>
      </c>
      <c r="C285" t="s">
        <v>1932</v>
      </c>
      <c r="D285">
        <v>34</v>
      </c>
      <c r="E285" t="s">
        <v>1447</v>
      </c>
      <c r="F285" t="s">
        <v>1934</v>
      </c>
      <c r="G285" t="s">
        <v>1797</v>
      </c>
      <c r="H285" t="s">
        <v>1966</v>
      </c>
      <c r="I285" t="s">
        <v>1799</v>
      </c>
      <c r="J285" t="s">
        <v>1799</v>
      </c>
      <c r="K285" t="s">
        <v>1799</v>
      </c>
      <c r="L285" t="s">
        <v>1799</v>
      </c>
      <c r="M285" t="s">
        <v>1799</v>
      </c>
      <c r="N285" t="s">
        <v>1799</v>
      </c>
      <c r="O285" s="184" t="str">
        <f>"["&amp;$C285&amp;"]["&amp;$D285&amp;"]["&amp;$F285&amp;"]"</f>
        <v>[S05_DefaultValues][34][FuelMaterialType]</v>
      </c>
    </row>
    <row r="286" spans="1:15" x14ac:dyDescent="0.3">
      <c r="A286" t="s">
        <v>1793</v>
      </c>
      <c r="B286" t="s">
        <v>1924</v>
      </c>
      <c r="C286" t="s">
        <v>1932</v>
      </c>
      <c r="D286">
        <v>35</v>
      </c>
      <c r="E286" t="s">
        <v>1447</v>
      </c>
      <c r="F286" t="s">
        <v>1934</v>
      </c>
      <c r="G286" t="s">
        <v>1797</v>
      </c>
      <c r="H286" t="s">
        <v>1967</v>
      </c>
      <c r="I286" t="s">
        <v>1799</v>
      </c>
      <c r="J286" t="s">
        <v>1799</v>
      </c>
      <c r="K286" t="s">
        <v>1799</v>
      </c>
      <c r="L286" t="s">
        <v>1799</v>
      </c>
      <c r="M286" t="s">
        <v>1799</v>
      </c>
      <c r="N286" t="s">
        <v>1799</v>
      </c>
      <c r="O286" s="184" t="str">
        <f>"["&amp;$C286&amp;"]["&amp;$D286&amp;"]["&amp;$F286&amp;"]"</f>
        <v>[S05_DefaultValues][35][FuelMaterialType]</v>
      </c>
    </row>
    <row r="287" spans="1:15" x14ac:dyDescent="0.3">
      <c r="A287" t="s">
        <v>1793</v>
      </c>
      <c r="B287" t="s">
        <v>1924</v>
      </c>
      <c r="C287" t="s">
        <v>1932</v>
      </c>
      <c r="D287">
        <v>36</v>
      </c>
      <c r="E287" t="s">
        <v>1447</v>
      </c>
      <c r="F287" t="s">
        <v>1934</v>
      </c>
      <c r="G287" t="s">
        <v>1797</v>
      </c>
      <c r="H287" t="s">
        <v>1968</v>
      </c>
      <c r="I287" t="s">
        <v>1799</v>
      </c>
      <c r="J287" t="s">
        <v>1799</v>
      </c>
      <c r="K287" t="s">
        <v>1799</v>
      </c>
      <c r="L287" t="s">
        <v>1799</v>
      </c>
      <c r="M287" t="s">
        <v>1799</v>
      </c>
      <c r="N287" t="s">
        <v>1799</v>
      </c>
      <c r="O287" s="184" t="str">
        <f>"["&amp;$C287&amp;"]["&amp;$D287&amp;"]["&amp;$F287&amp;"]"</f>
        <v>[S05_DefaultValues][36][FuelMaterialType]</v>
      </c>
    </row>
    <row r="288" spans="1:15" x14ac:dyDescent="0.3">
      <c r="A288" t="s">
        <v>1793</v>
      </c>
      <c r="B288" t="s">
        <v>1924</v>
      </c>
      <c r="C288" t="s">
        <v>1932</v>
      </c>
      <c r="D288">
        <v>37</v>
      </c>
      <c r="E288" t="s">
        <v>1447</v>
      </c>
      <c r="F288" t="s">
        <v>1934</v>
      </c>
      <c r="G288" t="s">
        <v>1797</v>
      </c>
      <c r="H288" t="s">
        <v>1969</v>
      </c>
      <c r="I288" t="s">
        <v>1799</v>
      </c>
      <c r="J288" t="s">
        <v>1799</v>
      </c>
      <c r="K288" t="s">
        <v>1799</v>
      </c>
      <c r="L288" t="s">
        <v>1799</v>
      </c>
      <c r="M288" t="s">
        <v>1799</v>
      </c>
      <c r="N288" t="s">
        <v>1799</v>
      </c>
      <c r="O288" s="184" t="str">
        <f>"["&amp;$C288&amp;"]["&amp;$D288&amp;"]["&amp;$F288&amp;"]"</f>
        <v>[S05_DefaultValues][37][FuelMaterialType]</v>
      </c>
    </row>
    <row r="289" spans="1:15" x14ac:dyDescent="0.3">
      <c r="A289" t="s">
        <v>1793</v>
      </c>
      <c r="B289" t="s">
        <v>1924</v>
      </c>
      <c r="C289" t="s">
        <v>1932</v>
      </c>
      <c r="D289">
        <v>38</v>
      </c>
      <c r="E289" t="s">
        <v>1447</v>
      </c>
      <c r="F289" t="s">
        <v>1934</v>
      </c>
      <c r="G289" t="s">
        <v>1797</v>
      </c>
      <c r="H289" t="s">
        <v>1970</v>
      </c>
      <c r="I289" t="s">
        <v>1799</v>
      </c>
      <c r="J289" t="s">
        <v>1799</v>
      </c>
      <c r="K289" t="s">
        <v>1799</v>
      </c>
      <c r="L289" t="s">
        <v>1799</v>
      </c>
      <c r="M289" t="s">
        <v>1799</v>
      </c>
      <c r="N289" t="s">
        <v>1799</v>
      </c>
      <c r="O289" s="184" t="str">
        <f>"["&amp;$C289&amp;"]["&amp;$D289&amp;"]["&amp;$F289&amp;"]"</f>
        <v>[S05_DefaultValues][38][FuelMaterialType]</v>
      </c>
    </row>
    <row r="290" spans="1:15" x14ac:dyDescent="0.3">
      <c r="A290" t="s">
        <v>1793</v>
      </c>
      <c r="B290" t="s">
        <v>1924</v>
      </c>
      <c r="C290" t="s">
        <v>1932</v>
      </c>
      <c r="D290">
        <v>39</v>
      </c>
      <c r="E290" t="s">
        <v>1447</v>
      </c>
      <c r="F290" t="s">
        <v>1934</v>
      </c>
      <c r="G290" t="s">
        <v>1797</v>
      </c>
      <c r="H290" t="s">
        <v>1971</v>
      </c>
      <c r="I290" t="s">
        <v>1799</v>
      </c>
      <c r="J290" t="s">
        <v>1799</v>
      </c>
      <c r="K290" t="s">
        <v>1799</v>
      </c>
      <c r="L290" t="s">
        <v>1799</v>
      </c>
      <c r="M290" t="s">
        <v>1799</v>
      </c>
      <c r="N290" t="s">
        <v>1799</v>
      </c>
      <c r="O290" s="184" t="str">
        <f>"["&amp;$C290&amp;"]["&amp;$D290&amp;"]["&amp;$F290&amp;"]"</f>
        <v>[S05_DefaultValues][39][FuelMaterialType]</v>
      </c>
    </row>
    <row r="291" spans="1:15" x14ac:dyDescent="0.3">
      <c r="A291" t="s">
        <v>1793</v>
      </c>
      <c r="B291" t="s">
        <v>1924</v>
      </c>
      <c r="C291" t="s">
        <v>1932</v>
      </c>
      <c r="D291">
        <v>40</v>
      </c>
      <c r="E291" t="s">
        <v>1447</v>
      </c>
      <c r="F291" t="s">
        <v>1934</v>
      </c>
      <c r="G291" t="s">
        <v>1797</v>
      </c>
      <c r="H291" t="s">
        <v>1972</v>
      </c>
      <c r="I291" t="s">
        <v>1799</v>
      </c>
      <c r="J291" t="s">
        <v>1799</v>
      </c>
      <c r="K291" t="s">
        <v>1799</v>
      </c>
      <c r="L291" t="s">
        <v>1799</v>
      </c>
      <c r="M291" t="s">
        <v>1799</v>
      </c>
      <c r="N291" t="s">
        <v>1799</v>
      </c>
      <c r="O291" s="184" t="str">
        <f>"["&amp;$C291&amp;"]["&amp;$D291&amp;"]["&amp;$F291&amp;"]"</f>
        <v>[S05_DefaultValues][40][FuelMaterialType]</v>
      </c>
    </row>
    <row r="292" spans="1:15" x14ac:dyDescent="0.3">
      <c r="A292" t="s">
        <v>1793</v>
      </c>
      <c r="B292" t="s">
        <v>1924</v>
      </c>
      <c r="C292" t="s">
        <v>1932</v>
      </c>
      <c r="D292">
        <v>41</v>
      </c>
      <c r="E292" t="s">
        <v>1447</v>
      </c>
      <c r="F292" t="s">
        <v>1934</v>
      </c>
      <c r="G292" t="s">
        <v>1797</v>
      </c>
      <c r="H292" t="s">
        <v>1973</v>
      </c>
      <c r="I292" t="s">
        <v>1799</v>
      </c>
      <c r="J292" t="s">
        <v>1799</v>
      </c>
      <c r="K292" t="s">
        <v>1799</v>
      </c>
      <c r="L292" t="s">
        <v>1799</v>
      </c>
      <c r="M292" t="s">
        <v>1799</v>
      </c>
      <c r="N292" t="s">
        <v>1799</v>
      </c>
      <c r="O292" s="184" t="str">
        <f>"["&amp;$C292&amp;"]["&amp;$D292&amp;"]["&amp;$F292&amp;"]"</f>
        <v>[S05_DefaultValues][41][FuelMaterialType]</v>
      </c>
    </row>
    <row r="293" spans="1:15" x14ac:dyDescent="0.3">
      <c r="A293" t="s">
        <v>1793</v>
      </c>
      <c r="B293" t="s">
        <v>1924</v>
      </c>
      <c r="C293" t="s">
        <v>1932</v>
      </c>
      <c r="D293">
        <v>42</v>
      </c>
      <c r="E293" t="s">
        <v>1447</v>
      </c>
      <c r="F293" t="s">
        <v>1934</v>
      </c>
      <c r="G293" t="s">
        <v>1797</v>
      </c>
      <c r="H293" t="s">
        <v>1936</v>
      </c>
      <c r="I293" t="s">
        <v>1799</v>
      </c>
      <c r="J293" t="s">
        <v>1799</v>
      </c>
      <c r="K293" t="s">
        <v>1799</v>
      </c>
      <c r="L293" t="s">
        <v>1799</v>
      </c>
      <c r="M293" t="s">
        <v>1799</v>
      </c>
      <c r="N293" t="s">
        <v>1799</v>
      </c>
      <c r="O293" s="184" t="str">
        <f>"["&amp;$C293&amp;"]["&amp;$D293&amp;"]["&amp;$F293&amp;"]"</f>
        <v>[S05_DefaultValues][42][FuelMaterialType]</v>
      </c>
    </row>
    <row r="294" spans="1:15" x14ac:dyDescent="0.3">
      <c r="A294" t="s">
        <v>1793</v>
      </c>
      <c r="B294" t="s">
        <v>1924</v>
      </c>
      <c r="C294" t="s">
        <v>1932</v>
      </c>
      <c r="D294">
        <v>43</v>
      </c>
      <c r="E294" t="s">
        <v>1447</v>
      </c>
      <c r="F294" t="s">
        <v>1934</v>
      </c>
      <c r="G294" t="s">
        <v>1797</v>
      </c>
      <c r="H294" t="s">
        <v>1940</v>
      </c>
      <c r="I294" t="s">
        <v>1799</v>
      </c>
      <c r="J294" t="s">
        <v>1799</v>
      </c>
      <c r="K294" t="s">
        <v>1799</v>
      </c>
      <c r="L294" t="s">
        <v>1799</v>
      </c>
      <c r="M294" t="s">
        <v>1799</v>
      </c>
      <c r="N294" t="s">
        <v>1799</v>
      </c>
      <c r="O294" s="184" t="str">
        <f>"["&amp;$C294&amp;"]["&amp;$D294&amp;"]["&amp;$F294&amp;"]"</f>
        <v>[S05_DefaultValues][43][FuelMaterialType]</v>
      </c>
    </row>
    <row r="295" spans="1:15" x14ac:dyDescent="0.3">
      <c r="A295" t="s">
        <v>1793</v>
      </c>
      <c r="B295" t="s">
        <v>1924</v>
      </c>
      <c r="C295" t="s">
        <v>1932</v>
      </c>
      <c r="D295">
        <v>44</v>
      </c>
      <c r="E295" t="s">
        <v>1447</v>
      </c>
      <c r="F295" t="s">
        <v>1934</v>
      </c>
      <c r="G295" t="s">
        <v>1797</v>
      </c>
      <c r="H295" t="s">
        <v>1946</v>
      </c>
      <c r="I295" t="s">
        <v>1799</v>
      </c>
      <c r="J295" t="s">
        <v>1799</v>
      </c>
      <c r="K295" t="s">
        <v>1799</v>
      </c>
      <c r="L295" t="s">
        <v>1799</v>
      </c>
      <c r="M295" t="s">
        <v>1799</v>
      </c>
      <c r="N295" t="s">
        <v>1799</v>
      </c>
      <c r="O295" s="184" t="str">
        <f>"["&amp;$C295&amp;"]["&amp;$D295&amp;"]["&amp;$F295&amp;"]"</f>
        <v>[S05_DefaultValues][44][FuelMaterialType]</v>
      </c>
    </row>
    <row r="296" spans="1:15" x14ac:dyDescent="0.3">
      <c r="A296" t="s">
        <v>1793</v>
      </c>
      <c r="B296" t="s">
        <v>1924</v>
      </c>
      <c r="C296" t="s">
        <v>1932</v>
      </c>
      <c r="D296">
        <v>45</v>
      </c>
      <c r="E296" t="s">
        <v>1447</v>
      </c>
      <c r="F296" t="s">
        <v>1934</v>
      </c>
      <c r="G296" t="s">
        <v>1797</v>
      </c>
      <c r="H296" t="s">
        <v>1947</v>
      </c>
      <c r="I296" t="s">
        <v>1799</v>
      </c>
      <c r="J296" t="s">
        <v>1799</v>
      </c>
      <c r="K296" t="s">
        <v>1799</v>
      </c>
      <c r="L296" t="s">
        <v>1799</v>
      </c>
      <c r="M296" t="s">
        <v>1799</v>
      </c>
      <c r="N296" t="s">
        <v>1799</v>
      </c>
      <c r="O296" s="184" t="str">
        <f>"["&amp;$C296&amp;"]["&amp;$D296&amp;"]["&amp;$F296&amp;"]"</f>
        <v>[S05_DefaultValues][45][FuelMaterialType]</v>
      </c>
    </row>
    <row r="297" spans="1:15" x14ac:dyDescent="0.3">
      <c r="A297" t="s">
        <v>1793</v>
      </c>
      <c r="B297" t="s">
        <v>1924</v>
      </c>
      <c r="C297" t="s">
        <v>1932</v>
      </c>
      <c r="D297">
        <v>46</v>
      </c>
      <c r="E297" t="s">
        <v>1447</v>
      </c>
      <c r="F297" t="s">
        <v>1934</v>
      </c>
      <c r="G297" t="s">
        <v>1797</v>
      </c>
      <c r="H297" t="s">
        <v>1949</v>
      </c>
      <c r="I297" t="s">
        <v>1799</v>
      </c>
      <c r="J297" t="s">
        <v>1799</v>
      </c>
      <c r="K297" t="s">
        <v>1799</v>
      </c>
      <c r="L297" t="s">
        <v>1799</v>
      </c>
      <c r="M297" t="s">
        <v>1799</v>
      </c>
      <c r="N297" t="s">
        <v>1799</v>
      </c>
      <c r="O297" s="184" t="str">
        <f>"["&amp;$C297&amp;"]["&amp;$D297&amp;"]["&amp;$F297&amp;"]"</f>
        <v>[S05_DefaultValues][46][FuelMaterialType]</v>
      </c>
    </row>
    <row r="298" spans="1:15" x14ac:dyDescent="0.3">
      <c r="A298" t="s">
        <v>1793</v>
      </c>
      <c r="B298" t="s">
        <v>1924</v>
      </c>
      <c r="C298" t="s">
        <v>1932</v>
      </c>
      <c r="D298">
        <v>47</v>
      </c>
      <c r="E298" t="s">
        <v>1447</v>
      </c>
      <c r="F298" t="s">
        <v>1934</v>
      </c>
      <c r="G298" t="s">
        <v>1797</v>
      </c>
      <c r="H298" t="s">
        <v>1935</v>
      </c>
      <c r="I298" t="s">
        <v>1799</v>
      </c>
      <c r="J298" t="s">
        <v>1799</v>
      </c>
      <c r="K298" t="s">
        <v>1799</v>
      </c>
      <c r="L298" t="s">
        <v>1799</v>
      </c>
      <c r="M298" t="s">
        <v>1799</v>
      </c>
      <c r="N298" t="s">
        <v>1799</v>
      </c>
      <c r="O298" s="184" t="str">
        <f>"["&amp;$C298&amp;"]["&amp;$D298&amp;"]["&amp;$F298&amp;"]"</f>
        <v>[S05_DefaultValues][47][FuelMaterialType]</v>
      </c>
    </row>
    <row r="299" spans="1:15" x14ac:dyDescent="0.3">
      <c r="A299" t="s">
        <v>1793</v>
      </c>
      <c r="B299" t="s">
        <v>1924</v>
      </c>
      <c r="C299" t="s">
        <v>1932</v>
      </c>
      <c r="D299">
        <v>48</v>
      </c>
      <c r="E299" t="s">
        <v>1447</v>
      </c>
      <c r="F299" t="s">
        <v>1934</v>
      </c>
      <c r="G299" t="s">
        <v>1797</v>
      </c>
      <c r="H299" t="s">
        <v>1958</v>
      </c>
      <c r="I299" t="s">
        <v>1799</v>
      </c>
      <c r="J299" t="s">
        <v>1799</v>
      </c>
      <c r="K299" t="s">
        <v>1799</v>
      </c>
      <c r="L299" t="s">
        <v>1799</v>
      </c>
      <c r="M299" t="s">
        <v>1799</v>
      </c>
      <c r="N299" t="s">
        <v>1799</v>
      </c>
      <c r="O299" s="184" t="str">
        <f>"["&amp;$C299&amp;"]["&amp;$D299&amp;"]["&amp;$F299&amp;"]"</f>
        <v>[S05_DefaultValues][48][FuelMaterialType]</v>
      </c>
    </row>
    <row r="300" spans="1:15" x14ac:dyDescent="0.3">
      <c r="A300" t="s">
        <v>1793</v>
      </c>
      <c r="B300" t="s">
        <v>1924</v>
      </c>
      <c r="C300" t="s">
        <v>1932</v>
      </c>
      <c r="D300">
        <v>49</v>
      </c>
      <c r="E300" t="s">
        <v>1447</v>
      </c>
      <c r="F300" t="s">
        <v>1934</v>
      </c>
      <c r="G300" t="s">
        <v>1797</v>
      </c>
      <c r="H300" t="s">
        <v>1964</v>
      </c>
      <c r="I300" t="s">
        <v>1799</v>
      </c>
      <c r="J300" t="s">
        <v>1799</v>
      </c>
      <c r="K300" t="s">
        <v>1799</v>
      </c>
      <c r="L300" t="s">
        <v>1799</v>
      </c>
      <c r="M300" t="s">
        <v>1799</v>
      </c>
      <c r="N300" t="s">
        <v>1799</v>
      </c>
      <c r="O300" s="184" t="str">
        <f>"["&amp;$C300&amp;"]["&amp;$D300&amp;"]["&amp;$F300&amp;"]"</f>
        <v>[S05_DefaultValues][49][FuelMaterialType]</v>
      </c>
    </row>
    <row r="301" spans="1:15" x14ac:dyDescent="0.3">
      <c r="A301" t="s">
        <v>1793</v>
      </c>
      <c r="B301" t="s">
        <v>1924</v>
      </c>
      <c r="C301" t="s">
        <v>1932</v>
      </c>
      <c r="D301">
        <v>50</v>
      </c>
      <c r="E301" t="s">
        <v>1447</v>
      </c>
      <c r="F301" t="s">
        <v>1934</v>
      </c>
      <c r="G301" t="s">
        <v>1797</v>
      </c>
      <c r="H301" t="s">
        <v>1974</v>
      </c>
      <c r="I301" t="s">
        <v>1799</v>
      </c>
      <c r="J301" t="s">
        <v>1799</v>
      </c>
      <c r="K301" t="s">
        <v>1799</v>
      </c>
      <c r="L301" t="s">
        <v>1799</v>
      </c>
      <c r="M301" t="s">
        <v>1799</v>
      </c>
      <c r="N301" t="s">
        <v>1799</v>
      </c>
      <c r="O301" s="184" t="str">
        <f>"["&amp;$C301&amp;"]["&amp;$D301&amp;"]["&amp;$F301&amp;"]"</f>
        <v>[S05_DefaultValues][50][FuelMaterialType]</v>
      </c>
    </row>
    <row r="302" spans="1:15" x14ac:dyDescent="0.3">
      <c r="A302" t="s">
        <v>1793</v>
      </c>
      <c r="B302" t="s">
        <v>1924</v>
      </c>
      <c r="C302" t="s">
        <v>1932</v>
      </c>
      <c r="D302">
        <v>51</v>
      </c>
      <c r="E302" t="s">
        <v>1447</v>
      </c>
      <c r="F302" t="s">
        <v>1934</v>
      </c>
      <c r="G302" t="s">
        <v>1797</v>
      </c>
      <c r="H302" t="s">
        <v>1975</v>
      </c>
      <c r="I302" t="s">
        <v>1799</v>
      </c>
      <c r="J302" t="s">
        <v>1799</v>
      </c>
      <c r="K302" t="s">
        <v>1799</v>
      </c>
      <c r="L302" t="s">
        <v>1799</v>
      </c>
      <c r="M302" t="s">
        <v>1799</v>
      </c>
      <c r="N302" t="s">
        <v>1799</v>
      </c>
      <c r="O302" s="184" t="str">
        <f>"["&amp;$C302&amp;"]["&amp;$D302&amp;"]["&amp;$F302&amp;"]"</f>
        <v>[S05_DefaultValues][51][FuelMaterialType]</v>
      </c>
    </row>
    <row r="303" spans="1:15" x14ac:dyDescent="0.3">
      <c r="A303" t="s">
        <v>1793</v>
      </c>
      <c r="B303" t="s">
        <v>1924</v>
      </c>
      <c r="C303" t="s">
        <v>1932</v>
      </c>
      <c r="D303">
        <v>52</v>
      </c>
      <c r="E303" t="s">
        <v>1447</v>
      </c>
      <c r="F303" t="s">
        <v>1934</v>
      </c>
      <c r="G303" t="s">
        <v>1797</v>
      </c>
      <c r="H303" t="s">
        <v>1966</v>
      </c>
      <c r="I303" t="s">
        <v>1799</v>
      </c>
      <c r="J303" t="s">
        <v>1799</v>
      </c>
      <c r="K303" t="s">
        <v>1799</v>
      </c>
      <c r="L303" t="s">
        <v>1799</v>
      </c>
      <c r="M303" t="s">
        <v>1799</v>
      </c>
      <c r="N303" t="s">
        <v>1799</v>
      </c>
      <c r="O303" s="184" t="str">
        <f>"["&amp;$C303&amp;"]["&amp;$D303&amp;"]["&amp;$F303&amp;"]"</f>
        <v>[S05_DefaultValues][52][FuelMaterialType]</v>
      </c>
    </row>
    <row r="304" spans="1:15" x14ac:dyDescent="0.3">
      <c r="A304" t="s">
        <v>1793</v>
      </c>
      <c r="B304" t="s">
        <v>1924</v>
      </c>
      <c r="C304" t="s">
        <v>1932</v>
      </c>
      <c r="D304">
        <v>53</v>
      </c>
      <c r="E304" t="s">
        <v>1447</v>
      </c>
      <c r="F304" t="s">
        <v>1934</v>
      </c>
      <c r="G304" t="s">
        <v>1797</v>
      </c>
      <c r="H304" t="s">
        <v>1976</v>
      </c>
      <c r="I304" t="s">
        <v>1799</v>
      </c>
      <c r="J304" t="s">
        <v>1799</v>
      </c>
      <c r="K304" t="s">
        <v>1799</v>
      </c>
      <c r="L304" t="s">
        <v>1799</v>
      </c>
      <c r="M304" t="s">
        <v>1799</v>
      </c>
      <c r="N304" t="s">
        <v>1799</v>
      </c>
      <c r="O304" s="184" t="str">
        <f>"["&amp;$C304&amp;"]["&amp;$D304&amp;"]["&amp;$F304&amp;"]"</f>
        <v>[S05_DefaultValues][53][FuelMaterialType]</v>
      </c>
    </row>
    <row r="305" spans="1:15" x14ac:dyDescent="0.3">
      <c r="A305" t="s">
        <v>1793</v>
      </c>
      <c r="B305" t="s">
        <v>1924</v>
      </c>
      <c r="C305" t="s">
        <v>1932</v>
      </c>
      <c r="D305">
        <v>1</v>
      </c>
      <c r="E305" t="s">
        <v>1447</v>
      </c>
      <c r="F305" t="s">
        <v>1977</v>
      </c>
      <c r="G305" t="s">
        <v>1811</v>
      </c>
      <c r="H305" t="s">
        <v>1799</v>
      </c>
      <c r="I305">
        <v>1</v>
      </c>
      <c r="J305" t="s">
        <v>1799</v>
      </c>
      <c r="K305" t="s">
        <v>1799</v>
      </c>
      <c r="L305" t="s">
        <v>1799</v>
      </c>
      <c r="M305" t="s">
        <v>1799</v>
      </c>
      <c r="N305" t="s">
        <v>1799</v>
      </c>
      <c r="O305" s="184" t="str">
        <f>"["&amp;$C305&amp;"]["&amp;$D305&amp;"]["&amp;$F305&amp;"]"</f>
        <v>[S05_DefaultValues][1][InstallationNumber]</v>
      </c>
    </row>
    <row r="306" spans="1:15" x14ac:dyDescent="0.3">
      <c r="A306" t="s">
        <v>1793</v>
      </c>
      <c r="B306" t="s">
        <v>1924</v>
      </c>
      <c r="C306" t="s">
        <v>1932</v>
      </c>
      <c r="D306">
        <v>2</v>
      </c>
      <c r="E306" t="s">
        <v>1447</v>
      </c>
      <c r="F306" t="s">
        <v>1977</v>
      </c>
      <c r="G306" t="s">
        <v>1811</v>
      </c>
      <c r="H306" t="s">
        <v>1799</v>
      </c>
      <c r="I306">
        <v>9</v>
      </c>
      <c r="J306" t="s">
        <v>1799</v>
      </c>
      <c r="K306" t="s">
        <v>1799</v>
      </c>
      <c r="L306" t="s">
        <v>1799</v>
      </c>
      <c r="M306" t="s">
        <v>1799</v>
      </c>
      <c r="N306" t="s">
        <v>1799</v>
      </c>
      <c r="O306" s="184" t="str">
        <f>"["&amp;$C306&amp;"]["&amp;$D306&amp;"]["&amp;$F306&amp;"]"</f>
        <v>[S05_DefaultValues][2][InstallationNumber]</v>
      </c>
    </row>
    <row r="307" spans="1:15" x14ac:dyDescent="0.3">
      <c r="A307" t="s">
        <v>1793</v>
      </c>
      <c r="B307" t="s">
        <v>1924</v>
      </c>
      <c r="C307" t="s">
        <v>1932</v>
      </c>
      <c r="D307">
        <v>3</v>
      </c>
      <c r="E307" t="s">
        <v>1447</v>
      </c>
      <c r="F307" t="s">
        <v>1977</v>
      </c>
      <c r="G307" t="s">
        <v>1811</v>
      </c>
      <c r="H307" t="s">
        <v>1799</v>
      </c>
      <c r="I307">
        <v>7</v>
      </c>
      <c r="J307" t="s">
        <v>1799</v>
      </c>
      <c r="K307" t="s">
        <v>1799</v>
      </c>
      <c r="L307" t="s">
        <v>1799</v>
      </c>
      <c r="M307" t="s">
        <v>1799</v>
      </c>
      <c r="N307" t="s">
        <v>1799</v>
      </c>
      <c r="O307" s="184" t="str">
        <f>"["&amp;$C307&amp;"]["&amp;$D307&amp;"]["&amp;$F307&amp;"]"</f>
        <v>[S05_DefaultValues][3][InstallationNumber]</v>
      </c>
    </row>
    <row r="308" spans="1:15" x14ac:dyDescent="0.3">
      <c r="A308" t="s">
        <v>1793</v>
      </c>
      <c r="B308" t="s">
        <v>1924</v>
      </c>
      <c r="C308" t="s">
        <v>1932</v>
      </c>
      <c r="D308">
        <v>4</v>
      </c>
      <c r="E308" t="s">
        <v>1447</v>
      </c>
      <c r="F308" t="s">
        <v>1977</v>
      </c>
      <c r="G308" t="s">
        <v>1811</v>
      </c>
      <c r="H308" t="s">
        <v>1799</v>
      </c>
      <c r="I308">
        <v>1</v>
      </c>
      <c r="J308" t="s">
        <v>1799</v>
      </c>
      <c r="K308" t="s">
        <v>1799</v>
      </c>
      <c r="L308" t="s">
        <v>1799</v>
      </c>
      <c r="M308" t="s">
        <v>1799</v>
      </c>
      <c r="N308" t="s">
        <v>1799</v>
      </c>
      <c r="O308" s="184" t="str">
        <f>"["&amp;$C308&amp;"]["&amp;$D308&amp;"]["&amp;$F308&amp;"]"</f>
        <v>[S05_DefaultValues][4][InstallationNumber]</v>
      </c>
    </row>
    <row r="309" spans="1:15" x14ac:dyDescent="0.3">
      <c r="A309" t="s">
        <v>1793</v>
      </c>
      <c r="B309" t="s">
        <v>1924</v>
      </c>
      <c r="C309" t="s">
        <v>1932</v>
      </c>
      <c r="D309">
        <v>5</v>
      </c>
      <c r="E309" t="s">
        <v>1447</v>
      </c>
      <c r="F309" t="s">
        <v>1977</v>
      </c>
      <c r="G309" t="s">
        <v>1811</v>
      </c>
      <c r="H309" t="s">
        <v>1799</v>
      </c>
      <c r="I309">
        <v>1</v>
      </c>
      <c r="J309" t="s">
        <v>1799</v>
      </c>
      <c r="K309" t="s">
        <v>1799</v>
      </c>
      <c r="L309" t="s">
        <v>1799</v>
      </c>
      <c r="M309" t="s">
        <v>1799</v>
      </c>
      <c r="N309" t="s">
        <v>1799</v>
      </c>
      <c r="O309" s="184" t="str">
        <f>"["&amp;$C309&amp;"]["&amp;$D309&amp;"]["&amp;$F309&amp;"]"</f>
        <v>[S05_DefaultValues][5][InstallationNumber]</v>
      </c>
    </row>
    <row r="310" spans="1:15" x14ac:dyDescent="0.3">
      <c r="A310" t="s">
        <v>1793</v>
      </c>
      <c r="B310" t="s">
        <v>1924</v>
      </c>
      <c r="C310" t="s">
        <v>1932</v>
      </c>
      <c r="D310">
        <v>6</v>
      </c>
      <c r="E310" t="s">
        <v>1447</v>
      </c>
      <c r="F310" t="s">
        <v>1977</v>
      </c>
      <c r="G310" t="s">
        <v>1811</v>
      </c>
      <c r="H310" t="s">
        <v>1799</v>
      </c>
      <c r="I310">
        <v>1</v>
      </c>
      <c r="J310" t="s">
        <v>1799</v>
      </c>
      <c r="K310" t="s">
        <v>1799</v>
      </c>
      <c r="L310" t="s">
        <v>1799</v>
      </c>
      <c r="M310" t="s">
        <v>1799</v>
      </c>
      <c r="N310" t="s">
        <v>1799</v>
      </c>
      <c r="O310" s="184" t="str">
        <f>"["&amp;$C310&amp;"]["&amp;$D310&amp;"]["&amp;$F310&amp;"]"</f>
        <v>[S05_DefaultValues][6][InstallationNumber]</v>
      </c>
    </row>
    <row r="311" spans="1:15" x14ac:dyDescent="0.3">
      <c r="A311" t="s">
        <v>1793</v>
      </c>
      <c r="B311" t="s">
        <v>1924</v>
      </c>
      <c r="C311" t="s">
        <v>1932</v>
      </c>
      <c r="D311">
        <v>7</v>
      </c>
      <c r="E311" t="s">
        <v>1447</v>
      </c>
      <c r="F311" t="s">
        <v>1977</v>
      </c>
      <c r="G311" t="s">
        <v>1811</v>
      </c>
      <c r="H311" t="s">
        <v>1799</v>
      </c>
      <c r="I311">
        <v>40</v>
      </c>
      <c r="J311" t="s">
        <v>1799</v>
      </c>
      <c r="K311" t="s">
        <v>1799</v>
      </c>
      <c r="L311" t="s">
        <v>1799</v>
      </c>
      <c r="M311" t="s">
        <v>1799</v>
      </c>
      <c r="N311" t="s">
        <v>1799</v>
      </c>
      <c r="O311" s="184" t="str">
        <f>"["&amp;$C311&amp;"]["&amp;$D311&amp;"]["&amp;$F311&amp;"]"</f>
        <v>[S05_DefaultValues][7][InstallationNumber]</v>
      </c>
    </row>
    <row r="312" spans="1:15" x14ac:dyDescent="0.3">
      <c r="A312" t="s">
        <v>1793</v>
      </c>
      <c r="B312" t="s">
        <v>1924</v>
      </c>
      <c r="C312" t="s">
        <v>1932</v>
      </c>
      <c r="D312">
        <v>8</v>
      </c>
      <c r="E312" t="s">
        <v>1447</v>
      </c>
      <c r="F312" t="s">
        <v>1977</v>
      </c>
      <c r="G312" t="s">
        <v>1811</v>
      </c>
      <c r="H312" t="s">
        <v>1799</v>
      </c>
      <c r="I312">
        <v>2</v>
      </c>
      <c r="J312" t="s">
        <v>1799</v>
      </c>
      <c r="K312" t="s">
        <v>1799</v>
      </c>
      <c r="L312" t="s">
        <v>1799</v>
      </c>
      <c r="M312" t="s">
        <v>1799</v>
      </c>
      <c r="N312" t="s">
        <v>1799</v>
      </c>
      <c r="O312" s="184" t="str">
        <f>"["&amp;$C312&amp;"]["&amp;$D312&amp;"]["&amp;$F312&amp;"]"</f>
        <v>[S05_DefaultValues][8][InstallationNumber]</v>
      </c>
    </row>
    <row r="313" spans="1:15" x14ac:dyDescent="0.3">
      <c r="A313" t="s">
        <v>1793</v>
      </c>
      <c r="B313" t="s">
        <v>1924</v>
      </c>
      <c r="C313" t="s">
        <v>1932</v>
      </c>
      <c r="D313">
        <v>9</v>
      </c>
      <c r="E313" t="s">
        <v>1447</v>
      </c>
      <c r="F313" t="s">
        <v>1977</v>
      </c>
      <c r="G313" t="s">
        <v>1811</v>
      </c>
      <c r="H313" t="s">
        <v>1799</v>
      </c>
      <c r="I313">
        <v>8</v>
      </c>
      <c r="J313" t="s">
        <v>1799</v>
      </c>
      <c r="K313" t="s">
        <v>1799</v>
      </c>
      <c r="L313" t="s">
        <v>1799</v>
      </c>
      <c r="M313" t="s">
        <v>1799</v>
      </c>
      <c r="N313" t="s">
        <v>1799</v>
      </c>
      <c r="O313" s="184" t="str">
        <f>"["&amp;$C313&amp;"]["&amp;$D313&amp;"]["&amp;$F313&amp;"]"</f>
        <v>[S05_DefaultValues][9][InstallationNumber]</v>
      </c>
    </row>
    <row r="314" spans="1:15" x14ac:dyDescent="0.3">
      <c r="A314" t="s">
        <v>1793</v>
      </c>
      <c r="B314" t="s">
        <v>1924</v>
      </c>
      <c r="C314" t="s">
        <v>1932</v>
      </c>
      <c r="D314">
        <v>10</v>
      </c>
      <c r="E314" t="s">
        <v>1447</v>
      </c>
      <c r="F314" t="s">
        <v>1977</v>
      </c>
      <c r="G314" t="s">
        <v>1811</v>
      </c>
      <c r="H314" t="s">
        <v>1799</v>
      </c>
      <c r="I314">
        <v>2</v>
      </c>
      <c r="J314" t="s">
        <v>1799</v>
      </c>
      <c r="K314" t="s">
        <v>1799</v>
      </c>
      <c r="L314" t="s">
        <v>1799</v>
      </c>
      <c r="M314" t="s">
        <v>1799</v>
      </c>
      <c r="N314" t="s">
        <v>1799</v>
      </c>
      <c r="O314" s="184" t="str">
        <f>"["&amp;$C314&amp;"]["&amp;$D314&amp;"]["&amp;$F314&amp;"]"</f>
        <v>[S05_DefaultValues][10][InstallationNumber]</v>
      </c>
    </row>
    <row r="315" spans="1:15" x14ac:dyDescent="0.3">
      <c r="A315" t="s">
        <v>1793</v>
      </c>
      <c r="B315" t="s">
        <v>1924</v>
      </c>
      <c r="C315" t="s">
        <v>1932</v>
      </c>
      <c r="D315">
        <v>11</v>
      </c>
      <c r="E315" t="s">
        <v>1447</v>
      </c>
      <c r="F315" t="s">
        <v>1977</v>
      </c>
      <c r="G315" t="s">
        <v>1811</v>
      </c>
      <c r="H315" t="s">
        <v>1799</v>
      </c>
      <c r="I315">
        <v>1</v>
      </c>
      <c r="J315" t="s">
        <v>1799</v>
      </c>
      <c r="K315" t="s">
        <v>1799</v>
      </c>
      <c r="L315" t="s">
        <v>1799</v>
      </c>
      <c r="M315" t="s">
        <v>1799</v>
      </c>
      <c r="N315" t="s">
        <v>1799</v>
      </c>
      <c r="O315" s="184" t="str">
        <f>"["&amp;$C315&amp;"]["&amp;$D315&amp;"]["&amp;$F315&amp;"]"</f>
        <v>[S05_DefaultValues][11][InstallationNumber]</v>
      </c>
    </row>
    <row r="316" spans="1:15" x14ac:dyDescent="0.3">
      <c r="A316" t="s">
        <v>1793</v>
      </c>
      <c r="B316" t="s">
        <v>1924</v>
      </c>
      <c r="C316" t="s">
        <v>1932</v>
      </c>
      <c r="D316">
        <v>12</v>
      </c>
      <c r="E316" t="s">
        <v>1447</v>
      </c>
      <c r="F316" t="s">
        <v>1977</v>
      </c>
      <c r="G316" t="s">
        <v>1811</v>
      </c>
      <c r="H316" t="s">
        <v>1799</v>
      </c>
      <c r="I316">
        <v>3</v>
      </c>
      <c r="J316" t="s">
        <v>1799</v>
      </c>
      <c r="K316" t="s">
        <v>1799</v>
      </c>
      <c r="L316" t="s">
        <v>1799</v>
      </c>
      <c r="M316" t="s">
        <v>1799</v>
      </c>
      <c r="N316" t="s">
        <v>1799</v>
      </c>
      <c r="O316" s="184" t="str">
        <f>"["&amp;$C316&amp;"]["&amp;$D316&amp;"]["&amp;$F316&amp;"]"</f>
        <v>[S05_DefaultValues][12][InstallationNumber]</v>
      </c>
    </row>
    <row r="317" spans="1:15" x14ac:dyDescent="0.3">
      <c r="A317" t="s">
        <v>1793</v>
      </c>
      <c r="B317" t="s">
        <v>1924</v>
      </c>
      <c r="C317" t="s">
        <v>1932</v>
      </c>
      <c r="D317">
        <v>13</v>
      </c>
      <c r="E317" t="s">
        <v>1447</v>
      </c>
      <c r="F317" t="s">
        <v>1977</v>
      </c>
      <c r="G317" t="s">
        <v>1811</v>
      </c>
      <c r="H317" t="s">
        <v>1799</v>
      </c>
      <c r="I317">
        <v>22</v>
      </c>
      <c r="J317" t="s">
        <v>1799</v>
      </c>
      <c r="K317" t="s">
        <v>1799</v>
      </c>
      <c r="L317" t="s">
        <v>1799</v>
      </c>
      <c r="M317" t="s">
        <v>1799</v>
      </c>
      <c r="N317" t="s">
        <v>1799</v>
      </c>
      <c r="O317" s="184" t="str">
        <f>"["&amp;$C317&amp;"]["&amp;$D317&amp;"]["&amp;$F317&amp;"]"</f>
        <v>[S05_DefaultValues][13][InstallationNumber]</v>
      </c>
    </row>
    <row r="318" spans="1:15" x14ac:dyDescent="0.3">
      <c r="A318" t="s">
        <v>1793</v>
      </c>
      <c r="B318" t="s">
        <v>1924</v>
      </c>
      <c r="C318" t="s">
        <v>1932</v>
      </c>
      <c r="D318">
        <v>14</v>
      </c>
      <c r="E318" t="s">
        <v>1447</v>
      </c>
      <c r="F318" t="s">
        <v>1977</v>
      </c>
      <c r="G318" t="s">
        <v>1811</v>
      </c>
      <c r="H318" t="s">
        <v>1799</v>
      </c>
      <c r="I318">
        <v>4</v>
      </c>
      <c r="J318" t="s">
        <v>1799</v>
      </c>
      <c r="K318" t="s">
        <v>1799</v>
      </c>
      <c r="L318" t="s">
        <v>1799</v>
      </c>
      <c r="M318" t="s">
        <v>1799</v>
      </c>
      <c r="N318" t="s">
        <v>1799</v>
      </c>
      <c r="O318" s="184" t="str">
        <f>"["&amp;$C318&amp;"]["&amp;$D318&amp;"]["&amp;$F318&amp;"]"</f>
        <v>[S05_DefaultValues][14][InstallationNumber]</v>
      </c>
    </row>
    <row r="319" spans="1:15" x14ac:dyDescent="0.3">
      <c r="A319" t="s">
        <v>1793</v>
      </c>
      <c r="B319" t="s">
        <v>1924</v>
      </c>
      <c r="C319" t="s">
        <v>1932</v>
      </c>
      <c r="D319">
        <v>15</v>
      </c>
      <c r="E319" t="s">
        <v>1447</v>
      </c>
      <c r="F319" t="s">
        <v>1977</v>
      </c>
      <c r="G319" t="s">
        <v>1811</v>
      </c>
      <c r="H319" t="s">
        <v>1799</v>
      </c>
      <c r="I319">
        <v>1</v>
      </c>
      <c r="J319" t="s">
        <v>1799</v>
      </c>
      <c r="K319" t="s">
        <v>1799</v>
      </c>
      <c r="L319" t="s">
        <v>1799</v>
      </c>
      <c r="M319" t="s">
        <v>1799</v>
      </c>
      <c r="N319" t="s">
        <v>1799</v>
      </c>
      <c r="O319" s="184" t="str">
        <f>"["&amp;$C319&amp;"]["&amp;$D319&amp;"]["&amp;$F319&amp;"]"</f>
        <v>[S05_DefaultValues][15][InstallationNumber]</v>
      </c>
    </row>
    <row r="320" spans="1:15" x14ac:dyDescent="0.3">
      <c r="A320" t="s">
        <v>1793</v>
      </c>
      <c r="B320" t="s">
        <v>1924</v>
      </c>
      <c r="C320" t="s">
        <v>1932</v>
      </c>
      <c r="D320">
        <v>16</v>
      </c>
      <c r="E320" t="s">
        <v>1447</v>
      </c>
      <c r="F320" t="s">
        <v>1977</v>
      </c>
      <c r="G320" t="s">
        <v>1811</v>
      </c>
      <c r="H320" t="s">
        <v>1799</v>
      </c>
      <c r="I320">
        <v>4</v>
      </c>
      <c r="J320" t="s">
        <v>1799</v>
      </c>
      <c r="K320" t="s">
        <v>1799</v>
      </c>
      <c r="L320" t="s">
        <v>1799</v>
      </c>
      <c r="M320" t="s">
        <v>1799</v>
      </c>
      <c r="N320" t="s">
        <v>1799</v>
      </c>
      <c r="O320" s="184" t="str">
        <f>"["&amp;$C320&amp;"]["&amp;$D320&amp;"]["&amp;$F320&amp;"]"</f>
        <v>[S05_DefaultValues][16][InstallationNumber]</v>
      </c>
    </row>
    <row r="321" spans="1:15" x14ac:dyDescent="0.3">
      <c r="A321" t="s">
        <v>1793</v>
      </c>
      <c r="B321" t="s">
        <v>1924</v>
      </c>
      <c r="C321" t="s">
        <v>1932</v>
      </c>
      <c r="D321">
        <v>17</v>
      </c>
      <c r="E321" t="s">
        <v>1447</v>
      </c>
      <c r="F321" t="s">
        <v>1977</v>
      </c>
      <c r="G321" t="s">
        <v>1811</v>
      </c>
      <c r="H321" t="s">
        <v>1799</v>
      </c>
      <c r="I321">
        <v>1</v>
      </c>
      <c r="J321" t="s">
        <v>1799</v>
      </c>
      <c r="K321" t="s">
        <v>1799</v>
      </c>
      <c r="L321" t="s">
        <v>1799</v>
      </c>
      <c r="M321" t="s">
        <v>1799</v>
      </c>
      <c r="N321" t="s">
        <v>1799</v>
      </c>
      <c r="O321" s="184" t="str">
        <f>"["&amp;$C321&amp;"]["&amp;$D321&amp;"]["&amp;$F321&amp;"]"</f>
        <v>[S05_DefaultValues][17][InstallationNumber]</v>
      </c>
    </row>
    <row r="322" spans="1:15" x14ac:dyDescent="0.3">
      <c r="A322" t="s">
        <v>1793</v>
      </c>
      <c r="B322" t="s">
        <v>1924</v>
      </c>
      <c r="C322" t="s">
        <v>1932</v>
      </c>
      <c r="D322">
        <v>18</v>
      </c>
      <c r="E322" t="s">
        <v>1447</v>
      </c>
      <c r="F322" t="s">
        <v>1977</v>
      </c>
      <c r="G322" t="s">
        <v>1811</v>
      </c>
      <c r="H322" t="s">
        <v>1799</v>
      </c>
      <c r="I322">
        <v>1</v>
      </c>
      <c r="J322" t="s">
        <v>1799</v>
      </c>
      <c r="K322" t="s">
        <v>1799</v>
      </c>
      <c r="L322" t="s">
        <v>1799</v>
      </c>
      <c r="M322" t="s">
        <v>1799</v>
      </c>
      <c r="N322" t="s">
        <v>1799</v>
      </c>
      <c r="O322" s="184" t="str">
        <f>"["&amp;$C322&amp;"]["&amp;$D322&amp;"]["&amp;$F322&amp;"]"</f>
        <v>[S05_DefaultValues][18][InstallationNumber]</v>
      </c>
    </row>
    <row r="323" spans="1:15" x14ac:dyDescent="0.3">
      <c r="A323" t="s">
        <v>1793</v>
      </c>
      <c r="B323" t="s">
        <v>1924</v>
      </c>
      <c r="C323" t="s">
        <v>1932</v>
      </c>
      <c r="D323">
        <v>19</v>
      </c>
      <c r="E323" t="s">
        <v>1447</v>
      </c>
      <c r="F323" t="s">
        <v>1977</v>
      </c>
      <c r="G323" t="s">
        <v>1811</v>
      </c>
      <c r="H323" t="s">
        <v>1799</v>
      </c>
      <c r="I323">
        <v>1</v>
      </c>
      <c r="J323" t="s">
        <v>1799</v>
      </c>
      <c r="K323" t="s">
        <v>1799</v>
      </c>
      <c r="L323" t="s">
        <v>1799</v>
      </c>
      <c r="M323" t="s">
        <v>1799</v>
      </c>
      <c r="N323" t="s">
        <v>1799</v>
      </c>
      <c r="O323" s="184" t="str">
        <f>"["&amp;$C323&amp;"]["&amp;$D323&amp;"]["&amp;$F323&amp;"]"</f>
        <v>[S05_DefaultValues][19][InstallationNumber]</v>
      </c>
    </row>
    <row r="324" spans="1:15" x14ac:dyDescent="0.3">
      <c r="A324" t="s">
        <v>1793</v>
      </c>
      <c r="B324" t="s">
        <v>1924</v>
      </c>
      <c r="C324" t="s">
        <v>1932</v>
      </c>
      <c r="D324">
        <v>20</v>
      </c>
      <c r="E324" t="s">
        <v>1447</v>
      </c>
      <c r="F324" t="s">
        <v>1977</v>
      </c>
      <c r="G324" t="s">
        <v>1811</v>
      </c>
      <c r="H324" t="s">
        <v>1799</v>
      </c>
      <c r="I324">
        <v>7</v>
      </c>
      <c r="J324" t="s">
        <v>1799</v>
      </c>
      <c r="K324" t="s">
        <v>1799</v>
      </c>
      <c r="L324" t="s">
        <v>1799</v>
      </c>
      <c r="M324" t="s">
        <v>1799</v>
      </c>
      <c r="N324" t="s">
        <v>1799</v>
      </c>
      <c r="O324" s="184" t="str">
        <f>"["&amp;$C324&amp;"]["&amp;$D324&amp;"]["&amp;$F324&amp;"]"</f>
        <v>[S05_DefaultValues][20][InstallationNumber]</v>
      </c>
    </row>
    <row r="325" spans="1:15" x14ac:dyDescent="0.3">
      <c r="A325" t="s">
        <v>1793</v>
      </c>
      <c r="B325" t="s">
        <v>1924</v>
      </c>
      <c r="C325" t="s">
        <v>1932</v>
      </c>
      <c r="D325">
        <v>21</v>
      </c>
      <c r="E325" t="s">
        <v>1447</v>
      </c>
      <c r="F325" t="s">
        <v>1977</v>
      </c>
      <c r="G325" t="s">
        <v>1811</v>
      </c>
      <c r="H325" t="s">
        <v>1799</v>
      </c>
      <c r="I325">
        <v>4</v>
      </c>
      <c r="J325" t="s">
        <v>1799</v>
      </c>
      <c r="K325" t="s">
        <v>1799</v>
      </c>
      <c r="L325" t="s">
        <v>1799</v>
      </c>
      <c r="M325" t="s">
        <v>1799</v>
      </c>
      <c r="N325" t="s">
        <v>1799</v>
      </c>
      <c r="O325" s="184" t="str">
        <f>"["&amp;$C325&amp;"]["&amp;$D325&amp;"]["&amp;$F325&amp;"]"</f>
        <v>[S05_DefaultValues][21][InstallationNumber]</v>
      </c>
    </row>
    <row r="326" spans="1:15" x14ac:dyDescent="0.3">
      <c r="A326" t="s">
        <v>1793</v>
      </c>
      <c r="B326" t="s">
        <v>1924</v>
      </c>
      <c r="C326" t="s">
        <v>1932</v>
      </c>
      <c r="D326">
        <v>22</v>
      </c>
      <c r="E326" t="s">
        <v>1447</v>
      </c>
      <c r="F326" t="s">
        <v>1977</v>
      </c>
      <c r="G326" t="s">
        <v>1811</v>
      </c>
      <c r="H326" t="s">
        <v>1799</v>
      </c>
      <c r="I326">
        <v>1</v>
      </c>
      <c r="J326" t="s">
        <v>1799</v>
      </c>
      <c r="K326" t="s">
        <v>1799</v>
      </c>
      <c r="L326" t="s">
        <v>1799</v>
      </c>
      <c r="M326" t="s">
        <v>1799</v>
      </c>
      <c r="N326" t="s">
        <v>1799</v>
      </c>
      <c r="O326" s="184" t="str">
        <f>"["&amp;$C326&amp;"]["&amp;$D326&amp;"]["&amp;$F326&amp;"]"</f>
        <v>[S05_DefaultValues][22][InstallationNumber]</v>
      </c>
    </row>
    <row r="327" spans="1:15" x14ac:dyDescent="0.3">
      <c r="A327" t="s">
        <v>1793</v>
      </c>
      <c r="B327" t="s">
        <v>1924</v>
      </c>
      <c r="C327" t="s">
        <v>1932</v>
      </c>
      <c r="D327">
        <v>23</v>
      </c>
      <c r="E327" t="s">
        <v>1447</v>
      </c>
      <c r="F327" t="s">
        <v>1977</v>
      </c>
      <c r="G327" t="s">
        <v>1811</v>
      </c>
      <c r="H327" t="s">
        <v>1799</v>
      </c>
      <c r="I327">
        <v>1</v>
      </c>
      <c r="J327" t="s">
        <v>1799</v>
      </c>
      <c r="K327" t="s">
        <v>1799</v>
      </c>
      <c r="L327" t="s">
        <v>1799</v>
      </c>
      <c r="M327" t="s">
        <v>1799</v>
      </c>
      <c r="N327" t="s">
        <v>1799</v>
      </c>
      <c r="O327" s="184" t="str">
        <f>"["&amp;$C327&amp;"]["&amp;$D327&amp;"]["&amp;$F327&amp;"]"</f>
        <v>[S05_DefaultValues][23][InstallationNumber]</v>
      </c>
    </row>
    <row r="328" spans="1:15" x14ac:dyDescent="0.3">
      <c r="A328" t="s">
        <v>1793</v>
      </c>
      <c r="B328" t="s">
        <v>1924</v>
      </c>
      <c r="C328" t="s">
        <v>1932</v>
      </c>
      <c r="D328">
        <v>24</v>
      </c>
      <c r="E328" t="s">
        <v>1447</v>
      </c>
      <c r="F328" t="s">
        <v>1977</v>
      </c>
      <c r="G328" t="s">
        <v>1811</v>
      </c>
      <c r="H328" t="s">
        <v>1799</v>
      </c>
      <c r="I328">
        <v>1</v>
      </c>
      <c r="J328" t="s">
        <v>1799</v>
      </c>
      <c r="K328" t="s">
        <v>1799</v>
      </c>
      <c r="L328" t="s">
        <v>1799</v>
      </c>
      <c r="M328" t="s">
        <v>1799</v>
      </c>
      <c r="N328" t="s">
        <v>1799</v>
      </c>
      <c r="O328" s="184" t="str">
        <f>"["&amp;$C328&amp;"]["&amp;$D328&amp;"]["&amp;$F328&amp;"]"</f>
        <v>[S05_DefaultValues][24][InstallationNumber]</v>
      </c>
    </row>
    <row r="329" spans="1:15" x14ac:dyDescent="0.3">
      <c r="A329" t="s">
        <v>1793</v>
      </c>
      <c r="B329" t="s">
        <v>1924</v>
      </c>
      <c r="C329" t="s">
        <v>1932</v>
      </c>
      <c r="D329">
        <v>25</v>
      </c>
      <c r="E329" t="s">
        <v>1447</v>
      </c>
      <c r="F329" t="s">
        <v>1977</v>
      </c>
      <c r="G329" t="s">
        <v>1811</v>
      </c>
      <c r="H329" t="s">
        <v>1799</v>
      </c>
      <c r="I329">
        <v>2</v>
      </c>
      <c r="J329" t="s">
        <v>1799</v>
      </c>
      <c r="K329" t="s">
        <v>1799</v>
      </c>
      <c r="L329" t="s">
        <v>1799</v>
      </c>
      <c r="M329" t="s">
        <v>1799</v>
      </c>
      <c r="N329" t="s">
        <v>1799</v>
      </c>
      <c r="O329" s="184" t="str">
        <f>"["&amp;$C329&amp;"]["&amp;$D329&amp;"]["&amp;$F329&amp;"]"</f>
        <v>[S05_DefaultValues][25][InstallationNumber]</v>
      </c>
    </row>
    <row r="330" spans="1:15" x14ac:dyDescent="0.3">
      <c r="A330" t="s">
        <v>1793</v>
      </c>
      <c r="B330" t="s">
        <v>1924</v>
      </c>
      <c r="C330" t="s">
        <v>1932</v>
      </c>
      <c r="D330">
        <v>26</v>
      </c>
      <c r="E330" t="s">
        <v>1447</v>
      </c>
      <c r="F330" t="s">
        <v>1977</v>
      </c>
      <c r="G330" t="s">
        <v>1811</v>
      </c>
      <c r="H330" t="s">
        <v>1799</v>
      </c>
      <c r="I330">
        <v>6</v>
      </c>
      <c r="J330" t="s">
        <v>1799</v>
      </c>
      <c r="K330" t="s">
        <v>1799</v>
      </c>
      <c r="L330" t="s">
        <v>1799</v>
      </c>
      <c r="M330" t="s">
        <v>1799</v>
      </c>
      <c r="N330" t="s">
        <v>1799</v>
      </c>
      <c r="O330" s="184" t="str">
        <f>"["&amp;$C330&amp;"]["&amp;$D330&amp;"]["&amp;$F330&amp;"]"</f>
        <v>[S05_DefaultValues][26][InstallationNumber]</v>
      </c>
    </row>
    <row r="331" spans="1:15" x14ac:dyDescent="0.3">
      <c r="A331" t="s">
        <v>1793</v>
      </c>
      <c r="B331" t="s">
        <v>1924</v>
      </c>
      <c r="C331" t="s">
        <v>1932</v>
      </c>
      <c r="D331">
        <v>27</v>
      </c>
      <c r="E331" t="s">
        <v>1447</v>
      </c>
      <c r="F331" t="s">
        <v>1977</v>
      </c>
      <c r="G331" t="s">
        <v>1811</v>
      </c>
      <c r="H331" t="s">
        <v>1799</v>
      </c>
      <c r="I331">
        <v>1</v>
      </c>
      <c r="J331" t="s">
        <v>1799</v>
      </c>
      <c r="K331" t="s">
        <v>1799</v>
      </c>
      <c r="L331" t="s">
        <v>1799</v>
      </c>
      <c r="M331" t="s">
        <v>1799</v>
      </c>
      <c r="N331" t="s">
        <v>1799</v>
      </c>
      <c r="O331" s="184" t="str">
        <f>"["&amp;$C331&amp;"]["&amp;$D331&amp;"]["&amp;$F331&amp;"]"</f>
        <v>[S05_DefaultValues][27][InstallationNumber]</v>
      </c>
    </row>
    <row r="332" spans="1:15" x14ac:dyDescent="0.3">
      <c r="A332" t="s">
        <v>1793</v>
      </c>
      <c r="B332" t="s">
        <v>1924</v>
      </c>
      <c r="C332" t="s">
        <v>1932</v>
      </c>
      <c r="D332">
        <v>28</v>
      </c>
      <c r="E332" t="s">
        <v>1447</v>
      </c>
      <c r="F332" t="s">
        <v>1977</v>
      </c>
      <c r="G332" t="s">
        <v>1811</v>
      </c>
      <c r="H332" t="s">
        <v>1799</v>
      </c>
      <c r="I332">
        <v>2</v>
      </c>
      <c r="J332" t="s">
        <v>1799</v>
      </c>
      <c r="K332" t="s">
        <v>1799</v>
      </c>
      <c r="L332" t="s">
        <v>1799</v>
      </c>
      <c r="M332" t="s">
        <v>1799</v>
      </c>
      <c r="N332" t="s">
        <v>1799</v>
      </c>
      <c r="O332" s="184" t="str">
        <f>"["&amp;$C332&amp;"]["&amp;$D332&amp;"]["&amp;$F332&amp;"]"</f>
        <v>[S05_DefaultValues][28][InstallationNumber]</v>
      </c>
    </row>
    <row r="333" spans="1:15" x14ac:dyDescent="0.3">
      <c r="A333" t="s">
        <v>1793</v>
      </c>
      <c r="B333" t="s">
        <v>1924</v>
      </c>
      <c r="C333" t="s">
        <v>1932</v>
      </c>
      <c r="D333">
        <v>29</v>
      </c>
      <c r="E333" t="s">
        <v>1447</v>
      </c>
      <c r="F333" t="s">
        <v>1977</v>
      </c>
      <c r="G333" t="s">
        <v>1811</v>
      </c>
      <c r="H333" t="s">
        <v>1799</v>
      </c>
      <c r="I333">
        <v>2</v>
      </c>
      <c r="J333" t="s">
        <v>1799</v>
      </c>
      <c r="K333" t="s">
        <v>1799</v>
      </c>
      <c r="L333" t="s">
        <v>1799</v>
      </c>
      <c r="M333" t="s">
        <v>1799</v>
      </c>
      <c r="N333" t="s">
        <v>1799</v>
      </c>
      <c r="O333" s="184" t="str">
        <f>"["&amp;$C333&amp;"]["&amp;$D333&amp;"]["&amp;$F333&amp;"]"</f>
        <v>[S05_DefaultValues][29][InstallationNumber]</v>
      </c>
    </row>
    <row r="334" spans="1:15" x14ac:dyDescent="0.3">
      <c r="A334" t="s">
        <v>1793</v>
      </c>
      <c r="B334" t="s">
        <v>1924</v>
      </c>
      <c r="C334" t="s">
        <v>1932</v>
      </c>
      <c r="D334">
        <v>30</v>
      </c>
      <c r="E334" t="s">
        <v>1447</v>
      </c>
      <c r="F334" t="s">
        <v>1977</v>
      </c>
      <c r="G334" t="s">
        <v>1811</v>
      </c>
      <c r="H334" t="s">
        <v>1799</v>
      </c>
      <c r="I334">
        <v>1</v>
      </c>
      <c r="J334" t="s">
        <v>1799</v>
      </c>
      <c r="K334" t="s">
        <v>1799</v>
      </c>
      <c r="L334" t="s">
        <v>1799</v>
      </c>
      <c r="M334" t="s">
        <v>1799</v>
      </c>
      <c r="N334" t="s">
        <v>1799</v>
      </c>
      <c r="O334" s="184" t="str">
        <f>"["&amp;$C334&amp;"]["&amp;$D334&amp;"]["&amp;$F334&amp;"]"</f>
        <v>[S05_DefaultValues][30][InstallationNumber]</v>
      </c>
    </row>
    <row r="335" spans="1:15" x14ac:dyDescent="0.3">
      <c r="A335" t="s">
        <v>1793</v>
      </c>
      <c r="B335" t="s">
        <v>1924</v>
      </c>
      <c r="C335" t="s">
        <v>1932</v>
      </c>
      <c r="D335">
        <v>31</v>
      </c>
      <c r="E335" t="s">
        <v>1447</v>
      </c>
      <c r="F335" t="s">
        <v>1977</v>
      </c>
      <c r="G335" t="s">
        <v>1811</v>
      </c>
      <c r="H335" t="s">
        <v>1799</v>
      </c>
      <c r="I335">
        <v>4</v>
      </c>
      <c r="J335" t="s">
        <v>1799</v>
      </c>
      <c r="K335" t="s">
        <v>1799</v>
      </c>
      <c r="L335" t="s">
        <v>1799</v>
      </c>
      <c r="M335" t="s">
        <v>1799</v>
      </c>
      <c r="N335" t="s">
        <v>1799</v>
      </c>
      <c r="O335" s="184" t="str">
        <f>"["&amp;$C335&amp;"]["&amp;$D335&amp;"]["&amp;$F335&amp;"]"</f>
        <v>[S05_DefaultValues][31][InstallationNumber]</v>
      </c>
    </row>
    <row r="336" spans="1:15" x14ac:dyDescent="0.3">
      <c r="A336" t="s">
        <v>1793</v>
      </c>
      <c r="B336" t="s">
        <v>1924</v>
      </c>
      <c r="C336" t="s">
        <v>1932</v>
      </c>
      <c r="D336">
        <v>32</v>
      </c>
      <c r="E336" t="s">
        <v>1447</v>
      </c>
      <c r="F336" t="s">
        <v>1977</v>
      </c>
      <c r="G336" t="s">
        <v>1811</v>
      </c>
      <c r="H336" t="s">
        <v>1799</v>
      </c>
      <c r="I336">
        <v>6</v>
      </c>
      <c r="J336" t="s">
        <v>1799</v>
      </c>
      <c r="K336" t="s">
        <v>1799</v>
      </c>
      <c r="L336" t="s">
        <v>1799</v>
      </c>
      <c r="M336" t="s">
        <v>1799</v>
      </c>
      <c r="N336" t="s">
        <v>1799</v>
      </c>
      <c r="O336" s="184" t="str">
        <f>"["&amp;$C336&amp;"]["&amp;$D336&amp;"]["&amp;$F336&amp;"]"</f>
        <v>[S05_DefaultValues][32][InstallationNumber]</v>
      </c>
    </row>
    <row r="337" spans="1:15" x14ac:dyDescent="0.3">
      <c r="A337" t="s">
        <v>1793</v>
      </c>
      <c r="B337" t="s">
        <v>1924</v>
      </c>
      <c r="C337" t="s">
        <v>1932</v>
      </c>
      <c r="D337">
        <v>33</v>
      </c>
      <c r="E337" t="s">
        <v>1447</v>
      </c>
      <c r="F337" t="s">
        <v>1977</v>
      </c>
      <c r="G337" t="s">
        <v>1811</v>
      </c>
      <c r="H337" t="s">
        <v>1799</v>
      </c>
      <c r="I337">
        <v>1</v>
      </c>
      <c r="J337" t="s">
        <v>1799</v>
      </c>
      <c r="K337" t="s">
        <v>1799</v>
      </c>
      <c r="L337" t="s">
        <v>1799</v>
      </c>
      <c r="M337" t="s">
        <v>1799</v>
      </c>
      <c r="N337" t="s">
        <v>1799</v>
      </c>
      <c r="O337" s="184" t="str">
        <f>"["&amp;$C337&amp;"]["&amp;$D337&amp;"]["&amp;$F337&amp;"]"</f>
        <v>[S05_DefaultValues][33][InstallationNumber]</v>
      </c>
    </row>
    <row r="338" spans="1:15" x14ac:dyDescent="0.3">
      <c r="A338" t="s">
        <v>1793</v>
      </c>
      <c r="B338" t="s">
        <v>1924</v>
      </c>
      <c r="C338" t="s">
        <v>1932</v>
      </c>
      <c r="D338">
        <v>34</v>
      </c>
      <c r="E338" t="s">
        <v>1447</v>
      </c>
      <c r="F338" t="s">
        <v>1977</v>
      </c>
      <c r="G338" t="s">
        <v>1811</v>
      </c>
      <c r="H338" t="s">
        <v>1799</v>
      </c>
      <c r="I338">
        <v>2</v>
      </c>
      <c r="J338" t="s">
        <v>1799</v>
      </c>
      <c r="K338" t="s">
        <v>1799</v>
      </c>
      <c r="L338" t="s">
        <v>1799</v>
      </c>
      <c r="M338" t="s">
        <v>1799</v>
      </c>
      <c r="N338" t="s">
        <v>1799</v>
      </c>
      <c r="O338" s="184" t="str">
        <f>"["&amp;$C338&amp;"]["&amp;$D338&amp;"]["&amp;$F338&amp;"]"</f>
        <v>[S05_DefaultValues][34][InstallationNumber]</v>
      </c>
    </row>
    <row r="339" spans="1:15" x14ac:dyDescent="0.3">
      <c r="A339" t="s">
        <v>1793</v>
      </c>
      <c r="B339" t="s">
        <v>1924</v>
      </c>
      <c r="C339" t="s">
        <v>1932</v>
      </c>
      <c r="D339">
        <v>35</v>
      </c>
      <c r="E339" t="s">
        <v>1447</v>
      </c>
      <c r="F339" t="s">
        <v>1977</v>
      </c>
      <c r="G339" t="s">
        <v>1811</v>
      </c>
      <c r="H339" t="s">
        <v>1799</v>
      </c>
      <c r="I339">
        <v>1</v>
      </c>
      <c r="J339" t="s">
        <v>1799</v>
      </c>
      <c r="K339" t="s">
        <v>1799</v>
      </c>
      <c r="L339" t="s">
        <v>1799</v>
      </c>
      <c r="M339" t="s">
        <v>1799</v>
      </c>
      <c r="N339" t="s">
        <v>1799</v>
      </c>
      <c r="O339" s="184" t="str">
        <f>"["&amp;$C339&amp;"]["&amp;$D339&amp;"]["&amp;$F339&amp;"]"</f>
        <v>[S05_DefaultValues][35][InstallationNumber]</v>
      </c>
    </row>
    <row r="340" spans="1:15" x14ac:dyDescent="0.3">
      <c r="A340" t="s">
        <v>1793</v>
      </c>
      <c r="B340" t="s">
        <v>1924</v>
      </c>
      <c r="C340" t="s">
        <v>1932</v>
      </c>
      <c r="D340">
        <v>36</v>
      </c>
      <c r="E340" t="s">
        <v>1447</v>
      </c>
      <c r="F340" t="s">
        <v>1977</v>
      </c>
      <c r="G340" t="s">
        <v>1811</v>
      </c>
      <c r="H340" t="s">
        <v>1799</v>
      </c>
      <c r="I340">
        <v>2</v>
      </c>
      <c r="J340" t="s">
        <v>1799</v>
      </c>
      <c r="K340" t="s">
        <v>1799</v>
      </c>
      <c r="L340" t="s">
        <v>1799</v>
      </c>
      <c r="M340" t="s">
        <v>1799</v>
      </c>
      <c r="N340" t="s">
        <v>1799</v>
      </c>
      <c r="O340" s="184" t="str">
        <f>"["&amp;$C340&amp;"]["&amp;$D340&amp;"]["&amp;$F340&amp;"]"</f>
        <v>[S05_DefaultValues][36][InstallationNumber]</v>
      </c>
    </row>
    <row r="341" spans="1:15" x14ac:dyDescent="0.3">
      <c r="A341" t="s">
        <v>1793</v>
      </c>
      <c r="B341" t="s">
        <v>1924</v>
      </c>
      <c r="C341" t="s">
        <v>1932</v>
      </c>
      <c r="D341">
        <v>37</v>
      </c>
      <c r="E341" t="s">
        <v>1447</v>
      </c>
      <c r="F341" t="s">
        <v>1977</v>
      </c>
      <c r="G341" t="s">
        <v>1811</v>
      </c>
      <c r="H341" t="s">
        <v>1799</v>
      </c>
      <c r="I341">
        <v>4</v>
      </c>
      <c r="J341" t="s">
        <v>1799</v>
      </c>
      <c r="K341" t="s">
        <v>1799</v>
      </c>
      <c r="L341" t="s">
        <v>1799</v>
      </c>
      <c r="M341" t="s">
        <v>1799</v>
      </c>
      <c r="N341" t="s">
        <v>1799</v>
      </c>
      <c r="O341" s="184" t="str">
        <f>"["&amp;$C341&amp;"]["&amp;$D341&amp;"]["&amp;$F341&amp;"]"</f>
        <v>[S05_DefaultValues][37][InstallationNumber]</v>
      </c>
    </row>
    <row r="342" spans="1:15" x14ac:dyDescent="0.3">
      <c r="A342" t="s">
        <v>1793</v>
      </c>
      <c r="B342" t="s">
        <v>1924</v>
      </c>
      <c r="C342" t="s">
        <v>1932</v>
      </c>
      <c r="D342">
        <v>38</v>
      </c>
      <c r="E342" t="s">
        <v>1447</v>
      </c>
      <c r="F342" t="s">
        <v>1977</v>
      </c>
      <c r="G342" t="s">
        <v>1811</v>
      </c>
      <c r="H342" t="s">
        <v>1799</v>
      </c>
      <c r="I342">
        <v>1</v>
      </c>
      <c r="J342" t="s">
        <v>1799</v>
      </c>
      <c r="K342" t="s">
        <v>1799</v>
      </c>
      <c r="L342" t="s">
        <v>1799</v>
      </c>
      <c r="M342" t="s">
        <v>1799</v>
      </c>
      <c r="N342" t="s">
        <v>1799</v>
      </c>
      <c r="O342" s="184" t="str">
        <f>"["&amp;$C342&amp;"]["&amp;$D342&amp;"]["&amp;$F342&amp;"]"</f>
        <v>[S05_DefaultValues][38][InstallationNumber]</v>
      </c>
    </row>
    <row r="343" spans="1:15" x14ac:dyDescent="0.3">
      <c r="A343" t="s">
        <v>1793</v>
      </c>
      <c r="B343" t="s">
        <v>1924</v>
      </c>
      <c r="C343" t="s">
        <v>1932</v>
      </c>
      <c r="D343">
        <v>39</v>
      </c>
      <c r="E343" t="s">
        <v>1447</v>
      </c>
      <c r="F343" t="s">
        <v>1977</v>
      </c>
      <c r="G343" t="s">
        <v>1811</v>
      </c>
      <c r="H343" t="s">
        <v>1799</v>
      </c>
      <c r="I343">
        <v>2</v>
      </c>
      <c r="J343" t="s">
        <v>1799</v>
      </c>
      <c r="K343" t="s">
        <v>1799</v>
      </c>
      <c r="L343" t="s">
        <v>1799</v>
      </c>
      <c r="M343" t="s">
        <v>1799</v>
      </c>
      <c r="N343" t="s">
        <v>1799</v>
      </c>
      <c r="O343" s="184" t="str">
        <f>"["&amp;$C343&amp;"]["&amp;$D343&amp;"]["&amp;$F343&amp;"]"</f>
        <v>[S05_DefaultValues][39][InstallationNumber]</v>
      </c>
    </row>
    <row r="344" spans="1:15" x14ac:dyDescent="0.3">
      <c r="A344" t="s">
        <v>1793</v>
      </c>
      <c r="B344" t="s">
        <v>1924</v>
      </c>
      <c r="C344" t="s">
        <v>1932</v>
      </c>
      <c r="D344">
        <v>40</v>
      </c>
      <c r="E344" t="s">
        <v>1447</v>
      </c>
      <c r="F344" t="s">
        <v>1977</v>
      </c>
      <c r="G344" t="s">
        <v>1811</v>
      </c>
      <c r="H344" t="s">
        <v>1799</v>
      </c>
      <c r="I344">
        <v>7</v>
      </c>
      <c r="J344" t="s">
        <v>1799</v>
      </c>
      <c r="K344" t="s">
        <v>1799</v>
      </c>
      <c r="L344" t="s">
        <v>1799</v>
      </c>
      <c r="M344" t="s">
        <v>1799</v>
      </c>
      <c r="N344" t="s">
        <v>1799</v>
      </c>
      <c r="O344" s="184" t="str">
        <f>"["&amp;$C344&amp;"]["&amp;$D344&amp;"]["&amp;$F344&amp;"]"</f>
        <v>[S05_DefaultValues][40][InstallationNumber]</v>
      </c>
    </row>
    <row r="345" spans="1:15" x14ac:dyDescent="0.3">
      <c r="A345" t="s">
        <v>1793</v>
      </c>
      <c r="B345" t="s">
        <v>1924</v>
      </c>
      <c r="C345" t="s">
        <v>1932</v>
      </c>
      <c r="D345">
        <v>41</v>
      </c>
      <c r="E345" t="s">
        <v>1447</v>
      </c>
      <c r="F345" t="s">
        <v>1977</v>
      </c>
      <c r="G345" t="s">
        <v>1811</v>
      </c>
      <c r="H345" t="s">
        <v>1799</v>
      </c>
      <c r="I345">
        <v>2</v>
      </c>
      <c r="J345" t="s">
        <v>1799</v>
      </c>
      <c r="K345" t="s">
        <v>1799</v>
      </c>
      <c r="L345" t="s">
        <v>1799</v>
      </c>
      <c r="M345" t="s">
        <v>1799</v>
      </c>
      <c r="N345" t="s">
        <v>1799</v>
      </c>
      <c r="O345" s="184" t="str">
        <f>"["&amp;$C345&amp;"]["&amp;$D345&amp;"]["&amp;$F345&amp;"]"</f>
        <v>[S05_DefaultValues][41][InstallationNumber]</v>
      </c>
    </row>
    <row r="346" spans="1:15" x14ac:dyDescent="0.3">
      <c r="A346" t="s">
        <v>1793</v>
      </c>
      <c r="B346" t="s">
        <v>1924</v>
      </c>
      <c r="C346" t="s">
        <v>1932</v>
      </c>
      <c r="D346">
        <v>42</v>
      </c>
      <c r="E346" t="s">
        <v>1447</v>
      </c>
      <c r="F346" t="s">
        <v>1977</v>
      </c>
      <c r="G346" t="s">
        <v>1811</v>
      </c>
      <c r="H346" t="s">
        <v>1799</v>
      </c>
      <c r="I346">
        <v>1</v>
      </c>
      <c r="J346" t="s">
        <v>1799</v>
      </c>
      <c r="K346" t="s">
        <v>1799</v>
      </c>
      <c r="L346" t="s">
        <v>1799</v>
      </c>
      <c r="M346" t="s">
        <v>1799</v>
      </c>
      <c r="N346" t="s">
        <v>1799</v>
      </c>
      <c r="O346" s="184" t="str">
        <f>"["&amp;$C346&amp;"]["&amp;$D346&amp;"]["&amp;$F346&amp;"]"</f>
        <v>[S05_DefaultValues][42][InstallationNumber]</v>
      </c>
    </row>
    <row r="347" spans="1:15" x14ac:dyDescent="0.3">
      <c r="A347" t="s">
        <v>1793</v>
      </c>
      <c r="B347" t="s">
        <v>1924</v>
      </c>
      <c r="C347" t="s">
        <v>1932</v>
      </c>
      <c r="D347">
        <v>43</v>
      </c>
      <c r="E347" t="s">
        <v>1447</v>
      </c>
      <c r="F347" t="s">
        <v>1977</v>
      </c>
      <c r="G347" t="s">
        <v>1811</v>
      </c>
      <c r="H347" t="s">
        <v>1799</v>
      </c>
      <c r="I347">
        <v>15</v>
      </c>
      <c r="J347" t="s">
        <v>1799</v>
      </c>
      <c r="K347" t="s">
        <v>1799</v>
      </c>
      <c r="L347" t="s">
        <v>1799</v>
      </c>
      <c r="M347" t="s">
        <v>1799</v>
      </c>
      <c r="N347" t="s">
        <v>1799</v>
      </c>
      <c r="O347" s="184" t="str">
        <f>"["&amp;$C347&amp;"]["&amp;$D347&amp;"]["&amp;$F347&amp;"]"</f>
        <v>[S05_DefaultValues][43][InstallationNumber]</v>
      </c>
    </row>
    <row r="348" spans="1:15" x14ac:dyDescent="0.3">
      <c r="A348" t="s">
        <v>1793</v>
      </c>
      <c r="B348" t="s">
        <v>1924</v>
      </c>
      <c r="C348" t="s">
        <v>1932</v>
      </c>
      <c r="D348">
        <v>44</v>
      </c>
      <c r="E348" t="s">
        <v>1447</v>
      </c>
      <c r="F348" t="s">
        <v>1977</v>
      </c>
      <c r="G348" t="s">
        <v>1811</v>
      </c>
      <c r="H348" t="s">
        <v>1799</v>
      </c>
      <c r="I348">
        <v>22</v>
      </c>
      <c r="J348" t="s">
        <v>1799</v>
      </c>
      <c r="K348" t="s">
        <v>1799</v>
      </c>
      <c r="L348" t="s">
        <v>1799</v>
      </c>
      <c r="M348" t="s">
        <v>1799</v>
      </c>
      <c r="N348" t="s">
        <v>1799</v>
      </c>
      <c r="O348" s="184" t="str">
        <f>"["&amp;$C348&amp;"]["&amp;$D348&amp;"]["&amp;$F348&amp;"]"</f>
        <v>[S05_DefaultValues][44][InstallationNumber]</v>
      </c>
    </row>
    <row r="349" spans="1:15" x14ac:dyDescent="0.3">
      <c r="A349" t="s">
        <v>1793</v>
      </c>
      <c r="B349" t="s">
        <v>1924</v>
      </c>
      <c r="C349" t="s">
        <v>1932</v>
      </c>
      <c r="D349">
        <v>45</v>
      </c>
      <c r="E349" t="s">
        <v>1447</v>
      </c>
      <c r="F349" t="s">
        <v>1977</v>
      </c>
      <c r="G349" t="s">
        <v>1811</v>
      </c>
      <c r="H349" t="s">
        <v>1799</v>
      </c>
      <c r="I349">
        <v>3</v>
      </c>
      <c r="J349" t="s">
        <v>1799</v>
      </c>
      <c r="K349" t="s">
        <v>1799</v>
      </c>
      <c r="L349" t="s">
        <v>1799</v>
      </c>
      <c r="M349" t="s">
        <v>1799</v>
      </c>
      <c r="N349" t="s">
        <v>1799</v>
      </c>
      <c r="O349" s="184" t="str">
        <f>"["&amp;$C349&amp;"]["&amp;$D349&amp;"]["&amp;$F349&amp;"]"</f>
        <v>[S05_DefaultValues][45][InstallationNumber]</v>
      </c>
    </row>
    <row r="350" spans="1:15" x14ac:dyDescent="0.3">
      <c r="A350" t="s">
        <v>1793</v>
      </c>
      <c r="B350" t="s">
        <v>1924</v>
      </c>
      <c r="C350" t="s">
        <v>1932</v>
      </c>
      <c r="D350">
        <v>46</v>
      </c>
      <c r="E350" t="s">
        <v>1447</v>
      </c>
      <c r="F350" t="s">
        <v>1977</v>
      </c>
      <c r="G350" t="s">
        <v>1811</v>
      </c>
      <c r="H350" t="s">
        <v>1799</v>
      </c>
      <c r="I350">
        <v>1</v>
      </c>
      <c r="J350" t="s">
        <v>1799</v>
      </c>
      <c r="K350" t="s">
        <v>1799</v>
      </c>
      <c r="L350" t="s">
        <v>1799</v>
      </c>
      <c r="M350" t="s">
        <v>1799</v>
      </c>
      <c r="N350" t="s">
        <v>1799</v>
      </c>
      <c r="O350" s="184" t="str">
        <f>"["&amp;$C350&amp;"]["&amp;$D350&amp;"]["&amp;$F350&amp;"]"</f>
        <v>[S05_DefaultValues][46][InstallationNumber]</v>
      </c>
    </row>
    <row r="351" spans="1:15" x14ac:dyDescent="0.3">
      <c r="A351" t="s">
        <v>1793</v>
      </c>
      <c r="B351" t="s">
        <v>1924</v>
      </c>
      <c r="C351" t="s">
        <v>1932</v>
      </c>
      <c r="D351">
        <v>47</v>
      </c>
      <c r="E351" t="s">
        <v>1447</v>
      </c>
      <c r="F351" t="s">
        <v>1977</v>
      </c>
      <c r="G351" t="s">
        <v>1811</v>
      </c>
      <c r="H351" t="s">
        <v>1799</v>
      </c>
      <c r="I351">
        <v>1</v>
      </c>
      <c r="J351" t="s">
        <v>1799</v>
      </c>
      <c r="K351" t="s">
        <v>1799</v>
      </c>
      <c r="L351" t="s">
        <v>1799</v>
      </c>
      <c r="M351" t="s">
        <v>1799</v>
      </c>
      <c r="N351" t="s">
        <v>1799</v>
      </c>
      <c r="O351" s="184" t="str">
        <f>"["&amp;$C351&amp;"]["&amp;$D351&amp;"]["&amp;$F351&amp;"]"</f>
        <v>[S05_DefaultValues][47][InstallationNumber]</v>
      </c>
    </row>
    <row r="352" spans="1:15" x14ac:dyDescent="0.3">
      <c r="A352" t="s">
        <v>1793</v>
      </c>
      <c r="B352" t="s">
        <v>1924</v>
      </c>
      <c r="C352" t="s">
        <v>1932</v>
      </c>
      <c r="D352">
        <v>48</v>
      </c>
      <c r="E352" t="s">
        <v>1447</v>
      </c>
      <c r="F352" t="s">
        <v>1977</v>
      </c>
      <c r="G352" t="s">
        <v>1811</v>
      </c>
      <c r="H352" t="s">
        <v>1799</v>
      </c>
      <c r="I352">
        <v>1</v>
      </c>
      <c r="J352" t="s">
        <v>1799</v>
      </c>
      <c r="K352" t="s">
        <v>1799</v>
      </c>
      <c r="L352" t="s">
        <v>1799</v>
      </c>
      <c r="M352" t="s">
        <v>1799</v>
      </c>
      <c r="N352" t="s">
        <v>1799</v>
      </c>
      <c r="O352" s="184" t="str">
        <f>"["&amp;$C352&amp;"]["&amp;$D352&amp;"]["&amp;$F352&amp;"]"</f>
        <v>[S05_DefaultValues][48][InstallationNumber]</v>
      </c>
    </row>
    <row r="353" spans="1:15" x14ac:dyDescent="0.3">
      <c r="A353" t="s">
        <v>1793</v>
      </c>
      <c r="B353" t="s">
        <v>1924</v>
      </c>
      <c r="C353" t="s">
        <v>1932</v>
      </c>
      <c r="D353">
        <v>49</v>
      </c>
      <c r="E353" t="s">
        <v>1447</v>
      </c>
      <c r="F353" t="s">
        <v>1977</v>
      </c>
      <c r="G353" t="s">
        <v>1811</v>
      </c>
      <c r="H353" t="s">
        <v>1799</v>
      </c>
      <c r="I353">
        <v>1</v>
      </c>
      <c r="J353" t="s">
        <v>1799</v>
      </c>
      <c r="K353" t="s">
        <v>1799</v>
      </c>
      <c r="L353" t="s">
        <v>1799</v>
      </c>
      <c r="M353" t="s">
        <v>1799</v>
      </c>
      <c r="N353" t="s">
        <v>1799</v>
      </c>
      <c r="O353" s="184" t="str">
        <f>"["&amp;$C353&amp;"]["&amp;$D353&amp;"]["&amp;$F353&amp;"]"</f>
        <v>[S05_DefaultValues][49][InstallationNumber]</v>
      </c>
    </row>
    <row r="354" spans="1:15" x14ac:dyDescent="0.3">
      <c r="A354" t="s">
        <v>1793</v>
      </c>
      <c r="B354" t="s">
        <v>1924</v>
      </c>
      <c r="C354" t="s">
        <v>1932</v>
      </c>
      <c r="D354">
        <v>50</v>
      </c>
      <c r="E354" t="s">
        <v>1447</v>
      </c>
      <c r="F354" t="s">
        <v>1977</v>
      </c>
      <c r="G354" t="s">
        <v>1811</v>
      </c>
      <c r="H354" t="s">
        <v>1799</v>
      </c>
      <c r="I354">
        <v>1</v>
      </c>
      <c r="J354" t="s">
        <v>1799</v>
      </c>
      <c r="K354" t="s">
        <v>1799</v>
      </c>
      <c r="L354" t="s">
        <v>1799</v>
      </c>
      <c r="M354" t="s">
        <v>1799</v>
      </c>
      <c r="N354" t="s">
        <v>1799</v>
      </c>
      <c r="O354" s="184" t="str">
        <f>"["&amp;$C354&amp;"]["&amp;$D354&amp;"]["&amp;$F354&amp;"]"</f>
        <v>[S05_DefaultValues][50][InstallationNumber]</v>
      </c>
    </row>
    <row r="355" spans="1:15" x14ac:dyDescent="0.3">
      <c r="A355" t="s">
        <v>1793</v>
      </c>
      <c r="B355" t="s">
        <v>1924</v>
      </c>
      <c r="C355" t="s">
        <v>1932</v>
      </c>
      <c r="D355">
        <v>51</v>
      </c>
      <c r="E355" t="s">
        <v>1447</v>
      </c>
      <c r="F355" t="s">
        <v>1977</v>
      </c>
      <c r="G355" t="s">
        <v>1811</v>
      </c>
      <c r="H355" t="s">
        <v>1799</v>
      </c>
      <c r="I355">
        <v>1</v>
      </c>
      <c r="J355" t="s">
        <v>1799</v>
      </c>
      <c r="K355" t="s">
        <v>1799</v>
      </c>
      <c r="L355" t="s">
        <v>1799</v>
      </c>
      <c r="M355" t="s">
        <v>1799</v>
      </c>
      <c r="N355" t="s">
        <v>1799</v>
      </c>
      <c r="O355" s="184" t="str">
        <f>"["&amp;$C355&amp;"]["&amp;$D355&amp;"]["&amp;$F355&amp;"]"</f>
        <v>[S05_DefaultValues][51][InstallationNumber]</v>
      </c>
    </row>
    <row r="356" spans="1:15" x14ac:dyDescent="0.3">
      <c r="A356" t="s">
        <v>1793</v>
      </c>
      <c r="B356" t="s">
        <v>1924</v>
      </c>
      <c r="C356" t="s">
        <v>1932</v>
      </c>
      <c r="D356">
        <v>52</v>
      </c>
      <c r="E356" t="s">
        <v>1447</v>
      </c>
      <c r="F356" t="s">
        <v>1977</v>
      </c>
      <c r="G356" t="s">
        <v>1811</v>
      </c>
      <c r="H356" t="s">
        <v>1799</v>
      </c>
      <c r="I356">
        <v>1</v>
      </c>
      <c r="J356" t="s">
        <v>1799</v>
      </c>
      <c r="K356" t="s">
        <v>1799</v>
      </c>
      <c r="L356" t="s">
        <v>1799</v>
      </c>
      <c r="M356" t="s">
        <v>1799</v>
      </c>
      <c r="N356" t="s">
        <v>1799</v>
      </c>
      <c r="O356" s="184" t="str">
        <f>"["&amp;$C356&amp;"]["&amp;$D356&amp;"]["&amp;$F356&amp;"]"</f>
        <v>[S05_DefaultValues][52][InstallationNumber]</v>
      </c>
    </row>
    <row r="357" spans="1:15" x14ac:dyDescent="0.3">
      <c r="A357" t="s">
        <v>1793</v>
      </c>
      <c r="B357" t="s">
        <v>1924</v>
      </c>
      <c r="C357" t="s">
        <v>1932</v>
      </c>
      <c r="D357">
        <v>53</v>
      </c>
      <c r="E357" t="s">
        <v>1447</v>
      </c>
      <c r="F357" t="s">
        <v>1977</v>
      </c>
      <c r="G357" t="s">
        <v>1811</v>
      </c>
      <c r="H357" t="s">
        <v>1799</v>
      </c>
      <c r="I357">
        <v>1</v>
      </c>
      <c r="J357" t="s">
        <v>1799</v>
      </c>
      <c r="K357" t="s">
        <v>1799</v>
      </c>
      <c r="L357" t="s">
        <v>1799</v>
      </c>
      <c r="M357" t="s">
        <v>1799</v>
      </c>
      <c r="N357" t="s">
        <v>1799</v>
      </c>
      <c r="O357" s="184" t="str">
        <f>"["&amp;$C357&amp;"]["&amp;$D357&amp;"]["&amp;$F357&amp;"]"</f>
        <v>[S05_DefaultValues][53][InstallationNumber]</v>
      </c>
    </row>
    <row r="358" spans="1:15" x14ac:dyDescent="0.3">
      <c r="A358" t="s">
        <v>1793</v>
      </c>
      <c r="B358" t="s">
        <v>1978</v>
      </c>
      <c r="C358" t="s">
        <v>1979</v>
      </c>
      <c r="D358">
        <v>1</v>
      </c>
      <c r="E358" t="s">
        <v>1447</v>
      </c>
      <c r="F358" t="s">
        <v>1980</v>
      </c>
      <c r="G358" t="s">
        <v>1797</v>
      </c>
      <c r="H358" t="s">
        <v>1981</v>
      </c>
      <c r="I358" t="s">
        <v>1799</v>
      </c>
      <c r="J358" t="s">
        <v>1799</v>
      </c>
      <c r="K358" t="s">
        <v>1799</v>
      </c>
      <c r="L358" t="s">
        <v>1799</v>
      </c>
      <c r="M358" t="s">
        <v>1799</v>
      </c>
      <c r="N358" t="s">
        <v>1799</v>
      </c>
      <c r="O358" s="184" t="str">
        <f>"["&amp;$C358&amp;"]["&amp;$D358&amp;"]["&amp;$F358&amp;"]"</f>
        <v>[S05_InstallationDifferentSamplingFrequency][1][SamplingFuelMaterial]</v>
      </c>
    </row>
    <row r="359" spans="1:15" x14ac:dyDescent="0.3">
      <c r="A359" t="s">
        <v>1793</v>
      </c>
      <c r="B359" t="s">
        <v>1978</v>
      </c>
      <c r="C359" t="s">
        <v>1979</v>
      </c>
      <c r="D359">
        <v>1</v>
      </c>
      <c r="E359" t="s">
        <v>1447</v>
      </c>
      <c r="F359" t="s">
        <v>1982</v>
      </c>
      <c r="G359" t="s">
        <v>1811</v>
      </c>
      <c r="H359" t="s">
        <v>1799</v>
      </c>
      <c r="I359">
        <v>4</v>
      </c>
      <c r="J359" t="s">
        <v>1799</v>
      </c>
      <c r="K359" t="s">
        <v>1799</v>
      </c>
      <c r="L359" t="s">
        <v>1799</v>
      </c>
      <c r="M359" t="s">
        <v>1799</v>
      </c>
      <c r="N359" t="s">
        <v>1799</v>
      </c>
      <c r="O359" s="184" t="str">
        <f>"["&amp;$C359&amp;"]["&amp;$D359&amp;"]["&amp;$F359&amp;"]"</f>
        <v>[S05_InstallationDifferentSamplingFrequency][1][CountInstallationsDiffFrequency]</v>
      </c>
    </row>
    <row r="360" spans="1:15" x14ac:dyDescent="0.3">
      <c r="A360" t="s">
        <v>1793</v>
      </c>
      <c r="B360" t="s">
        <v>1978</v>
      </c>
      <c r="C360" t="s">
        <v>1979</v>
      </c>
      <c r="D360">
        <v>1</v>
      </c>
      <c r="E360" t="s">
        <v>1447</v>
      </c>
      <c r="F360" t="s">
        <v>1983</v>
      </c>
      <c r="G360" t="s">
        <v>1811</v>
      </c>
      <c r="H360" t="s">
        <v>1799</v>
      </c>
      <c r="I360">
        <v>4</v>
      </c>
      <c r="J360" t="s">
        <v>1799</v>
      </c>
      <c r="K360" t="s">
        <v>1799</v>
      </c>
      <c r="L360" t="s">
        <v>1799</v>
      </c>
      <c r="M360" t="s">
        <v>1799</v>
      </c>
      <c r="N360" t="s">
        <v>1799</v>
      </c>
      <c r="O360" s="184" t="str">
        <f>"["&amp;$C360&amp;"]["&amp;$D360&amp;"]["&amp;$F360&amp;"]"</f>
        <v>[S05_InstallationDifferentSamplingFrequency][1][MajorSourceStreams]</v>
      </c>
    </row>
    <row r="361" spans="1:15" x14ac:dyDescent="0.3">
      <c r="A361" t="s">
        <v>1793</v>
      </c>
      <c r="B361" t="s">
        <v>1978</v>
      </c>
      <c r="C361" t="s">
        <v>1979</v>
      </c>
      <c r="D361">
        <v>1</v>
      </c>
      <c r="E361" t="s">
        <v>1447</v>
      </c>
      <c r="F361" t="s">
        <v>1984</v>
      </c>
      <c r="G361" t="s">
        <v>1833</v>
      </c>
      <c r="H361" t="s">
        <v>1799</v>
      </c>
      <c r="I361" t="s">
        <v>1799</v>
      </c>
      <c r="J361" t="s">
        <v>1799</v>
      </c>
      <c r="K361" t="s">
        <v>1799</v>
      </c>
      <c r="L361" t="s">
        <v>1419</v>
      </c>
      <c r="M361" t="s">
        <v>1799</v>
      </c>
      <c r="N361" t="s">
        <v>1799</v>
      </c>
      <c r="O361" s="184" t="str">
        <f>"["&amp;$C361&amp;"]["&amp;$D361&amp;"]["&amp;$F361&amp;"]"</f>
        <v>[S05_InstallationDifferentSamplingFrequency][1][SamplingPlanDocumented]</v>
      </c>
    </row>
    <row r="362" spans="1:15" x14ac:dyDescent="0.3">
      <c r="A362" t="s">
        <v>1793</v>
      </c>
      <c r="B362" t="s">
        <v>1985</v>
      </c>
      <c r="C362" t="s">
        <v>1986</v>
      </c>
      <c r="D362">
        <v>1</v>
      </c>
      <c r="E362" t="s">
        <v>1447</v>
      </c>
      <c r="F362" t="s">
        <v>1987</v>
      </c>
      <c r="G362" t="s">
        <v>1797</v>
      </c>
      <c r="H362" t="s">
        <v>1988</v>
      </c>
      <c r="I362" t="s">
        <v>1799</v>
      </c>
      <c r="J362" t="s">
        <v>1799</v>
      </c>
      <c r="K362" t="s">
        <v>1799</v>
      </c>
      <c r="L362" t="s">
        <v>1799</v>
      </c>
      <c r="M362" t="s">
        <v>1799</v>
      </c>
      <c r="N362" t="s">
        <v>1799</v>
      </c>
      <c r="O362" s="184" t="str">
        <f>"["&amp;$C362&amp;"]["&amp;$D362&amp;"]["&amp;$F362&amp;"]"</f>
        <v>[S05_CategoryCHighestTierNotApplied][1][InstallationID]</v>
      </c>
    </row>
    <row r="363" spans="1:15" x14ac:dyDescent="0.3">
      <c r="A363" t="s">
        <v>1793</v>
      </c>
      <c r="B363" t="s">
        <v>1985</v>
      </c>
      <c r="C363" t="s">
        <v>1986</v>
      </c>
      <c r="D363">
        <v>2</v>
      </c>
      <c r="E363" t="s">
        <v>1447</v>
      </c>
      <c r="F363" t="s">
        <v>1987</v>
      </c>
      <c r="G363" t="s">
        <v>1797</v>
      </c>
      <c r="H363" t="s">
        <v>1989</v>
      </c>
      <c r="I363" t="s">
        <v>1799</v>
      </c>
      <c r="J363" t="s">
        <v>1799</v>
      </c>
      <c r="K363" t="s">
        <v>1799</v>
      </c>
      <c r="L363" t="s">
        <v>1799</v>
      </c>
      <c r="M363" t="s">
        <v>1799</v>
      </c>
      <c r="N363" t="s">
        <v>1799</v>
      </c>
      <c r="O363" s="184" t="str">
        <f>"["&amp;$C363&amp;"]["&amp;$D363&amp;"]["&amp;$F363&amp;"]"</f>
        <v>[S05_CategoryCHighestTierNotApplied][2][InstallationID]</v>
      </c>
    </row>
    <row r="364" spans="1:15" x14ac:dyDescent="0.3">
      <c r="A364" t="s">
        <v>1793</v>
      </c>
      <c r="B364" t="s">
        <v>1985</v>
      </c>
      <c r="C364" t="s">
        <v>1986</v>
      </c>
      <c r="D364">
        <v>3</v>
      </c>
      <c r="E364" t="s">
        <v>1447</v>
      </c>
      <c r="F364" t="s">
        <v>1987</v>
      </c>
      <c r="G364" t="s">
        <v>1797</v>
      </c>
      <c r="H364" t="s">
        <v>1989</v>
      </c>
      <c r="I364" t="s">
        <v>1799</v>
      </c>
      <c r="J364" t="s">
        <v>1799</v>
      </c>
      <c r="K364" t="s">
        <v>1799</v>
      </c>
      <c r="L364" t="s">
        <v>1799</v>
      </c>
      <c r="M364" t="s">
        <v>1799</v>
      </c>
      <c r="N364" t="s">
        <v>1799</v>
      </c>
      <c r="O364" s="184" t="str">
        <f>"["&amp;$C364&amp;"]["&amp;$D364&amp;"]["&amp;$F364&amp;"]"</f>
        <v>[S05_CategoryCHighestTierNotApplied][3][InstallationID]</v>
      </c>
    </row>
    <row r="365" spans="1:15" x14ac:dyDescent="0.3">
      <c r="A365" t="s">
        <v>1793</v>
      </c>
      <c r="B365" t="s">
        <v>1985</v>
      </c>
      <c r="C365" t="s">
        <v>1986</v>
      </c>
      <c r="D365">
        <v>4</v>
      </c>
      <c r="E365" t="s">
        <v>1447</v>
      </c>
      <c r="F365" t="s">
        <v>1987</v>
      </c>
      <c r="G365" t="s">
        <v>1797</v>
      </c>
      <c r="H365" t="s">
        <v>1989</v>
      </c>
      <c r="I365" t="s">
        <v>1799</v>
      </c>
      <c r="J365" t="s">
        <v>1799</v>
      </c>
      <c r="K365" t="s">
        <v>1799</v>
      </c>
      <c r="L365" t="s">
        <v>1799</v>
      </c>
      <c r="M365" t="s">
        <v>1799</v>
      </c>
      <c r="N365" t="s">
        <v>1799</v>
      </c>
      <c r="O365" s="184" t="str">
        <f>"["&amp;$C365&amp;"]["&amp;$D365&amp;"]["&amp;$F365&amp;"]"</f>
        <v>[S05_CategoryCHighestTierNotApplied][4][InstallationID]</v>
      </c>
    </row>
    <row r="366" spans="1:15" x14ac:dyDescent="0.3">
      <c r="A366" t="s">
        <v>1793</v>
      </c>
      <c r="B366" t="s">
        <v>1985</v>
      </c>
      <c r="C366" t="s">
        <v>1986</v>
      </c>
      <c r="D366">
        <v>5</v>
      </c>
      <c r="E366" t="s">
        <v>1447</v>
      </c>
      <c r="F366" t="s">
        <v>1987</v>
      </c>
      <c r="G366" t="s">
        <v>1797</v>
      </c>
      <c r="H366" t="s">
        <v>1989</v>
      </c>
      <c r="I366" t="s">
        <v>1799</v>
      </c>
      <c r="J366" t="s">
        <v>1799</v>
      </c>
      <c r="K366" t="s">
        <v>1799</v>
      </c>
      <c r="L366" t="s">
        <v>1799</v>
      </c>
      <c r="M366" t="s">
        <v>1799</v>
      </c>
      <c r="N366" t="s">
        <v>1799</v>
      </c>
      <c r="O366" s="184" t="str">
        <f>"["&amp;$C366&amp;"]["&amp;$D366&amp;"]["&amp;$F366&amp;"]"</f>
        <v>[S05_CategoryCHighestTierNotApplied][5][InstallationID]</v>
      </c>
    </row>
    <row r="367" spans="1:15" x14ac:dyDescent="0.3">
      <c r="A367" t="s">
        <v>1793</v>
      </c>
      <c r="B367" t="s">
        <v>1985</v>
      </c>
      <c r="C367" t="s">
        <v>1986</v>
      </c>
      <c r="D367">
        <v>6</v>
      </c>
      <c r="E367" t="s">
        <v>1447</v>
      </c>
      <c r="F367" t="s">
        <v>1987</v>
      </c>
      <c r="G367" t="s">
        <v>1797</v>
      </c>
      <c r="H367" t="s">
        <v>1990</v>
      </c>
      <c r="I367" t="s">
        <v>1799</v>
      </c>
      <c r="J367" t="s">
        <v>1799</v>
      </c>
      <c r="K367" t="s">
        <v>1799</v>
      </c>
      <c r="L367" t="s">
        <v>1799</v>
      </c>
      <c r="M367" t="s">
        <v>1799</v>
      </c>
      <c r="N367" t="s">
        <v>1799</v>
      </c>
      <c r="O367" s="184" t="str">
        <f>"["&amp;$C367&amp;"]["&amp;$D367&amp;"]["&amp;$F367&amp;"]"</f>
        <v>[S05_CategoryCHighestTierNotApplied][6][InstallationID]</v>
      </c>
    </row>
    <row r="368" spans="1:15" x14ac:dyDescent="0.3">
      <c r="A368" t="s">
        <v>1793</v>
      </c>
      <c r="B368" t="s">
        <v>1985</v>
      </c>
      <c r="C368" t="s">
        <v>1986</v>
      </c>
      <c r="D368">
        <v>7</v>
      </c>
      <c r="E368" t="s">
        <v>1447</v>
      </c>
      <c r="F368" t="s">
        <v>1987</v>
      </c>
      <c r="G368" t="s">
        <v>1797</v>
      </c>
      <c r="H368" t="s">
        <v>1991</v>
      </c>
      <c r="I368" t="s">
        <v>1799</v>
      </c>
      <c r="J368" t="s">
        <v>1799</v>
      </c>
      <c r="K368" t="s">
        <v>1799</v>
      </c>
      <c r="L368" t="s">
        <v>1799</v>
      </c>
      <c r="M368" t="s">
        <v>1799</v>
      </c>
      <c r="N368" t="s">
        <v>1799</v>
      </c>
      <c r="O368" s="184" t="str">
        <f>"["&amp;$C368&amp;"]["&amp;$D368&amp;"]["&amp;$F368&amp;"]"</f>
        <v>[S05_CategoryCHighestTierNotApplied][7][InstallationID]</v>
      </c>
    </row>
    <row r="369" spans="1:15" x14ac:dyDescent="0.3">
      <c r="A369" t="s">
        <v>1793</v>
      </c>
      <c r="B369" t="s">
        <v>1985</v>
      </c>
      <c r="C369" t="s">
        <v>1986</v>
      </c>
      <c r="D369">
        <v>8</v>
      </c>
      <c r="E369" t="s">
        <v>1447</v>
      </c>
      <c r="F369" t="s">
        <v>1987</v>
      </c>
      <c r="G369" t="s">
        <v>1797</v>
      </c>
      <c r="H369" t="s">
        <v>1991</v>
      </c>
      <c r="I369" t="s">
        <v>1799</v>
      </c>
      <c r="J369" t="s">
        <v>1799</v>
      </c>
      <c r="K369" t="s">
        <v>1799</v>
      </c>
      <c r="L369" t="s">
        <v>1799</v>
      </c>
      <c r="M369" t="s">
        <v>1799</v>
      </c>
      <c r="N369" t="s">
        <v>1799</v>
      </c>
      <c r="O369" s="184" t="str">
        <f>"["&amp;$C369&amp;"]["&amp;$D369&amp;"]["&amp;$F369&amp;"]"</f>
        <v>[S05_CategoryCHighestTierNotApplied][8][InstallationID]</v>
      </c>
    </row>
    <row r="370" spans="1:15" x14ac:dyDescent="0.3">
      <c r="A370" t="s">
        <v>1793</v>
      </c>
      <c r="B370" t="s">
        <v>1985</v>
      </c>
      <c r="C370" t="s">
        <v>1986</v>
      </c>
      <c r="D370">
        <v>9</v>
      </c>
      <c r="E370" t="s">
        <v>1447</v>
      </c>
      <c r="F370" t="s">
        <v>1987</v>
      </c>
      <c r="G370" t="s">
        <v>1797</v>
      </c>
      <c r="H370" t="s">
        <v>1991</v>
      </c>
      <c r="I370" t="s">
        <v>1799</v>
      </c>
      <c r="J370" t="s">
        <v>1799</v>
      </c>
      <c r="K370" t="s">
        <v>1799</v>
      </c>
      <c r="L370" t="s">
        <v>1799</v>
      </c>
      <c r="M370" t="s">
        <v>1799</v>
      </c>
      <c r="N370" t="s">
        <v>1799</v>
      </c>
      <c r="O370" s="184" t="str">
        <f>"["&amp;$C370&amp;"]["&amp;$D370&amp;"]["&amp;$F370&amp;"]"</f>
        <v>[S05_CategoryCHighestTierNotApplied][9][InstallationID]</v>
      </c>
    </row>
    <row r="371" spans="1:15" x14ac:dyDescent="0.3">
      <c r="A371" t="s">
        <v>1793</v>
      </c>
      <c r="B371" t="s">
        <v>1985</v>
      </c>
      <c r="C371" t="s">
        <v>1986</v>
      </c>
      <c r="D371">
        <v>10</v>
      </c>
      <c r="E371" t="s">
        <v>1447</v>
      </c>
      <c r="F371" t="s">
        <v>1987</v>
      </c>
      <c r="G371" t="s">
        <v>1797</v>
      </c>
      <c r="H371" t="s">
        <v>1991</v>
      </c>
      <c r="I371" t="s">
        <v>1799</v>
      </c>
      <c r="J371" t="s">
        <v>1799</v>
      </c>
      <c r="K371" t="s">
        <v>1799</v>
      </c>
      <c r="L371" t="s">
        <v>1799</v>
      </c>
      <c r="M371" t="s">
        <v>1799</v>
      </c>
      <c r="N371" t="s">
        <v>1799</v>
      </c>
      <c r="O371" s="184" t="str">
        <f>"["&amp;$C371&amp;"]["&amp;$D371&amp;"]["&amp;$F371&amp;"]"</f>
        <v>[S05_CategoryCHighestTierNotApplied][10][InstallationID]</v>
      </c>
    </row>
    <row r="372" spans="1:15" x14ac:dyDescent="0.3">
      <c r="A372" t="s">
        <v>1793</v>
      </c>
      <c r="B372" t="s">
        <v>1985</v>
      </c>
      <c r="C372" t="s">
        <v>1986</v>
      </c>
      <c r="D372">
        <v>11</v>
      </c>
      <c r="E372" t="s">
        <v>1447</v>
      </c>
      <c r="F372" t="s">
        <v>1987</v>
      </c>
      <c r="G372" t="s">
        <v>1797</v>
      </c>
      <c r="H372" t="s">
        <v>1991</v>
      </c>
      <c r="I372" t="s">
        <v>1799</v>
      </c>
      <c r="J372" t="s">
        <v>1799</v>
      </c>
      <c r="K372" t="s">
        <v>1799</v>
      </c>
      <c r="L372" t="s">
        <v>1799</v>
      </c>
      <c r="M372" t="s">
        <v>1799</v>
      </c>
      <c r="N372" t="s">
        <v>1799</v>
      </c>
      <c r="O372" s="184" t="str">
        <f>"["&amp;$C372&amp;"]["&amp;$D372&amp;"]["&amp;$F372&amp;"]"</f>
        <v>[S05_CategoryCHighestTierNotApplied][11][InstallationID]</v>
      </c>
    </row>
    <row r="373" spans="1:15" x14ac:dyDescent="0.3">
      <c r="A373" t="s">
        <v>1793</v>
      </c>
      <c r="B373" t="s">
        <v>1985</v>
      </c>
      <c r="C373" t="s">
        <v>1986</v>
      </c>
      <c r="D373">
        <v>12</v>
      </c>
      <c r="E373" t="s">
        <v>1447</v>
      </c>
      <c r="F373" t="s">
        <v>1987</v>
      </c>
      <c r="G373" t="s">
        <v>1797</v>
      </c>
      <c r="H373" t="s">
        <v>1991</v>
      </c>
      <c r="I373" t="s">
        <v>1799</v>
      </c>
      <c r="J373" t="s">
        <v>1799</v>
      </c>
      <c r="K373" t="s">
        <v>1799</v>
      </c>
      <c r="L373" t="s">
        <v>1799</v>
      </c>
      <c r="M373" t="s">
        <v>1799</v>
      </c>
      <c r="N373" t="s">
        <v>1799</v>
      </c>
      <c r="O373" s="184" t="str">
        <f>"["&amp;$C373&amp;"]["&amp;$D373&amp;"]["&amp;$F373&amp;"]"</f>
        <v>[S05_CategoryCHighestTierNotApplied][12][InstallationID]</v>
      </c>
    </row>
    <row r="374" spans="1:15" x14ac:dyDescent="0.3">
      <c r="A374" t="s">
        <v>1793</v>
      </c>
      <c r="B374" t="s">
        <v>1985</v>
      </c>
      <c r="C374" t="s">
        <v>1986</v>
      </c>
      <c r="D374">
        <v>13</v>
      </c>
      <c r="E374" t="s">
        <v>1447</v>
      </c>
      <c r="F374" t="s">
        <v>1987</v>
      </c>
      <c r="G374" t="s">
        <v>1797</v>
      </c>
      <c r="H374" t="s">
        <v>1991</v>
      </c>
      <c r="I374" t="s">
        <v>1799</v>
      </c>
      <c r="J374" t="s">
        <v>1799</v>
      </c>
      <c r="K374" t="s">
        <v>1799</v>
      </c>
      <c r="L374" t="s">
        <v>1799</v>
      </c>
      <c r="M374" t="s">
        <v>1799</v>
      </c>
      <c r="N374" t="s">
        <v>1799</v>
      </c>
      <c r="O374" s="184" t="str">
        <f>"["&amp;$C374&amp;"]["&amp;$D374&amp;"]["&amp;$F374&amp;"]"</f>
        <v>[S05_CategoryCHighestTierNotApplied][13][InstallationID]</v>
      </c>
    </row>
    <row r="375" spans="1:15" x14ac:dyDescent="0.3">
      <c r="A375" t="s">
        <v>1793</v>
      </c>
      <c r="B375" t="s">
        <v>1985</v>
      </c>
      <c r="C375" t="s">
        <v>1986</v>
      </c>
      <c r="D375">
        <v>14</v>
      </c>
      <c r="E375" t="s">
        <v>1447</v>
      </c>
      <c r="F375" t="s">
        <v>1987</v>
      </c>
      <c r="G375" t="s">
        <v>1797</v>
      </c>
      <c r="H375" t="s">
        <v>1991</v>
      </c>
      <c r="I375" t="s">
        <v>1799</v>
      </c>
      <c r="J375" t="s">
        <v>1799</v>
      </c>
      <c r="K375" t="s">
        <v>1799</v>
      </c>
      <c r="L375" t="s">
        <v>1799</v>
      </c>
      <c r="M375" t="s">
        <v>1799</v>
      </c>
      <c r="N375" t="s">
        <v>1799</v>
      </c>
      <c r="O375" s="184" t="str">
        <f>"["&amp;$C375&amp;"]["&amp;$D375&amp;"]["&amp;$F375&amp;"]"</f>
        <v>[S05_CategoryCHighestTierNotApplied][14][InstallationID]</v>
      </c>
    </row>
    <row r="376" spans="1:15" x14ac:dyDescent="0.3">
      <c r="A376" t="s">
        <v>1793</v>
      </c>
      <c r="B376" t="s">
        <v>1985</v>
      </c>
      <c r="C376" t="s">
        <v>1986</v>
      </c>
      <c r="D376">
        <v>15</v>
      </c>
      <c r="E376" t="s">
        <v>1447</v>
      </c>
      <c r="F376" t="s">
        <v>1987</v>
      </c>
      <c r="G376" t="s">
        <v>1797</v>
      </c>
      <c r="H376" t="s">
        <v>1992</v>
      </c>
      <c r="I376" t="s">
        <v>1799</v>
      </c>
      <c r="J376" t="s">
        <v>1799</v>
      </c>
      <c r="K376" t="s">
        <v>1799</v>
      </c>
      <c r="L376" t="s">
        <v>1799</v>
      </c>
      <c r="M376" t="s">
        <v>1799</v>
      </c>
      <c r="N376" t="s">
        <v>1799</v>
      </c>
      <c r="O376" s="184" t="str">
        <f>"["&amp;$C376&amp;"]["&amp;$D376&amp;"]["&amp;$F376&amp;"]"</f>
        <v>[S05_CategoryCHighestTierNotApplied][15][InstallationID]</v>
      </c>
    </row>
    <row r="377" spans="1:15" x14ac:dyDescent="0.3">
      <c r="A377" t="s">
        <v>1793</v>
      </c>
      <c r="B377" t="s">
        <v>1985</v>
      </c>
      <c r="C377" t="s">
        <v>1986</v>
      </c>
      <c r="D377">
        <v>16</v>
      </c>
      <c r="E377" t="s">
        <v>1447</v>
      </c>
      <c r="F377" t="s">
        <v>1987</v>
      </c>
      <c r="G377" t="s">
        <v>1797</v>
      </c>
      <c r="H377" t="s">
        <v>1992</v>
      </c>
      <c r="I377" t="s">
        <v>1799</v>
      </c>
      <c r="J377" t="s">
        <v>1799</v>
      </c>
      <c r="K377" t="s">
        <v>1799</v>
      </c>
      <c r="L377" t="s">
        <v>1799</v>
      </c>
      <c r="M377" t="s">
        <v>1799</v>
      </c>
      <c r="N377" t="s">
        <v>1799</v>
      </c>
      <c r="O377" s="184" t="str">
        <f>"["&amp;$C377&amp;"]["&amp;$D377&amp;"]["&amp;$F377&amp;"]"</f>
        <v>[S05_CategoryCHighestTierNotApplied][16][InstallationID]</v>
      </c>
    </row>
    <row r="378" spans="1:15" x14ac:dyDescent="0.3">
      <c r="A378" t="s">
        <v>1793</v>
      </c>
      <c r="B378" t="s">
        <v>1985</v>
      </c>
      <c r="C378" t="s">
        <v>1986</v>
      </c>
      <c r="D378">
        <v>17</v>
      </c>
      <c r="E378" t="s">
        <v>1447</v>
      </c>
      <c r="F378" t="s">
        <v>1987</v>
      </c>
      <c r="G378" t="s">
        <v>1797</v>
      </c>
      <c r="H378" t="s">
        <v>1992</v>
      </c>
      <c r="I378" t="s">
        <v>1799</v>
      </c>
      <c r="J378" t="s">
        <v>1799</v>
      </c>
      <c r="K378" t="s">
        <v>1799</v>
      </c>
      <c r="L378" t="s">
        <v>1799</v>
      </c>
      <c r="M378" t="s">
        <v>1799</v>
      </c>
      <c r="N378" t="s">
        <v>1799</v>
      </c>
      <c r="O378" s="184" t="str">
        <f>"["&amp;$C378&amp;"]["&amp;$D378&amp;"]["&amp;$F378&amp;"]"</f>
        <v>[S05_CategoryCHighestTierNotApplied][17][InstallationID]</v>
      </c>
    </row>
    <row r="379" spans="1:15" x14ac:dyDescent="0.3">
      <c r="A379" t="s">
        <v>1793</v>
      </c>
      <c r="B379" t="s">
        <v>1985</v>
      </c>
      <c r="C379" t="s">
        <v>1986</v>
      </c>
      <c r="D379">
        <v>18</v>
      </c>
      <c r="E379" t="s">
        <v>1447</v>
      </c>
      <c r="F379" t="s">
        <v>1987</v>
      </c>
      <c r="G379" t="s">
        <v>1797</v>
      </c>
      <c r="H379" t="s">
        <v>1992</v>
      </c>
      <c r="I379" t="s">
        <v>1799</v>
      </c>
      <c r="J379" t="s">
        <v>1799</v>
      </c>
      <c r="K379" t="s">
        <v>1799</v>
      </c>
      <c r="L379" t="s">
        <v>1799</v>
      </c>
      <c r="M379" t="s">
        <v>1799</v>
      </c>
      <c r="N379" t="s">
        <v>1799</v>
      </c>
      <c r="O379" s="184" t="str">
        <f>"["&amp;$C379&amp;"]["&amp;$D379&amp;"]["&amp;$F379&amp;"]"</f>
        <v>[S05_CategoryCHighestTierNotApplied][18][InstallationID]</v>
      </c>
    </row>
    <row r="380" spans="1:15" x14ac:dyDescent="0.3">
      <c r="A380" t="s">
        <v>1793</v>
      </c>
      <c r="B380" t="s">
        <v>1985</v>
      </c>
      <c r="C380" t="s">
        <v>1986</v>
      </c>
      <c r="D380">
        <v>19</v>
      </c>
      <c r="E380" t="s">
        <v>1447</v>
      </c>
      <c r="F380" t="s">
        <v>1987</v>
      </c>
      <c r="G380" t="s">
        <v>1797</v>
      </c>
      <c r="H380" t="s">
        <v>1992</v>
      </c>
      <c r="I380" t="s">
        <v>1799</v>
      </c>
      <c r="J380" t="s">
        <v>1799</v>
      </c>
      <c r="K380" t="s">
        <v>1799</v>
      </c>
      <c r="L380" t="s">
        <v>1799</v>
      </c>
      <c r="M380" t="s">
        <v>1799</v>
      </c>
      <c r="N380" t="s">
        <v>1799</v>
      </c>
      <c r="O380" s="184" t="str">
        <f>"["&amp;$C380&amp;"]["&amp;$D380&amp;"]["&amp;$F380&amp;"]"</f>
        <v>[S05_CategoryCHighestTierNotApplied][19][InstallationID]</v>
      </c>
    </row>
    <row r="381" spans="1:15" x14ac:dyDescent="0.3">
      <c r="A381" t="s">
        <v>1793</v>
      </c>
      <c r="B381" t="s">
        <v>1985</v>
      </c>
      <c r="C381" t="s">
        <v>1986</v>
      </c>
      <c r="D381">
        <v>20</v>
      </c>
      <c r="E381" t="s">
        <v>1447</v>
      </c>
      <c r="F381" t="s">
        <v>1987</v>
      </c>
      <c r="G381" t="s">
        <v>1797</v>
      </c>
      <c r="H381" t="s">
        <v>1992</v>
      </c>
      <c r="I381" t="s">
        <v>1799</v>
      </c>
      <c r="J381" t="s">
        <v>1799</v>
      </c>
      <c r="K381" t="s">
        <v>1799</v>
      </c>
      <c r="L381" t="s">
        <v>1799</v>
      </c>
      <c r="M381" t="s">
        <v>1799</v>
      </c>
      <c r="N381" t="s">
        <v>1799</v>
      </c>
      <c r="O381" s="184" t="str">
        <f>"["&amp;$C381&amp;"]["&amp;$D381&amp;"]["&amp;$F381&amp;"]"</f>
        <v>[S05_CategoryCHighestTierNotApplied][20][InstallationID]</v>
      </c>
    </row>
    <row r="382" spans="1:15" x14ac:dyDescent="0.3">
      <c r="A382" t="s">
        <v>1793</v>
      </c>
      <c r="B382" t="s">
        <v>1985</v>
      </c>
      <c r="C382" t="s">
        <v>1986</v>
      </c>
      <c r="D382">
        <v>21</v>
      </c>
      <c r="E382" t="s">
        <v>1447</v>
      </c>
      <c r="F382" t="s">
        <v>1987</v>
      </c>
      <c r="G382" t="s">
        <v>1797</v>
      </c>
      <c r="H382" t="s">
        <v>1992</v>
      </c>
      <c r="I382" t="s">
        <v>1799</v>
      </c>
      <c r="J382" t="s">
        <v>1799</v>
      </c>
      <c r="K382" t="s">
        <v>1799</v>
      </c>
      <c r="L382" t="s">
        <v>1799</v>
      </c>
      <c r="M382" t="s">
        <v>1799</v>
      </c>
      <c r="N382" t="s">
        <v>1799</v>
      </c>
      <c r="O382" s="184" t="str">
        <f>"["&amp;$C382&amp;"]["&amp;$D382&amp;"]["&amp;$F382&amp;"]"</f>
        <v>[S05_CategoryCHighestTierNotApplied][21][InstallationID]</v>
      </c>
    </row>
    <row r="383" spans="1:15" x14ac:dyDescent="0.3">
      <c r="A383" t="s">
        <v>1793</v>
      </c>
      <c r="B383" t="s">
        <v>1985</v>
      </c>
      <c r="C383" t="s">
        <v>1986</v>
      </c>
      <c r="D383">
        <v>22</v>
      </c>
      <c r="E383" t="s">
        <v>1447</v>
      </c>
      <c r="F383" t="s">
        <v>1987</v>
      </c>
      <c r="G383" t="s">
        <v>1797</v>
      </c>
      <c r="H383" t="s">
        <v>1992</v>
      </c>
      <c r="I383" t="s">
        <v>1799</v>
      </c>
      <c r="J383" t="s">
        <v>1799</v>
      </c>
      <c r="K383" t="s">
        <v>1799</v>
      </c>
      <c r="L383" t="s">
        <v>1799</v>
      </c>
      <c r="M383" t="s">
        <v>1799</v>
      </c>
      <c r="N383" t="s">
        <v>1799</v>
      </c>
      <c r="O383" s="184" t="str">
        <f>"["&amp;$C383&amp;"]["&amp;$D383&amp;"]["&amp;$F383&amp;"]"</f>
        <v>[S05_CategoryCHighestTierNotApplied][22][InstallationID]</v>
      </c>
    </row>
    <row r="384" spans="1:15" x14ac:dyDescent="0.3">
      <c r="A384" t="s">
        <v>1793</v>
      </c>
      <c r="B384" t="s">
        <v>1985</v>
      </c>
      <c r="C384" t="s">
        <v>1986</v>
      </c>
      <c r="D384">
        <v>23</v>
      </c>
      <c r="E384" t="s">
        <v>1447</v>
      </c>
      <c r="F384" t="s">
        <v>1987</v>
      </c>
      <c r="G384" t="s">
        <v>1797</v>
      </c>
      <c r="H384" t="s">
        <v>1992</v>
      </c>
      <c r="I384" t="s">
        <v>1799</v>
      </c>
      <c r="J384" t="s">
        <v>1799</v>
      </c>
      <c r="K384" t="s">
        <v>1799</v>
      </c>
      <c r="L384" t="s">
        <v>1799</v>
      </c>
      <c r="M384" t="s">
        <v>1799</v>
      </c>
      <c r="N384" t="s">
        <v>1799</v>
      </c>
      <c r="O384" s="184" t="str">
        <f>"["&amp;$C384&amp;"]["&amp;$D384&amp;"]["&amp;$F384&amp;"]"</f>
        <v>[S05_CategoryCHighestTierNotApplied][23][InstallationID]</v>
      </c>
    </row>
    <row r="385" spans="1:15" x14ac:dyDescent="0.3">
      <c r="A385" t="s">
        <v>1793</v>
      </c>
      <c r="B385" t="s">
        <v>1985</v>
      </c>
      <c r="C385" t="s">
        <v>1986</v>
      </c>
      <c r="D385">
        <v>24</v>
      </c>
      <c r="E385" t="s">
        <v>1447</v>
      </c>
      <c r="F385" t="s">
        <v>1987</v>
      </c>
      <c r="G385" t="s">
        <v>1797</v>
      </c>
      <c r="H385" t="s">
        <v>1993</v>
      </c>
      <c r="I385" t="s">
        <v>1799</v>
      </c>
      <c r="J385" t="s">
        <v>1799</v>
      </c>
      <c r="K385" t="s">
        <v>1799</v>
      </c>
      <c r="L385" t="s">
        <v>1799</v>
      </c>
      <c r="M385" t="s">
        <v>1799</v>
      </c>
      <c r="N385" t="s">
        <v>1799</v>
      </c>
      <c r="O385" s="184" t="str">
        <f>"["&amp;$C385&amp;"]["&amp;$D385&amp;"]["&amp;$F385&amp;"]"</f>
        <v>[S05_CategoryCHighestTierNotApplied][24][InstallationID]</v>
      </c>
    </row>
    <row r="386" spans="1:15" x14ac:dyDescent="0.3">
      <c r="A386" t="s">
        <v>1793</v>
      </c>
      <c r="B386" t="s">
        <v>1985</v>
      </c>
      <c r="C386" t="s">
        <v>1986</v>
      </c>
      <c r="D386">
        <v>25</v>
      </c>
      <c r="E386" t="s">
        <v>1447</v>
      </c>
      <c r="F386" t="s">
        <v>1987</v>
      </c>
      <c r="G386" t="s">
        <v>1797</v>
      </c>
      <c r="H386" t="s">
        <v>1993</v>
      </c>
      <c r="I386" t="s">
        <v>1799</v>
      </c>
      <c r="J386" t="s">
        <v>1799</v>
      </c>
      <c r="K386" t="s">
        <v>1799</v>
      </c>
      <c r="L386" t="s">
        <v>1799</v>
      </c>
      <c r="M386" t="s">
        <v>1799</v>
      </c>
      <c r="N386" t="s">
        <v>1799</v>
      </c>
      <c r="O386" s="184" t="str">
        <f>"["&amp;$C386&amp;"]["&amp;$D386&amp;"]["&amp;$F386&amp;"]"</f>
        <v>[S05_CategoryCHighestTierNotApplied][25][InstallationID]</v>
      </c>
    </row>
    <row r="387" spans="1:15" x14ac:dyDescent="0.3">
      <c r="A387" t="s">
        <v>1793</v>
      </c>
      <c r="B387" t="s">
        <v>1985</v>
      </c>
      <c r="C387" t="s">
        <v>1986</v>
      </c>
      <c r="D387">
        <v>26</v>
      </c>
      <c r="E387" t="s">
        <v>1447</v>
      </c>
      <c r="F387" t="s">
        <v>1987</v>
      </c>
      <c r="G387" t="s">
        <v>1797</v>
      </c>
      <c r="H387" t="s">
        <v>1993</v>
      </c>
      <c r="I387" t="s">
        <v>1799</v>
      </c>
      <c r="J387" t="s">
        <v>1799</v>
      </c>
      <c r="K387" t="s">
        <v>1799</v>
      </c>
      <c r="L387" t="s">
        <v>1799</v>
      </c>
      <c r="M387" t="s">
        <v>1799</v>
      </c>
      <c r="N387" t="s">
        <v>1799</v>
      </c>
      <c r="O387" s="184" t="str">
        <f>"["&amp;$C387&amp;"]["&amp;$D387&amp;"]["&amp;$F387&amp;"]"</f>
        <v>[S05_CategoryCHighestTierNotApplied][26][InstallationID]</v>
      </c>
    </row>
    <row r="388" spans="1:15" x14ac:dyDescent="0.3">
      <c r="A388" t="s">
        <v>1793</v>
      </c>
      <c r="B388" t="s">
        <v>1985</v>
      </c>
      <c r="C388" t="s">
        <v>1986</v>
      </c>
      <c r="D388">
        <v>27</v>
      </c>
      <c r="E388" t="s">
        <v>1447</v>
      </c>
      <c r="F388" t="s">
        <v>1987</v>
      </c>
      <c r="G388" t="s">
        <v>1797</v>
      </c>
      <c r="H388" t="s">
        <v>1993</v>
      </c>
      <c r="I388" t="s">
        <v>1799</v>
      </c>
      <c r="J388" t="s">
        <v>1799</v>
      </c>
      <c r="K388" t="s">
        <v>1799</v>
      </c>
      <c r="L388" t="s">
        <v>1799</v>
      </c>
      <c r="M388" t="s">
        <v>1799</v>
      </c>
      <c r="N388" t="s">
        <v>1799</v>
      </c>
      <c r="O388" s="184" t="str">
        <f>"["&amp;$C388&amp;"]["&amp;$D388&amp;"]["&amp;$F388&amp;"]"</f>
        <v>[S05_CategoryCHighestTierNotApplied][27][InstallationID]</v>
      </c>
    </row>
    <row r="389" spans="1:15" x14ac:dyDescent="0.3">
      <c r="A389" t="s">
        <v>1793</v>
      </c>
      <c r="B389" t="s">
        <v>1985</v>
      </c>
      <c r="C389" t="s">
        <v>1986</v>
      </c>
      <c r="D389">
        <v>28</v>
      </c>
      <c r="E389" t="s">
        <v>1447</v>
      </c>
      <c r="F389" t="s">
        <v>1987</v>
      </c>
      <c r="G389" t="s">
        <v>1797</v>
      </c>
      <c r="H389" t="s">
        <v>1993</v>
      </c>
      <c r="I389" t="s">
        <v>1799</v>
      </c>
      <c r="J389" t="s">
        <v>1799</v>
      </c>
      <c r="K389" t="s">
        <v>1799</v>
      </c>
      <c r="L389" t="s">
        <v>1799</v>
      </c>
      <c r="M389" t="s">
        <v>1799</v>
      </c>
      <c r="N389" t="s">
        <v>1799</v>
      </c>
      <c r="O389" s="184" t="str">
        <f>"["&amp;$C389&amp;"]["&amp;$D389&amp;"]["&amp;$F389&amp;"]"</f>
        <v>[S05_CategoryCHighestTierNotApplied][28][InstallationID]</v>
      </c>
    </row>
    <row r="390" spans="1:15" x14ac:dyDescent="0.3">
      <c r="A390" t="s">
        <v>1793</v>
      </c>
      <c r="B390" t="s">
        <v>1985</v>
      </c>
      <c r="C390" t="s">
        <v>1986</v>
      </c>
      <c r="D390">
        <v>29</v>
      </c>
      <c r="E390" t="s">
        <v>1447</v>
      </c>
      <c r="F390" t="s">
        <v>1987</v>
      </c>
      <c r="G390" t="s">
        <v>1797</v>
      </c>
      <c r="H390" t="s">
        <v>1993</v>
      </c>
      <c r="I390" t="s">
        <v>1799</v>
      </c>
      <c r="J390" t="s">
        <v>1799</v>
      </c>
      <c r="K390" t="s">
        <v>1799</v>
      </c>
      <c r="L390" t="s">
        <v>1799</v>
      </c>
      <c r="M390" t="s">
        <v>1799</v>
      </c>
      <c r="N390" t="s">
        <v>1799</v>
      </c>
      <c r="O390" s="184" t="str">
        <f>"["&amp;$C390&amp;"]["&amp;$D390&amp;"]["&amp;$F390&amp;"]"</f>
        <v>[S05_CategoryCHighestTierNotApplied][29][InstallationID]</v>
      </c>
    </row>
    <row r="391" spans="1:15" x14ac:dyDescent="0.3">
      <c r="A391" t="s">
        <v>1793</v>
      </c>
      <c r="B391" t="s">
        <v>1985</v>
      </c>
      <c r="C391" t="s">
        <v>1986</v>
      </c>
      <c r="D391">
        <v>30</v>
      </c>
      <c r="E391" t="s">
        <v>1447</v>
      </c>
      <c r="F391" t="s">
        <v>1987</v>
      </c>
      <c r="G391" t="s">
        <v>1797</v>
      </c>
      <c r="H391" t="s">
        <v>1993</v>
      </c>
      <c r="I391" t="s">
        <v>1799</v>
      </c>
      <c r="J391" t="s">
        <v>1799</v>
      </c>
      <c r="K391" t="s">
        <v>1799</v>
      </c>
      <c r="L391" t="s">
        <v>1799</v>
      </c>
      <c r="M391" t="s">
        <v>1799</v>
      </c>
      <c r="N391" t="s">
        <v>1799</v>
      </c>
      <c r="O391" s="184" t="str">
        <f>"["&amp;$C391&amp;"]["&amp;$D391&amp;"]["&amp;$F391&amp;"]"</f>
        <v>[S05_CategoryCHighestTierNotApplied][30][InstallationID]</v>
      </c>
    </row>
    <row r="392" spans="1:15" x14ac:dyDescent="0.3">
      <c r="A392" t="s">
        <v>1793</v>
      </c>
      <c r="B392" t="s">
        <v>1985</v>
      </c>
      <c r="C392" t="s">
        <v>1986</v>
      </c>
      <c r="D392">
        <v>31</v>
      </c>
      <c r="E392" t="s">
        <v>1447</v>
      </c>
      <c r="F392" t="s">
        <v>1987</v>
      </c>
      <c r="G392" t="s">
        <v>1797</v>
      </c>
      <c r="H392" t="s">
        <v>1993</v>
      </c>
      <c r="I392" t="s">
        <v>1799</v>
      </c>
      <c r="J392" t="s">
        <v>1799</v>
      </c>
      <c r="K392" t="s">
        <v>1799</v>
      </c>
      <c r="L392" t="s">
        <v>1799</v>
      </c>
      <c r="M392" t="s">
        <v>1799</v>
      </c>
      <c r="N392" t="s">
        <v>1799</v>
      </c>
      <c r="O392" s="184" t="str">
        <f>"["&amp;$C392&amp;"]["&amp;$D392&amp;"]["&amp;$F392&amp;"]"</f>
        <v>[S05_CategoryCHighestTierNotApplied][31][InstallationID]</v>
      </c>
    </row>
    <row r="393" spans="1:15" x14ac:dyDescent="0.3">
      <c r="A393" t="s">
        <v>1793</v>
      </c>
      <c r="B393" t="s">
        <v>1985</v>
      </c>
      <c r="C393" t="s">
        <v>1986</v>
      </c>
      <c r="D393">
        <v>32</v>
      </c>
      <c r="E393" t="s">
        <v>1447</v>
      </c>
      <c r="F393" t="s">
        <v>1987</v>
      </c>
      <c r="G393" t="s">
        <v>1797</v>
      </c>
      <c r="H393" t="s">
        <v>1993</v>
      </c>
      <c r="I393" t="s">
        <v>1799</v>
      </c>
      <c r="J393" t="s">
        <v>1799</v>
      </c>
      <c r="K393" t="s">
        <v>1799</v>
      </c>
      <c r="L393" t="s">
        <v>1799</v>
      </c>
      <c r="M393" t="s">
        <v>1799</v>
      </c>
      <c r="N393" t="s">
        <v>1799</v>
      </c>
      <c r="O393" s="184" t="str">
        <f>"["&amp;$C393&amp;"]["&amp;$D393&amp;"]["&amp;$F393&amp;"]"</f>
        <v>[S05_CategoryCHighestTierNotApplied][32][InstallationID]</v>
      </c>
    </row>
    <row r="394" spans="1:15" x14ac:dyDescent="0.3">
      <c r="A394" t="s">
        <v>1793</v>
      </c>
      <c r="B394" t="s">
        <v>1985</v>
      </c>
      <c r="C394" t="s">
        <v>1986</v>
      </c>
      <c r="D394">
        <v>33</v>
      </c>
      <c r="E394" t="s">
        <v>1447</v>
      </c>
      <c r="F394" t="s">
        <v>1987</v>
      </c>
      <c r="G394" t="s">
        <v>1797</v>
      </c>
      <c r="H394" t="s">
        <v>1993</v>
      </c>
      <c r="I394" t="s">
        <v>1799</v>
      </c>
      <c r="J394" t="s">
        <v>1799</v>
      </c>
      <c r="K394" t="s">
        <v>1799</v>
      </c>
      <c r="L394" t="s">
        <v>1799</v>
      </c>
      <c r="M394" t="s">
        <v>1799</v>
      </c>
      <c r="N394" t="s">
        <v>1799</v>
      </c>
      <c r="O394" s="184" t="str">
        <f>"["&amp;$C394&amp;"]["&amp;$D394&amp;"]["&amp;$F394&amp;"]"</f>
        <v>[S05_CategoryCHighestTierNotApplied][33][InstallationID]</v>
      </c>
    </row>
    <row r="395" spans="1:15" x14ac:dyDescent="0.3">
      <c r="A395" t="s">
        <v>1793</v>
      </c>
      <c r="B395" t="s">
        <v>1985</v>
      </c>
      <c r="C395" t="s">
        <v>1986</v>
      </c>
      <c r="D395">
        <v>34</v>
      </c>
      <c r="E395" t="s">
        <v>1447</v>
      </c>
      <c r="F395" t="s">
        <v>1987</v>
      </c>
      <c r="G395" t="s">
        <v>1797</v>
      </c>
      <c r="H395" t="s">
        <v>1993</v>
      </c>
      <c r="I395" t="s">
        <v>1799</v>
      </c>
      <c r="J395" t="s">
        <v>1799</v>
      </c>
      <c r="K395" t="s">
        <v>1799</v>
      </c>
      <c r="L395" t="s">
        <v>1799</v>
      </c>
      <c r="M395" t="s">
        <v>1799</v>
      </c>
      <c r="N395" t="s">
        <v>1799</v>
      </c>
      <c r="O395" s="184" t="str">
        <f>"["&amp;$C395&amp;"]["&amp;$D395&amp;"]["&amp;$F395&amp;"]"</f>
        <v>[S05_CategoryCHighestTierNotApplied][34][InstallationID]</v>
      </c>
    </row>
    <row r="396" spans="1:15" x14ac:dyDescent="0.3">
      <c r="A396" t="s">
        <v>1793</v>
      </c>
      <c r="B396" t="s">
        <v>1985</v>
      </c>
      <c r="C396" t="s">
        <v>1986</v>
      </c>
      <c r="D396">
        <v>35</v>
      </c>
      <c r="E396" t="s">
        <v>1447</v>
      </c>
      <c r="F396" t="s">
        <v>1987</v>
      </c>
      <c r="G396" t="s">
        <v>1797</v>
      </c>
      <c r="H396" t="s">
        <v>1993</v>
      </c>
      <c r="I396" t="s">
        <v>1799</v>
      </c>
      <c r="J396" t="s">
        <v>1799</v>
      </c>
      <c r="K396" t="s">
        <v>1799</v>
      </c>
      <c r="L396" t="s">
        <v>1799</v>
      </c>
      <c r="M396" t="s">
        <v>1799</v>
      </c>
      <c r="N396" t="s">
        <v>1799</v>
      </c>
      <c r="O396" s="184" t="str">
        <f>"["&amp;$C396&amp;"]["&amp;$D396&amp;"]["&amp;$F396&amp;"]"</f>
        <v>[S05_CategoryCHighestTierNotApplied][35][InstallationID]</v>
      </c>
    </row>
    <row r="397" spans="1:15" x14ac:dyDescent="0.3">
      <c r="A397" t="s">
        <v>1793</v>
      </c>
      <c r="B397" t="s">
        <v>1985</v>
      </c>
      <c r="C397" t="s">
        <v>1986</v>
      </c>
      <c r="D397">
        <v>36</v>
      </c>
      <c r="E397" t="s">
        <v>1447</v>
      </c>
      <c r="F397" t="s">
        <v>1987</v>
      </c>
      <c r="G397" t="s">
        <v>1797</v>
      </c>
      <c r="H397" t="s">
        <v>1994</v>
      </c>
      <c r="I397" t="s">
        <v>1799</v>
      </c>
      <c r="J397" t="s">
        <v>1799</v>
      </c>
      <c r="K397" t="s">
        <v>1799</v>
      </c>
      <c r="L397" t="s">
        <v>1799</v>
      </c>
      <c r="M397" t="s">
        <v>1799</v>
      </c>
      <c r="N397" t="s">
        <v>1799</v>
      </c>
      <c r="O397" s="184" t="str">
        <f>"["&amp;$C397&amp;"]["&amp;$D397&amp;"]["&amp;$F397&amp;"]"</f>
        <v>[S05_CategoryCHighestTierNotApplied][36][InstallationID]</v>
      </c>
    </row>
    <row r="398" spans="1:15" x14ac:dyDescent="0.3">
      <c r="A398" t="s">
        <v>1793</v>
      </c>
      <c r="B398" t="s">
        <v>1985</v>
      </c>
      <c r="C398" t="s">
        <v>1986</v>
      </c>
      <c r="D398">
        <v>37</v>
      </c>
      <c r="E398" t="s">
        <v>1447</v>
      </c>
      <c r="F398" t="s">
        <v>1987</v>
      </c>
      <c r="G398" t="s">
        <v>1797</v>
      </c>
      <c r="H398" t="s">
        <v>1994</v>
      </c>
      <c r="I398" t="s">
        <v>1799</v>
      </c>
      <c r="J398" t="s">
        <v>1799</v>
      </c>
      <c r="K398" t="s">
        <v>1799</v>
      </c>
      <c r="L398" t="s">
        <v>1799</v>
      </c>
      <c r="M398" t="s">
        <v>1799</v>
      </c>
      <c r="N398" t="s">
        <v>1799</v>
      </c>
      <c r="O398" s="184" t="str">
        <f>"["&amp;$C398&amp;"]["&amp;$D398&amp;"]["&amp;$F398&amp;"]"</f>
        <v>[S05_CategoryCHighestTierNotApplied][37][InstallationID]</v>
      </c>
    </row>
    <row r="399" spans="1:15" x14ac:dyDescent="0.3">
      <c r="A399" t="s">
        <v>1793</v>
      </c>
      <c r="B399" t="s">
        <v>1985</v>
      </c>
      <c r="C399" t="s">
        <v>1986</v>
      </c>
      <c r="D399">
        <v>38</v>
      </c>
      <c r="E399" t="s">
        <v>1447</v>
      </c>
      <c r="F399" t="s">
        <v>1987</v>
      </c>
      <c r="G399" t="s">
        <v>1797</v>
      </c>
      <c r="H399" t="s">
        <v>1994</v>
      </c>
      <c r="I399" t="s">
        <v>1799</v>
      </c>
      <c r="J399" t="s">
        <v>1799</v>
      </c>
      <c r="K399" t="s">
        <v>1799</v>
      </c>
      <c r="L399" t="s">
        <v>1799</v>
      </c>
      <c r="M399" t="s">
        <v>1799</v>
      </c>
      <c r="N399" t="s">
        <v>1799</v>
      </c>
      <c r="O399" s="184" t="str">
        <f>"["&amp;$C399&amp;"]["&amp;$D399&amp;"]["&amp;$F399&amp;"]"</f>
        <v>[S05_CategoryCHighestTierNotApplied][38][InstallationID]</v>
      </c>
    </row>
    <row r="400" spans="1:15" x14ac:dyDescent="0.3">
      <c r="A400" t="s">
        <v>1793</v>
      </c>
      <c r="B400" t="s">
        <v>1985</v>
      </c>
      <c r="C400" t="s">
        <v>1986</v>
      </c>
      <c r="D400">
        <v>39</v>
      </c>
      <c r="E400" t="s">
        <v>1447</v>
      </c>
      <c r="F400" t="s">
        <v>1987</v>
      </c>
      <c r="G400" t="s">
        <v>1797</v>
      </c>
      <c r="H400" t="s">
        <v>1994</v>
      </c>
      <c r="I400" t="s">
        <v>1799</v>
      </c>
      <c r="J400" t="s">
        <v>1799</v>
      </c>
      <c r="K400" t="s">
        <v>1799</v>
      </c>
      <c r="L400" t="s">
        <v>1799</v>
      </c>
      <c r="M400" t="s">
        <v>1799</v>
      </c>
      <c r="N400" t="s">
        <v>1799</v>
      </c>
      <c r="O400" s="184" t="str">
        <f>"["&amp;$C400&amp;"]["&amp;$D400&amp;"]["&amp;$F400&amp;"]"</f>
        <v>[S05_CategoryCHighestTierNotApplied][39][InstallationID]</v>
      </c>
    </row>
    <row r="401" spans="1:15" x14ac:dyDescent="0.3">
      <c r="A401" t="s">
        <v>1793</v>
      </c>
      <c r="B401" t="s">
        <v>1985</v>
      </c>
      <c r="C401" t="s">
        <v>1986</v>
      </c>
      <c r="D401">
        <v>40</v>
      </c>
      <c r="E401" t="s">
        <v>1447</v>
      </c>
      <c r="F401" t="s">
        <v>1987</v>
      </c>
      <c r="G401" t="s">
        <v>1797</v>
      </c>
      <c r="H401" t="s">
        <v>1994</v>
      </c>
      <c r="I401" t="s">
        <v>1799</v>
      </c>
      <c r="J401" t="s">
        <v>1799</v>
      </c>
      <c r="K401" t="s">
        <v>1799</v>
      </c>
      <c r="L401" t="s">
        <v>1799</v>
      </c>
      <c r="M401" t="s">
        <v>1799</v>
      </c>
      <c r="N401" t="s">
        <v>1799</v>
      </c>
      <c r="O401" s="184" t="str">
        <f>"["&amp;$C401&amp;"]["&amp;$D401&amp;"]["&amp;$F401&amp;"]"</f>
        <v>[S05_CategoryCHighestTierNotApplied][40][InstallationID]</v>
      </c>
    </row>
    <row r="402" spans="1:15" x14ac:dyDescent="0.3">
      <c r="A402" t="s">
        <v>1793</v>
      </c>
      <c r="B402" t="s">
        <v>1985</v>
      </c>
      <c r="C402" t="s">
        <v>1986</v>
      </c>
      <c r="D402">
        <v>41</v>
      </c>
      <c r="E402" t="s">
        <v>1447</v>
      </c>
      <c r="F402" t="s">
        <v>1987</v>
      </c>
      <c r="G402" t="s">
        <v>1797</v>
      </c>
      <c r="H402" t="s">
        <v>1994</v>
      </c>
      <c r="I402" t="s">
        <v>1799</v>
      </c>
      <c r="J402" t="s">
        <v>1799</v>
      </c>
      <c r="K402" t="s">
        <v>1799</v>
      </c>
      <c r="L402" t="s">
        <v>1799</v>
      </c>
      <c r="M402" t="s">
        <v>1799</v>
      </c>
      <c r="N402" t="s">
        <v>1799</v>
      </c>
      <c r="O402" s="184" t="str">
        <f>"["&amp;$C402&amp;"]["&amp;$D402&amp;"]["&amp;$F402&amp;"]"</f>
        <v>[S05_CategoryCHighestTierNotApplied][41][InstallationID]</v>
      </c>
    </row>
    <row r="403" spans="1:15" x14ac:dyDescent="0.3">
      <c r="A403" t="s">
        <v>1793</v>
      </c>
      <c r="B403" t="s">
        <v>1985</v>
      </c>
      <c r="C403" t="s">
        <v>1986</v>
      </c>
      <c r="D403">
        <v>42</v>
      </c>
      <c r="E403" t="s">
        <v>1447</v>
      </c>
      <c r="F403" t="s">
        <v>1987</v>
      </c>
      <c r="G403" t="s">
        <v>1797</v>
      </c>
      <c r="H403" t="s">
        <v>1994</v>
      </c>
      <c r="I403" t="s">
        <v>1799</v>
      </c>
      <c r="J403" t="s">
        <v>1799</v>
      </c>
      <c r="K403" t="s">
        <v>1799</v>
      </c>
      <c r="L403" t="s">
        <v>1799</v>
      </c>
      <c r="M403" t="s">
        <v>1799</v>
      </c>
      <c r="N403" t="s">
        <v>1799</v>
      </c>
      <c r="O403" s="184" t="str">
        <f>"["&amp;$C403&amp;"]["&amp;$D403&amp;"]["&amp;$F403&amp;"]"</f>
        <v>[S05_CategoryCHighestTierNotApplied][42][InstallationID]</v>
      </c>
    </row>
    <row r="404" spans="1:15" x14ac:dyDescent="0.3">
      <c r="A404" t="s">
        <v>1793</v>
      </c>
      <c r="B404" t="s">
        <v>1985</v>
      </c>
      <c r="C404" t="s">
        <v>1986</v>
      </c>
      <c r="D404">
        <v>43</v>
      </c>
      <c r="E404" t="s">
        <v>1447</v>
      </c>
      <c r="F404" t="s">
        <v>1987</v>
      </c>
      <c r="G404" t="s">
        <v>1797</v>
      </c>
      <c r="H404" t="s">
        <v>1994</v>
      </c>
      <c r="I404" t="s">
        <v>1799</v>
      </c>
      <c r="J404" t="s">
        <v>1799</v>
      </c>
      <c r="K404" t="s">
        <v>1799</v>
      </c>
      <c r="L404" t="s">
        <v>1799</v>
      </c>
      <c r="M404" t="s">
        <v>1799</v>
      </c>
      <c r="N404" t="s">
        <v>1799</v>
      </c>
      <c r="O404" s="184" t="str">
        <f>"["&amp;$C404&amp;"]["&amp;$D404&amp;"]["&amp;$F404&amp;"]"</f>
        <v>[S05_CategoryCHighestTierNotApplied][43][InstallationID]</v>
      </c>
    </row>
    <row r="405" spans="1:15" x14ac:dyDescent="0.3">
      <c r="A405" t="s">
        <v>1793</v>
      </c>
      <c r="B405" t="s">
        <v>1985</v>
      </c>
      <c r="C405" t="s">
        <v>1986</v>
      </c>
      <c r="D405">
        <v>44</v>
      </c>
      <c r="E405" t="s">
        <v>1447</v>
      </c>
      <c r="F405" t="s">
        <v>1987</v>
      </c>
      <c r="G405" t="s">
        <v>1797</v>
      </c>
      <c r="H405" t="s">
        <v>1994</v>
      </c>
      <c r="I405" t="s">
        <v>1799</v>
      </c>
      <c r="J405" t="s">
        <v>1799</v>
      </c>
      <c r="K405" t="s">
        <v>1799</v>
      </c>
      <c r="L405" t="s">
        <v>1799</v>
      </c>
      <c r="M405" t="s">
        <v>1799</v>
      </c>
      <c r="N405" t="s">
        <v>1799</v>
      </c>
      <c r="O405" s="184" t="str">
        <f>"["&amp;$C405&amp;"]["&amp;$D405&amp;"]["&amp;$F405&amp;"]"</f>
        <v>[S05_CategoryCHighestTierNotApplied][44][InstallationID]</v>
      </c>
    </row>
    <row r="406" spans="1:15" x14ac:dyDescent="0.3">
      <c r="A406" t="s">
        <v>1793</v>
      </c>
      <c r="B406" t="s">
        <v>1985</v>
      </c>
      <c r="C406" t="s">
        <v>1986</v>
      </c>
      <c r="D406">
        <v>45</v>
      </c>
      <c r="E406" t="s">
        <v>1447</v>
      </c>
      <c r="F406" t="s">
        <v>1987</v>
      </c>
      <c r="G406" t="s">
        <v>1797</v>
      </c>
      <c r="H406" t="s">
        <v>1994</v>
      </c>
      <c r="I406" t="s">
        <v>1799</v>
      </c>
      <c r="J406" t="s">
        <v>1799</v>
      </c>
      <c r="K406" t="s">
        <v>1799</v>
      </c>
      <c r="L406" t="s">
        <v>1799</v>
      </c>
      <c r="M406" t="s">
        <v>1799</v>
      </c>
      <c r="N406" t="s">
        <v>1799</v>
      </c>
      <c r="O406" s="184" t="str">
        <f>"["&amp;$C406&amp;"]["&amp;$D406&amp;"]["&amp;$F406&amp;"]"</f>
        <v>[S05_CategoryCHighestTierNotApplied][45][InstallationID]</v>
      </c>
    </row>
    <row r="407" spans="1:15" x14ac:dyDescent="0.3">
      <c r="A407" t="s">
        <v>1793</v>
      </c>
      <c r="B407" t="s">
        <v>1985</v>
      </c>
      <c r="C407" t="s">
        <v>1986</v>
      </c>
      <c r="D407">
        <v>46</v>
      </c>
      <c r="E407" t="s">
        <v>1447</v>
      </c>
      <c r="F407" t="s">
        <v>1987</v>
      </c>
      <c r="G407" t="s">
        <v>1797</v>
      </c>
      <c r="H407" t="s">
        <v>1994</v>
      </c>
      <c r="I407" t="s">
        <v>1799</v>
      </c>
      <c r="J407" t="s">
        <v>1799</v>
      </c>
      <c r="K407" t="s">
        <v>1799</v>
      </c>
      <c r="L407" t="s">
        <v>1799</v>
      </c>
      <c r="M407" t="s">
        <v>1799</v>
      </c>
      <c r="N407" t="s">
        <v>1799</v>
      </c>
      <c r="O407" s="184" t="str">
        <f>"["&amp;$C407&amp;"]["&amp;$D407&amp;"]["&amp;$F407&amp;"]"</f>
        <v>[S05_CategoryCHighestTierNotApplied][46][InstallationID]</v>
      </c>
    </row>
    <row r="408" spans="1:15" x14ac:dyDescent="0.3">
      <c r="A408" t="s">
        <v>1793</v>
      </c>
      <c r="B408" t="s">
        <v>1985</v>
      </c>
      <c r="C408" t="s">
        <v>1986</v>
      </c>
      <c r="D408">
        <v>47</v>
      </c>
      <c r="E408" t="s">
        <v>1447</v>
      </c>
      <c r="F408" t="s">
        <v>1987</v>
      </c>
      <c r="G408" t="s">
        <v>1797</v>
      </c>
      <c r="H408" t="s">
        <v>1994</v>
      </c>
      <c r="I408" t="s">
        <v>1799</v>
      </c>
      <c r="J408" t="s">
        <v>1799</v>
      </c>
      <c r="K408" t="s">
        <v>1799</v>
      </c>
      <c r="L408" t="s">
        <v>1799</v>
      </c>
      <c r="M408" t="s">
        <v>1799</v>
      </c>
      <c r="N408" t="s">
        <v>1799</v>
      </c>
      <c r="O408" s="184" t="str">
        <f>"["&amp;$C408&amp;"]["&amp;$D408&amp;"]["&amp;$F408&amp;"]"</f>
        <v>[S05_CategoryCHighestTierNotApplied][47][InstallationID]</v>
      </c>
    </row>
    <row r="409" spans="1:15" x14ac:dyDescent="0.3">
      <c r="A409" t="s">
        <v>1793</v>
      </c>
      <c r="B409" t="s">
        <v>1985</v>
      </c>
      <c r="C409" t="s">
        <v>1986</v>
      </c>
      <c r="D409">
        <v>48</v>
      </c>
      <c r="E409" t="s">
        <v>1447</v>
      </c>
      <c r="F409" t="s">
        <v>1987</v>
      </c>
      <c r="G409" t="s">
        <v>1797</v>
      </c>
      <c r="H409" t="s">
        <v>1994</v>
      </c>
      <c r="I409" t="s">
        <v>1799</v>
      </c>
      <c r="J409" t="s">
        <v>1799</v>
      </c>
      <c r="K409" t="s">
        <v>1799</v>
      </c>
      <c r="L409" t="s">
        <v>1799</v>
      </c>
      <c r="M409" t="s">
        <v>1799</v>
      </c>
      <c r="N409" t="s">
        <v>1799</v>
      </c>
      <c r="O409" s="184" t="str">
        <f>"["&amp;$C409&amp;"]["&amp;$D409&amp;"]["&amp;$F409&amp;"]"</f>
        <v>[S05_CategoryCHighestTierNotApplied][48][InstallationID]</v>
      </c>
    </row>
    <row r="410" spans="1:15" x14ac:dyDescent="0.3">
      <c r="A410" t="s">
        <v>1793</v>
      </c>
      <c r="B410" t="s">
        <v>1985</v>
      </c>
      <c r="C410" t="s">
        <v>1986</v>
      </c>
      <c r="D410">
        <v>49</v>
      </c>
      <c r="E410" t="s">
        <v>1447</v>
      </c>
      <c r="F410" t="s">
        <v>1987</v>
      </c>
      <c r="G410" t="s">
        <v>1797</v>
      </c>
      <c r="H410" t="s">
        <v>1995</v>
      </c>
      <c r="I410" t="s">
        <v>1799</v>
      </c>
      <c r="J410" t="s">
        <v>1799</v>
      </c>
      <c r="K410" t="s">
        <v>1799</v>
      </c>
      <c r="L410" t="s">
        <v>1799</v>
      </c>
      <c r="M410" t="s">
        <v>1799</v>
      </c>
      <c r="N410" t="s">
        <v>1799</v>
      </c>
      <c r="O410" s="184" t="str">
        <f>"["&amp;$C410&amp;"]["&amp;$D410&amp;"]["&amp;$F410&amp;"]"</f>
        <v>[S05_CategoryCHighestTierNotApplied][49][InstallationID]</v>
      </c>
    </row>
    <row r="411" spans="1:15" x14ac:dyDescent="0.3">
      <c r="A411" t="s">
        <v>1793</v>
      </c>
      <c r="B411" t="s">
        <v>1985</v>
      </c>
      <c r="C411" t="s">
        <v>1986</v>
      </c>
      <c r="D411">
        <v>50</v>
      </c>
      <c r="E411" t="s">
        <v>1447</v>
      </c>
      <c r="F411" t="s">
        <v>1987</v>
      </c>
      <c r="G411" t="s">
        <v>1797</v>
      </c>
      <c r="H411" t="s">
        <v>1995</v>
      </c>
      <c r="I411" t="s">
        <v>1799</v>
      </c>
      <c r="J411" t="s">
        <v>1799</v>
      </c>
      <c r="K411" t="s">
        <v>1799</v>
      </c>
      <c r="L411" t="s">
        <v>1799</v>
      </c>
      <c r="M411" t="s">
        <v>1799</v>
      </c>
      <c r="N411" t="s">
        <v>1799</v>
      </c>
      <c r="O411" s="184" t="str">
        <f>"["&amp;$C411&amp;"]["&amp;$D411&amp;"]["&amp;$F411&amp;"]"</f>
        <v>[S05_CategoryCHighestTierNotApplied][50][InstallationID]</v>
      </c>
    </row>
    <row r="412" spans="1:15" x14ac:dyDescent="0.3">
      <c r="A412" t="s">
        <v>1793</v>
      </c>
      <c r="B412" t="s">
        <v>1985</v>
      </c>
      <c r="C412" t="s">
        <v>1986</v>
      </c>
      <c r="D412">
        <v>51</v>
      </c>
      <c r="E412" t="s">
        <v>1447</v>
      </c>
      <c r="F412" t="s">
        <v>1987</v>
      </c>
      <c r="G412" t="s">
        <v>1797</v>
      </c>
      <c r="H412" t="s">
        <v>1995</v>
      </c>
      <c r="I412" t="s">
        <v>1799</v>
      </c>
      <c r="J412" t="s">
        <v>1799</v>
      </c>
      <c r="K412" t="s">
        <v>1799</v>
      </c>
      <c r="L412" t="s">
        <v>1799</v>
      </c>
      <c r="M412" t="s">
        <v>1799</v>
      </c>
      <c r="N412" t="s">
        <v>1799</v>
      </c>
      <c r="O412" s="184" t="str">
        <f>"["&amp;$C412&amp;"]["&amp;$D412&amp;"]["&amp;$F412&amp;"]"</f>
        <v>[S05_CategoryCHighestTierNotApplied][51][InstallationID]</v>
      </c>
    </row>
    <row r="413" spans="1:15" x14ac:dyDescent="0.3">
      <c r="A413" t="s">
        <v>1793</v>
      </c>
      <c r="B413" t="s">
        <v>1985</v>
      </c>
      <c r="C413" t="s">
        <v>1986</v>
      </c>
      <c r="D413">
        <v>52</v>
      </c>
      <c r="E413" t="s">
        <v>1447</v>
      </c>
      <c r="F413" t="s">
        <v>1987</v>
      </c>
      <c r="G413" t="s">
        <v>1797</v>
      </c>
      <c r="H413" t="s">
        <v>1995</v>
      </c>
      <c r="I413" t="s">
        <v>1799</v>
      </c>
      <c r="J413" t="s">
        <v>1799</v>
      </c>
      <c r="K413" t="s">
        <v>1799</v>
      </c>
      <c r="L413" t="s">
        <v>1799</v>
      </c>
      <c r="M413" t="s">
        <v>1799</v>
      </c>
      <c r="N413" t="s">
        <v>1799</v>
      </c>
      <c r="O413" s="184" t="str">
        <f>"["&amp;$C413&amp;"]["&amp;$D413&amp;"]["&amp;$F413&amp;"]"</f>
        <v>[S05_CategoryCHighestTierNotApplied][52][InstallationID]</v>
      </c>
    </row>
    <row r="414" spans="1:15" x14ac:dyDescent="0.3">
      <c r="A414" t="s">
        <v>1793</v>
      </c>
      <c r="B414" t="s">
        <v>1985</v>
      </c>
      <c r="C414" t="s">
        <v>1986</v>
      </c>
      <c r="D414">
        <v>53</v>
      </c>
      <c r="E414" t="s">
        <v>1447</v>
      </c>
      <c r="F414" t="s">
        <v>1987</v>
      </c>
      <c r="G414" t="s">
        <v>1797</v>
      </c>
      <c r="H414" t="s">
        <v>1995</v>
      </c>
      <c r="I414" t="s">
        <v>1799</v>
      </c>
      <c r="J414" t="s">
        <v>1799</v>
      </c>
      <c r="K414" t="s">
        <v>1799</v>
      </c>
      <c r="L414" t="s">
        <v>1799</v>
      </c>
      <c r="M414" t="s">
        <v>1799</v>
      </c>
      <c r="N414" t="s">
        <v>1799</v>
      </c>
      <c r="O414" s="184" t="str">
        <f>"["&amp;$C414&amp;"]["&amp;$D414&amp;"]["&amp;$F414&amp;"]"</f>
        <v>[S05_CategoryCHighestTierNotApplied][53][InstallationID]</v>
      </c>
    </row>
    <row r="415" spans="1:15" x14ac:dyDescent="0.3">
      <c r="A415" t="s">
        <v>1793</v>
      </c>
      <c r="B415" t="s">
        <v>1985</v>
      </c>
      <c r="C415" t="s">
        <v>1986</v>
      </c>
      <c r="D415">
        <v>54</v>
      </c>
      <c r="E415" t="s">
        <v>1447</v>
      </c>
      <c r="F415" t="s">
        <v>1987</v>
      </c>
      <c r="G415" t="s">
        <v>1797</v>
      </c>
      <c r="H415" t="s">
        <v>1995</v>
      </c>
      <c r="I415" t="s">
        <v>1799</v>
      </c>
      <c r="J415" t="s">
        <v>1799</v>
      </c>
      <c r="K415" t="s">
        <v>1799</v>
      </c>
      <c r="L415" t="s">
        <v>1799</v>
      </c>
      <c r="M415" t="s">
        <v>1799</v>
      </c>
      <c r="N415" t="s">
        <v>1799</v>
      </c>
      <c r="O415" s="184" t="str">
        <f>"["&amp;$C415&amp;"]["&amp;$D415&amp;"]["&amp;$F415&amp;"]"</f>
        <v>[S05_CategoryCHighestTierNotApplied][54][InstallationID]</v>
      </c>
    </row>
    <row r="416" spans="1:15" x14ac:dyDescent="0.3">
      <c r="A416" t="s">
        <v>1793</v>
      </c>
      <c r="B416" t="s">
        <v>1985</v>
      </c>
      <c r="C416" t="s">
        <v>1986</v>
      </c>
      <c r="D416">
        <v>55</v>
      </c>
      <c r="E416" t="s">
        <v>1447</v>
      </c>
      <c r="F416" t="s">
        <v>1987</v>
      </c>
      <c r="G416" t="s">
        <v>1797</v>
      </c>
      <c r="H416" t="s">
        <v>1996</v>
      </c>
      <c r="I416" t="s">
        <v>1799</v>
      </c>
      <c r="J416" t="s">
        <v>1799</v>
      </c>
      <c r="K416" t="s">
        <v>1799</v>
      </c>
      <c r="L416" t="s">
        <v>1799</v>
      </c>
      <c r="M416" t="s">
        <v>1799</v>
      </c>
      <c r="N416" t="s">
        <v>1799</v>
      </c>
      <c r="O416" s="184" t="str">
        <f>"["&amp;$C416&amp;"]["&amp;$D416&amp;"]["&amp;$F416&amp;"]"</f>
        <v>[S05_CategoryCHighestTierNotApplied][55][InstallationID]</v>
      </c>
    </row>
    <row r="417" spans="1:15" x14ac:dyDescent="0.3">
      <c r="A417" t="s">
        <v>1793</v>
      </c>
      <c r="B417" t="s">
        <v>1985</v>
      </c>
      <c r="C417" t="s">
        <v>1986</v>
      </c>
      <c r="D417">
        <v>2</v>
      </c>
      <c r="E417" t="s">
        <v>1447</v>
      </c>
      <c r="F417" t="s">
        <v>1997</v>
      </c>
      <c r="G417" t="s">
        <v>1797</v>
      </c>
      <c r="H417" t="s">
        <v>1946</v>
      </c>
      <c r="I417" t="s">
        <v>1799</v>
      </c>
      <c r="J417" t="s">
        <v>1799</v>
      </c>
      <c r="K417" t="s">
        <v>1799</v>
      </c>
      <c r="L417" t="s">
        <v>1799</v>
      </c>
      <c r="M417" t="s">
        <v>1799</v>
      </c>
      <c r="N417" t="s">
        <v>1799</v>
      </c>
      <c r="O417" s="184" t="str">
        <f>"["&amp;$C417&amp;"]["&amp;$D417&amp;"]["&amp;$F417&amp;"]"</f>
        <v>[S05_CategoryCHighestTierNotApplied][2][SourceStreamAffected]</v>
      </c>
    </row>
    <row r="418" spans="1:15" x14ac:dyDescent="0.3">
      <c r="A418" t="s">
        <v>1793</v>
      </c>
      <c r="B418" t="s">
        <v>1985</v>
      </c>
      <c r="C418" t="s">
        <v>1986</v>
      </c>
      <c r="D418">
        <v>3</v>
      </c>
      <c r="E418" t="s">
        <v>1447</v>
      </c>
      <c r="F418" t="s">
        <v>1997</v>
      </c>
      <c r="G418" t="s">
        <v>1797</v>
      </c>
      <c r="H418" t="s">
        <v>1946</v>
      </c>
      <c r="I418" t="s">
        <v>1799</v>
      </c>
      <c r="J418" t="s">
        <v>1799</v>
      </c>
      <c r="K418" t="s">
        <v>1799</v>
      </c>
      <c r="L418" t="s">
        <v>1799</v>
      </c>
      <c r="M418" t="s">
        <v>1799</v>
      </c>
      <c r="N418" t="s">
        <v>1799</v>
      </c>
      <c r="O418" s="184" t="str">
        <f>"["&amp;$C418&amp;"]["&amp;$D418&amp;"]["&amp;$F418&amp;"]"</f>
        <v>[S05_CategoryCHighestTierNotApplied][3][SourceStreamAffected]</v>
      </c>
    </row>
    <row r="419" spans="1:15" x14ac:dyDescent="0.3">
      <c r="A419" t="s">
        <v>1793</v>
      </c>
      <c r="B419" t="s">
        <v>1985</v>
      </c>
      <c r="C419" t="s">
        <v>1986</v>
      </c>
      <c r="D419">
        <v>4</v>
      </c>
      <c r="E419" t="s">
        <v>1447</v>
      </c>
      <c r="F419" t="s">
        <v>1997</v>
      </c>
      <c r="G419" t="s">
        <v>1797</v>
      </c>
      <c r="H419" t="s">
        <v>1946</v>
      </c>
      <c r="I419" t="s">
        <v>1799</v>
      </c>
      <c r="J419" t="s">
        <v>1799</v>
      </c>
      <c r="K419" t="s">
        <v>1799</v>
      </c>
      <c r="L419" t="s">
        <v>1799</v>
      </c>
      <c r="M419" t="s">
        <v>1799</v>
      </c>
      <c r="N419" t="s">
        <v>1799</v>
      </c>
      <c r="O419" s="184" t="str">
        <f>"["&amp;$C419&amp;"]["&amp;$D419&amp;"]["&amp;$F419&amp;"]"</f>
        <v>[S05_CategoryCHighestTierNotApplied][4][SourceStreamAffected]</v>
      </c>
    </row>
    <row r="420" spans="1:15" x14ac:dyDescent="0.3">
      <c r="A420" t="s">
        <v>1793</v>
      </c>
      <c r="B420" t="s">
        <v>1985</v>
      </c>
      <c r="C420" t="s">
        <v>1986</v>
      </c>
      <c r="D420">
        <v>5</v>
      </c>
      <c r="E420" t="s">
        <v>1447</v>
      </c>
      <c r="F420" t="s">
        <v>1997</v>
      </c>
      <c r="G420" t="s">
        <v>1797</v>
      </c>
      <c r="H420" t="s">
        <v>1946</v>
      </c>
      <c r="I420" t="s">
        <v>1799</v>
      </c>
      <c r="J420" t="s">
        <v>1799</v>
      </c>
      <c r="K420" t="s">
        <v>1799</v>
      </c>
      <c r="L420" t="s">
        <v>1799</v>
      </c>
      <c r="M420" t="s">
        <v>1799</v>
      </c>
      <c r="N420" t="s">
        <v>1799</v>
      </c>
      <c r="O420" s="184" t="str">
        <f>"["&amp;$C420&amp;"]["&amp;$D420&amp;"]["&amp;$F420&amp;"]"</f>
        <v>[S05_CategoryCHighestTierNotApplied][5][SourceStreamAffected]</v>
      </c>
    </row>
    <row r="421" spans="1:15" x14ac:dyDescent="0.3">
      <c r="A421" t="s">
        <v>1793</v>
      </c>
      <c r="B421" t="s">
        <v>1985</v>
      </c>
      <c r="C421" t="s">
        <v>1986</v>
      </c>
      <c r="D421">
        <v>6</v>
      </c>
      <c r="E421" t="s">
        <v>1447</v>
      </c>
      <c r="F421" t="s">
        <v>1997</v>
      </c>
      <c r="G421" t="s">
        <v>1797</v>
      </c>
      <c r="H421" t="s">
        <v>1976</v>
      </c>
      <c r="I421" t="s">
        <v>1799</v>
      </c>
      <c r="J421" t="s">
        <v>1799</v>
      </c>
      <c r="K421" t="s">
        <v>1799</v>
      </c>
      <c r="L421" t="s">
        <v>1799</v>
      </c>
      <c r="M421" t="s">
        <v>1799</v>
      </c>
      <c r="N421" t="s">
        <v>1799</v>
      </c>
      <c r="O421" s="184" t="str">
        <f>"["&amp;$C421&amp;"]["&amp;$D421&amp;"]["&amp;$F421&amp;"]"</f>
        <v>[S05_CategoryCHighestTierNotApplied][6][SourceStreamAffected]</v>
      </c>
    </row>
    <row r="422" spans="1:15" x14ac:dyDescent="0.3">
      <c r="A422" t="s">
        <v>1793</v>
      </c>
      <c r="B422" t="s">
        <v>1985</v>
      </c>
      <c r="C422" t="s">
        <v>1986</v>
      </c>
      <c r="D422">
        <v>7</v>
      </c>
      <c r="E422" t="s">
        <v>1447</v>
      </c>
      <c r="F422" t="s">
        <v>1997</v>
      </c>
      <c r="G422" t="s">
        <v>1797</v>
      </c>
      <c r="H422" t="s">
        <v>1946</v>
      </c>
      <c r="I422" t="s">
        <v>1799</v>
      </c>
      <c r="J422" t="s">
        <v>1799</v>
      </c>
      <c r="K422" t="s">
        <v>1799</v>
      </c>
      <c r="L422" t="s">
        <v>1799</v>
      </c>
      <c r="M422" t="s">
        <v>1799</v>
      </c>
      <c r="N422" t="s">
        <v>1799</v>
      </c>
      <c r="O422" s="184" t="str">
        <f>"["&amp;$C422&amp;"]["&amp;$D422&amp;"]["&amp;$F422&amp;"]"</f>
        <v>[S05_CategoryCHighestTierNotApplied][7][SourceStreamAffected]</v>
      </c>
    </row>
    <row r="423" spans="1:15" x14ac:dyDescent="0.3">
      <c r="A423" t="s">
        <v>1793</v>
      </c>
      <c r="B423" t="s">
        <v>1985</v>
      </c>
      <c r="C423" t="s">
        <v>1986</v>
      </c>
      <c r="D423">
        <v>8</v>
      </c>
      <c r="E423" t="s">
        <v>1447</v>
      </c>
      <c r="F423" t="s">
        <v>1997</v>
      </c>
      <c r="G423" t="s">
        <v>1797</v>
      </c>
      <c r="H423" t="s">
        <v>1946</v>
      </c>
      <c r="I423" t="s">
        <v>1799</v>
      </c>
      <c r="J423" t="s">
        <v>1799</v>
      </c>
      <c r="K423" t="s">
        <v>1799</v>
      </c>
      <c r="L423" t="s">
        <v>1799</v>
      </c>
      <c r="M423" t="s">
        <v>1799</v>
      </c>
      <c r="N423" t="s">
        <v>1799</v>
      </c>
      <c r="O423" s="184" t="str">
        <f>"["&amp;$C423&amp;"]["&amp;$D423&amp;"]["&amp;$F423&amp;"]"</f>
        <v>[S05_CategoryCHighestTierNotApplied][8][SourceStreamAffected]</v>
      </c>
    </row>
    <row r="424" spans="1:15" x14ac:dyDescent="0.3">
      <c r="A424" t="s">
        <v>1793</v>
      </c>
      <c r="B424" t="s">
        <v>1985</v>
      </c>
      <c r="C424" t="s">
        <v>1986</v>
      </c>
      <c r="D424">
        <v>9</v>
      </c>
      <c r="E424" t="s">
        <v>1447</v>
      </c>
      <c r="F424" t="s">
        <v>1997</v>
      </c>
      <c r="G424" t="s">
        <v>1797</v>
      </c>
      <c r="H424" t="s">
        <v>1946</v>
      </c>
      <c r="I424" t="s">
        <v>1799</v>
      </c>
      <c r="J424" t="s">
        <v>1799</v>
      </c>
      <c r="K424" t="s">
        <v>1799</v>
      </c>
      <c r="L424" t="s">
        <v>1799</v>
      </c>
      <c r="M424" t="s">
        <v>1799</v>
      </c>
      <c r="N424" t="s">
        <v>1799</v>
      </c>
      <c r="O424" s="184" t="str">
        <f>"["&amp;$C424&amp;"]["&amp;$D424&amp;"]["&amp;$F424&amp;"]"</f>
        <v>[S05_CategoryCHighestTierNotApplied][9][SourceStreamAffected]</v>
      </c>
    </row>
    <row r="425" spans="1:15" x14ac:dyDescent="0.3">
      <c r="A425" t="s">
        <v>1793</v>
      </c>
      <c r="B425" t="s">
        <v>1985</v>
      </c>
      <c r="C425" t="s">
        <v>1986</v>
      </c>
      <c r="D425">
        <v>10</v>
      </c>
      <c r="E425" t="s">
        <v>1447</v>
      </c>
      <c r="F425" t="s">
        <v>1997</v>
      </c>
      <c r="G425" t="s">
        <v>1797</v>
      </c>
      <c r="H425" t="s">
        <v>1946</v>
      </c>
      <c r="I425" t="s">
        <v>1799</v>
      </c>
      <c r="J425" t="s">
        <v>1799</v>
      </c>
      <c r="K425" t="s">
        <v>1799</v>
      </c>
      <c r="L425" t="s">
        <v>1799</v>
      </c>
      <c r="M425" t="s">
        <v>1799</v>
      </c>
      <c r="N425" t="s">
        <v>1799</v>
      </c>
      <c r="O425" s="184" t="str">
        <f>"["&amp;$C425&amp;"]["&amp;$D425&amp;"]["&amp;$F425&amp;"]"</f>
        <v>[S05_CategoryCHighestTierNotApplied][10][SourceStreamAffected]</v>
      </c>
    </row>
    <row r="426" spans="1:15" x14ac:dyDescent="0.3">
      <c r="A426" t="s">
        <v>1793</v>
      </c>
      <c r="B426" t="s">
        <v>1985</v>
      </c>
      <c r="C426" t="s">
        <v>1986</v>
      </c>
      <c r="D426">
        <v>11</v>
      </c>
      <c r="E426" t="s">
        <v>1447</v>
      </c>
      <c r="F426" t="s">
        <v>1997</v>
      </c>
      <c r="G426" t="s">
        <v>1797</v>
      </c>
      <c r="H426" t="s">
        <v>1946</v>
      </c>
      <c r="I426" t="s">
        <v>1799</v>
      </c>
      <c r="J426" t="s">
        <v>1799</v>
      </c>
      <c r="K426" t="s">
        <v>1799</v>
      </c>
      <c r="L426" t="s">
        <v>1799</v>
      </c>
      <c r="M426" t="s">
        <v>1799</v>
      </c>
      <c r="N426" t="s">
        <v>1799</v>
      </c>
      <c r="O426" s="184" t="str">
        <f>"["&amp;$C426&amp;"]["&amp;$D426&amp;"]["&amp;$F426&amp;"]"</f>
        <v>[S05_CategoryCHighestTierNotApplied][11][SourceStreamAffected]</v>
      </c>
    </row>
    <row r="427" spans="1:15" x14ac:dyDescent="0.3">
      <c r="A427" t="s">
        <v>1793</v>
      </c>
      <c r="B427" t="s">
        <v>1985</v>
      </c>
      <c r="C427" t="s">
        <v>1986</v>
      </c>
      <c r="D427">
        <v>12</v>
      </c>
      <c r="E427" t="s">
        <v>1447</v>
      </c>
      <c r="F427" t="s">
        <v>1997</v>
      </c>
      <c r="G427" t="s">
        <v>1797</v>
      </c>
      <c r="H427" t="s">
        <v>1946</v>
      </c>
      <c r="I427" t="s">
        <v>1799</v>
      </c>
      <c r="J427" t="s">
        <v>1799</v>
      </c>
      <c r="K427" t="s">
        <v>1799</v>
      </c>
      <c r="L427" t="s">
        <v>1799</v>
      </c>
      <c r="M427" t="s">
        <v>1799</v>
      </c>
      <c r="N427" t="s">
        <v>1799</v>
      </c>
      <c r="O427" s="184" t="str">
        <f>"["&amp;$C427&amp;"]["&amp;$D427&amp;"]["&amp;$F427&amp;"]"</f>
        <v>[S05_CategoryCHighestTierNotApplied][12][SourceStreamAffected]</v>
      </c>
    </row>
    <row r="428" spans="1:15" x14ac:dyDescent="0.3">
      <c r="A428" t="s">
        <v>1793</v>
      </c>
      <c r="B428" t="s">
        <v>1985</v>
      </c>
      <c r="C428" t="s">
        <v>1986</v>
      </c>
      <c r="D428">
        <v>13</v>
      </c>
      <c r="E428" t="s">
        <v>1447</v>
      </c>
      <c r="F428" t="s">
        <v>1997</v>
      </c>
      <c r="G428" t="s">
        <v>1797</v>
      </c>
      <c r="H428" t="s">
        <v>1946</v>
      </c>
      <c r="I428" t="s">
        <v>1799</v>
      </c>
      <c r="J428" t="s">
        <v>1799</v>
      </c>
      <c r="K428" t="s">
        <v>1799</v>
      </c>
      <c r="L428" t="s">
        <v>1799</v>
      </c>
      <c r="M428" t="s">
        <v>1799</v>
      </c>
      <c r="N428" t="s">
        <v>1799</v>
      </c>
      <c r="O428" s="184" t="str">
        <f>"["&amp;$C428&amp;"]["&amp;$D428&amp;"]["&amp;$F428&amp;"]"</f>
        <v>[S05_CategoryCHighestTierNotApplied][13][SourceStreamAffected]</v>
      </c>
    </row>
    <row r="429" spans="1:15" x14ac:dyDescent="0.3">
      <c r="A429" t="s">
        <v>1793</v>
      </c>
      <c r="B429" t="s">
        <v>1985</v>
      </c>
      <c r="C429" t="s">
        <v>1986</v>
      </c>
      <c r="D429">
        <v>14</v>
      </c>
      <c r="E429" t="s">
        <v>1447</v>
      </c>
      <c r="F429" t="s">
        <v>1997</v>
      </c>
      <c r="G429" t="s">
        <v>1797</v>
      </c>
      <c r="H429" t="s">
        <v>1946</v>
      </c>
      <c r="I429" t="s">
        <v>1799</v>
      </c>
      <c r="J429" t="s">
        <v>1799</v>
      </c>
      <c r="K429" t="s">
        <v>1799</v>
      </c>
      <c r="L429" t="s">
        <v>1799</v>
      </c>
      <c r="M429" t="s">
        <v>1799</v>
      </c>
      <c r="N429" t="s">
        <v>1799</v>
      </c>
      <c r="O429" s="184" t="str">
        <f>"["&amp;$C429&amp;"]["&amp;$D429&amp;"]["&amp;$F429&amp;"]"</f>
        <v>[S05_CategoryCHighestTierNotApplied][14][SourceStreamAffected]</v>
      </c>
    </row>
    <row r="430" spans="1:15" x14ac:dyDescent="0.3">
      <c r="A430" t="s">
        <v>1793</v>
      </c>
      <c r="B430" t="s">
        <v>1985</v>
      </c>
      <c r="C430" t="s">
        <v>1986</v>
      </c>
      <c r="D430">
        <v>15</v>
      </c>
      <c r="E430" t="s">
        <v>1447</v>
      </c>
      <c r="F430" t="s">
        <v>1997</v>
      </c>
      <c r="G430" t="s">
        <v>1797</v>
      </c>
      <c r="H430" t="s">
        <v>1946</v>
      </c>
      <c r="I430" t="s">
        <v>1799</v>
      </c>
      <c r="J430" t="s">
        <v>1799</v>
      </c>
      <c r="K430" t="s">
        <v>1799</v>
      </c>
      <c r="L430" t="s">
        <v>1799</v>
      </c>
      <c r="M430" t="s">
        <v>1799</v>
      </c>
      <c r="N430" t="s">
        <v>1799</v>
      </c>
      <c r="O430" s="184" t="str">
        <f>"["&amp;$C430&amp;"]["&amp;$D430&amp;"]["&amp;$F430&amp;"]"</f>
        <v>[S05_CategoryCHighestTierNotApplied][15][SourceStreamAffected]</v>
      </c>
    </row>
    <row r="431" spans="1:15" x14ac:dyDescent="0.3">
      <c r="A431" t="s">
        <v>1793</v>
      </c>
      <c r="B431" t="s">
        <v>1985</v>
      </c>
      <c r="C431" t="s">
        <v>1986</v>
      </c>
      <c r="D431">
        <v>16</v>
      </c>
      <c r="E431" t="s">
        <v>1447</v>
      </c>
      <c r="F431" t="s">
        <v>1997</v>
      </c>
      <c r="G431" t="s">
        <v>1797</v>
      </c>
      <c r="H431" t="s">
        <v>1946</v>
      </c>
      <c r="I431" t="s">
        <v>1799</v>
      </c>
      <c r="J431" t="s">
        <v>1799</v>
      </c>
      <c r="K431" t="s">
        <v>1799</v>
      </c>
      <c r="L431" t="s">
        <v>1799</v>
      </c>
      <c r="M431" t="s">
        <v>1799</v>
      </c>
      <c r="N431" t="s">
        <v>1799</v>
      </c>
      <c r="O431" s="184" t="str">
        <f>"["&amp;$C431&amp;"]["&amp;$D431&amp;"]["&amp;$F431&amp;"]"</f>
        <v>[S05_CategoryCHighestTierNotApplied][16][SourceStreamAffected]</v>
      </c>
    </row>
    <row r="432" spans="1:15" x14ac:dyDescent="0.3">
      <c r="A432" t="s">
        <v>1793</v>
      </c>
      <c r="B432" t="s">
        <v>1985</v>
      </c>
      <c r="C432" t="s">
        <v>1986</v>
      </c>
      <c r="D432">
        <v>17</v>
      </c>
      <c r="E432" t="s">
        <v>1447</v>
      </c>
      <c r="F432" t="s">
        <v>1997</v>
      </c>
      <c r="G432" t="s">
        <v>1797</v>
      </c>
      <c r="H432" t="s">
        <v>1946</v>
      </c>
      <c r="I432" t="s">
        <v>1799</v>
      </c>
      <c r="J432" t="s">
        <v>1799</v>
      </c>
      <c r="K432" t="s">
        <v>1799</v>
      </c>
      <c r="L432" t="s">
        <v>1799</v>
      </c>
      <c r="M432" t="s">
        <v>1799</v>
      </c>
      <c r="N432" t="s">
        <v>1799</v>
      </c>
      <c r="O432" s="184" t="str">
        <f>"["&amp;$C432&amp;"]["&amp;$D432&amp;"]["&amp;$F432&amp;"]"</f>
        <v>[S05_CategoryCHighestTierNotApplied][17][SourceStreamAffected]</v>
      </c>
    </row>
    <row r="433" spans="1:15" x14ac:dyDescent="0.3">
      <c r="A433" t="s">
        <v>1793</v>
      </c>
      <c r="B433" t="s">
        <v>1985</v>
      </c>
      <c r="C433" t="s">
        <v>1986</v>
      </c>
      <c r="D433">
        <v>18</v>
      </c>
      <c r="E433" t="s">
        <v>1447</v>
      </c>
      <c r="F433" t="s">
        <v>1997</v>
      </c>
      <c r="G433" t="s">
        <v>1797</v>
      </c>
      <c r="H433" t="s">
        <v>1946</v>
      </c>
      <c r="I433" t="s">
        <v>1799</v>
      </c>
      <c r="J433" t="s">
        <v>1799</v>
      </c>
      <c r="K433" t="s">
        <v>1799</v>
      </c>
      <c r="L433" t="s">
        <v>1799</v>
      </c>
      <c r="M433" t="s">
        <v>1799</v>
      </c>
      <c r="N433" t="s">
        <v>1799</v>
      </c>
      <c r="O433" s="184" t="str">
        <f>"["&amp;$C433&amp;"]["&amp;$D433&amp;"]["&amp;$F433&amp;"]"</f>
        <v>[S05_CategoryCHighestTierNotApplied][18][SourceStreamAffected]</v>
      </c>
    </row>
    <row r="434" spans="1:15" x14ac:dyDescent="0.3">
      <c r="A434" t="s">
        <v>1793</v>
      </c>
      <c r="B434" t="s">
        <v>1985</v>
      </c>
      <c r="C434" t="s">
        <v>1986</v>
      </c>
      <c r="D434">
        <v>19</v>
      </c>
      <c r="E434" t="s">
        <v>1447</v>
      </c>
      <c r="F434" t="s">
        <v>1997</v>
      </c>
      <c r="G434" t="s">
        <v>1797</v>
      </c>
      <c r="H434" t="s">
        <v>1946</v>
      </c>
      <c r="I434" t="s">
        <v>1799</v>
      </c>
      <c r="J434" t="s">
        <v>1799</v>
      </c>
      <c r="K434" t="s">
        <v>1799</v>
      </c>
      <c r="L434" t="s">
        <v>1799</v>
      </c>
      <c r="M434" t="s">
        <v>1799</v>
      </c>
      <c r="N434" t="s">
        <v>1799</v>
      </c>
      <c r="O434" s="184" t="str">
        <f>"["&amp;$C434&amp;"]["&amp;$D434&amp;"]["&amp;$F434&amp;"]"</f>
        <v>[S05_CategoryCHighestTierNotApplied][19][SourceStreamAffected]</v>
      </c>
    </row>
    <row r="435" spans="1:15" x14ac:dyDescent="0.3">
      <c r="A435" t="s">
        <v>1793</v>
      </c>
      <c r="B435" t="s">
        <v>1985</v>
      </c>
      <c r="C435" t="s">
        <v>1986</v>
      </c>
      <c r="D435">
        <v>20</v>
      </c>
      <c r="E435" t="s">
        <v>1447</v>
      </c>
      <c r="F435" t="s">
        <v>1997</v>
      </c>
      <c r="G435" t="s">
        <v>1797</v>
      </c>
      <c r="H435" t="s">
        <v>1946</v>
      </c>
      <c r="I435" t="s">
        <v>1799</v>
      </c>
      <c r="J435" t="s">
        <v>1799</v>
      </c>
      <c r="K435" t="s">
        <v>1799</v>
      </c>
      <c r="L435" t="s">
        <v>1799</v>
      </c>
      <c r="M435" t="s">
        <v>1799</v>
      </c>
      <c r="N435" t="s">
        <v>1799</v>
      </c>
      <c r="O435" s="184" t="str">
        <f>"["&amp;$C435&amp;"]["&amp;$D435&amp;"]["&amp;$F435&amp;"]"</f>
        <v>[S05_CategoryCHighestTierNotApplied][20][SourceStreamAffected]</v>
      </c>
    </row>
    <row r="436" spans="1:15" x14ac:dyDescent="0.3">
      <c r="A436" t="s">
        <v>1793</v>
      </c>
      <c r="B436" t="s">
        <v>1985</v>
      </c>
      <c r="C436" t="s">
        <v>1986</v>
      </c>
      <c r="D436">
        <v>21</v>
      </c>
      <c r="E436" t="s">
        <v>1447</v>
      </c>
      <c r="F436" t="s">
        <v>1997</v>
      </c>
      <c r="G436" t="s">
        <v>1797</v>
      </c>
      <c r="H436" t="s">
        <v>1998</v>
      </c>
      <c r="I436" t="s">
        <v>1799</v>
      </c>
      <c r="J436" t="s">
        <v>1799</v>
      </c>
      <c r="K436" t="s">
        <v>1799</v>
      </c>
      <c r="L436" t="s">
        <v>1799</v>
      </c>
      <c r="M436" t="s">
        <v>1799</v>
      </c>
      <c r="N436" t="s">
        <v>1799</v>
      </c>
      <c r="O436" s="184" t="str">
        <f>"["&amp;$C436&amp;"]["&amp;$D436&amp;"]["&amp;$F436&amp;"]"</f>
        <v>[S05_CategoryCHighestTierNotApplied][21][SourceStreamAffected]</v>
      </c>
    </row>
    <row r="437" spans="1:15" x14ac:dyDescent="0.3">
      <c r="A437" t="s">
        <v>1793</v>
      </c>
      <c r="B437" t="s">
        <v>1985</v>
      </c>
      <c r="C437" t="s">
        <v>1986</v>
      </c>
      <c r="D437">
        <v>22</v>
      </c>
      <c r="E437" t="s">
        <v>1447</v>
      </c>
      <c r="F437" t="s">
        <v>1997</v>
      </c>
      <c r="G437" t="s">
        <v>1797</v>
      </c>
      <c r="H437" t="s">
        <v>1998</v>
      </c>
      <c r="I437" t="s">
        <v>1799</v>
      </c>
      <c r="J437" t="s">
        <v>1799</v>
      </c>
      <c r="K437" t="s">
        <v>1799</v>
      </c>
      <c r="L437" t="s">
        <v>1799</v>
      </c>
      <c r="M437" t="s">
        <v>1799</v>
      </c>
      <c r="N437" t="s">
        <v>1799</v>
      </c>
      <c r="O437" s="184" t="str">
        <f>"["&amp;$C437&amp;"]["&amp;$D437&amp;"]["&amp;$F437&amp;"]"</f>
        <v>[S05_CategoryCHighestTierNotApplied][22][SourceStreamAffected]</v>
      </c>
    </row>
    <row r="438" spans="1:15" x14ac:dyDescent="0.3">
      <c r="A438" t="s">
        <v>1793</v>
      </c>
      <c r="B438" t="s">
        <v>1985</v>
      </c>
      <c r="C438" t="s">
        <v>1986</v>
      </c>
      <c r="D438">
        <v>23</v>
      </c>
      <c r="E438" t="s">
        <v>1447</v>
      </c>
      <c r="F438" t="s">
        <v>1997</v>
      </c>
      <c r="G438" t="s">
        <v>1797</v>
      </c>
      <c r="H438" t="s">
        <v>1940</v>
      </c>
      <c r="I438" t="s">
        <v>1799</v>
      </c>
      <c r="J438" t="s">
        <v>1799</v>
      </c>
      <c r="K438" t="s">
        <v>1799</v>
      </c>
      <c r="L438" t="s">
        <v>1799</v>
      </c>
      <c r="M438" t="s">
        <v>1799</v>
      </c>
      <c r="N438" t="s">
        <v>1799</v>
      </c>
      <c r="O438" s="184" t="str">
        <f>"["&amp;$C438&amp;"]["&amp;$D438&amp;"]["&amp;$F438&amp;"]"</f>
        <v>[S05_CategoryCHighestTierNotApplied][23][SourceStreamAffected]</v>
      </c>
    </row>
    <row r="439" spans="1:15" x14ac:dyDescent="0.3">
      <c r="A439" t="s">
        <v>1793</v>
      </c>
      <c r="B439" t="s">
        <v>1985</v>
      </c>
      <c r="C439" t="s">
        <v>1986</v>
      </c>
      <c r="D439">
        <v>24</v>
      </c>
      <c r="E439" t="s">
        <v>1447</v>
      </c>
      <c r="F439" t="s">
        <v>1997</v>
      </c>
      <c r="G439" t="s">
        <v>1797</v>
      </c>
      <c r="H439" t="s">
        <v>1946</v>
      </c>
      <c r="I439" t="s">
        <v>1799</v>
      </c>
      <c r="J439" t="s">
        <v>1799</v>
      </c>
      <c r="K439" t="s">
        <v>1799</v>
      </c>
      <c r="L439" t="s">
        <v>1799</v>
      </c>
      <c r="M439" t="s">
        <v>1799</v>
      </c>
      <c r="N439" t="s">
        <v>1799</v>
      </c>
      <c r="O439" s="184" t="str">
        <f>"["&amp;$C439&amp;"]["&amp;$D439&amp;"]["&amp;$F439&amp;"]"</f>
        <v>[S05_CategoryCHighestTierNotApplied][24][SourceStreamAffected]</v>
      </c>
    </row>
    <row r="440" spans="1:15" x14ac:dyDescent="0.3">
      <c r="A440" t="s">
        <v>1793</v>
      </c>
      <c r="B440" t="s">
        <v>1985</v>
      </c>
      <c r="C440" t="s">
        <v>1986</v>
      </c>
      <c r="D440">
        <v>25</v>
      </c>
      <c r="E440" t="s">
        <v>1447</v>
      </c>
      <c r="F440" t="s">
        <v>1997</v>
      </c>
      <c r="G440" t="s">
        <v>1797</v>
      </c>
      <c r="H440" t="s">
        <v>1946</v>
      </c>
      <c r="I440" t="s">
        <v>1799</v>
      </c>
      <c r="J440" t="s">
        <v>1799</v>
      </c>
      <c r="K440" t="s">
        <v>1799</v>
      </c>
      <c r="L440" t="s">
        <v>1799</v>
      </c>
      <c r="M440" t="s">
        <v>1799</v>
      </c>
      <c r="N440" t="s">
        <v>1799</v>
      </c>
      <c r="O440" s="184" t="str">
        <f>"["&amp;$C440&amp;"]["&amp;$D440&amp;"]["&amp;$F440&amp;"]"</f>
        <v>[S05_CategoryCHighestTierNotApplied][25][SourceStreamAffected]</v>
      </c>
    </row>
    <row r="441" spans="1:15" x14ac:dyDescent="0.3">
      <c r="A441" t="s">
        <v>1793</v>
      </c>
      <c r="B441" t="s">
        <v>1985</v>
      </c>
      <c r="C441" t="s">
        <v>1986</v>
      </c>
      <c r="D441">
        <v>26</v>
      </c>
      <c r="E441" t="s">
        <v>1447</v>
      </c>
      <c r="F441" t="s">
        <v>1997</v>
      </c>
      <c r="G441" t="s">
        <v>1797</v>
      </c>
      <c r="H441" t="s">
        <v>1946</v>
      </c>
      <c r="I441" t="s">
        <v>1799</v>
      </c>
      <c r="J441" t="s">
        <v>1799</v>
      </c>
      <c r="K441" t="s">
        <v>1799</v>
      </c>
      <c r="L441" t="s">
        <v>1799</v>
      </c>
      <c r="M441" t="s">
        <v>1799</v>
      </c>
      <c r="N441" t="s">
        <v>1799</v>
      </c>
      <c r="O441" s="184" t="str">
        <f>"["&amp;$C441&amp;"]["&amp;$D441&amp;"]["&amp;$F441&amp;"]"</f>
        <v>[S05_CategoryCHighestTierNotApplied][26][SourceStreamAffected]</v>
      </c>
    </row>
    <row r="442" spans="1:15" x14ac:dyDescent="0.3">
      <c r="A442" t="s">
        <v>1793</v>
      </c>
      <c r="B442" t="s">
        <v>1985</v>
      </c>
      <c r="C442" t="s">
        <v>1986</v>
      </c>
      <c r="D442">
        <v>27</v>
      </c>
      <c r="E442" t="s">
        <v>1447</v>
      </c>
      <c r="F442" t="s">
        <v>1997</v>
      </c>
      <c r="G442" t="s">
        <v>1797</v>
      </c>
      <c r="H442" t="s">
        <v>1946</v>
      </c>
      <c r="I442" t="s">
        <v>1799</v>
      </c>
      <c r="J442" t="s">
        <v>1799</v>
      </c>
      <c r="K442" t="s">
        <v>1799</v>
      </c>
      <c r="L442" t="s">
        <v>1799</v>
      </c>
      <c r="M442" t="s">
        <v>1799</v>
      </c>
      <c r="N442" t="s">
        <v>1799</v>
      </c>
      <c r="O442" s="184" t="str">
        <f>"["&amp;$C442&amp;"]["&amp;$D442&amp;"]["&amp;$F442&amp;"]"</f>
        <v>[S05_CategoryCHighestTierNotApplied][27][SourceStreamAffected]</v>
      </c>
    </row>
    <row r="443" spans="1:15" x14ac:dyDescent="0.3">
      <c r="A443" t="s">
        <v>1793</v>
      </c>
      <c r="B443" t="s">
        <v>1985</v>
      </c>
      <c r="C443" t="s">
        <v>1986</v>
      </c>
      <c r="D443">
        <v>28</v>
      </c>
      <c r="E443" t="s">
        <v>1447</v>
      </c>
      <c r="F443" t="s">
        <v>1997</v>
      </c>
      <c r="G443" t="s">
        <v>1797</v>
      </c>
      <c r="H443" t="s">
        <v>1946</v>
      </c>
      <c r="I443" t="s">
        <v>1799</v>
      </c>
      <c r="J443" t="s">
        <v>1799</v>
      </c>
      <c r="K443" t="s">
        <v>1799</v>
      </c>
      <c r="L443" t="s">
        <v>1799</v>
      </c>
      <c r="M443" t="s">
        <v>1799</v>
      </c>
      <c r="N443" t="s">
        <v>1799</v>
      </c>
      <c r="O443" s="184" t="str">
        <f>"["&amp;$C443&amp;"]["&amp;$D443&amp;"]["&amp;$F443&amp;"]"</f>
        <v>[S05_CategoryCHighestTierNotApplied][28][SourceStreamAffected]</v>
      </c>
    </row>
    <row r="444" spans="1:15" x14ac:dyDescent="0.3">
      <c r="A444" t="s">
        <v>1793</v>
      </c>
      <c r="B444" t="s">
        <v>1985</v>
      </c>
      <c r="C444" t="s">
        <v>1986</v>
      </c>
      <c r="D444">
        <v>29</v>
      </c>
      <c r="E444" t="s">
        <v>1447</v>
      </c>
      <c r="F444" t="s">
        <v>1997</v>
      </c>
      <c r="G444" t="s">
        <v>1797</v>
      </c>
      <c r="H444" t="s">
        <v>1946</v>
      </c>
      <c r="I444" t="s">
        <v>1799</v>
      </c>
      <c r="J444" t="s">
        <v>1799</v>
      </c>
      <c r="K444" t="s">
        <v>1799</v>
      </c>
      <c r="L444" t="s">
        <v>1799</v>
      </c>
      <c r="M444" t="s">
        <v>1799</v>
      </c>
      <c r="N444" t="s">
        <v>1799</v>
      </c>
      <c r="O444" s="184" t="str">
        <f>"["&amp;$C444&amp;"]["&amp;$D444&amp;"]["&amp;$F444&amp;"]"</f>
        <v>[S05_CategoryCHighestTierNotApplied][29][SourceStreamAffected]</v>
      </c>
    </row>
    <row r="445" spans="1:15" x14ac:dyDescent="0.3">
      <c r="A445" t="s">
        <v>1793</v>
      </c>
      <c r="B445" t="s">
        <v>1985</v>
      </c>
      <c r="C445" t="s">
        <v>1986</v>
      </c>
      <c r="D445">
        <v>30</v>
      </c>
      <c r="E445" t="s">
        <v>1447</v>
      </c>
      <c r="F445" t="s">
        <v>1997</v>
      </c>
      <c r="G445" t="s">
        <v>1797</v>
      </c>
      <c r="H445" t="s">
        <v>1946</v>
      </c>
      <c r="I445" t="s">
        <v>1799</v>
      </c>
      <c r="J445" t="s">
        <v>1799</v>
      </c>
      <c r="K445" t="s">
        <v>1799</v>
      </c>
      <c r="L445" t="s">
        <v>1799</v>
      </c>
      <c r="M445" t="s">
        <v>1799</v>
      </c>
      <c r="N445" t="s">
        <v>1799</v>
      </c>
      <c r="O445" s="184" t="str">
        <f>"["&amp;$C445&amp;"]["&amp;$D445&amp;"]["&amp;$F445&amp;"]"</f>
        <v>[S05_CategoryCHighestTierNotApplied][30][SourceStreamAffected]</v>
      </c>
    </row>
    <row r="446" spans="1:15" x14ac:dyDescent="0.3">
      <c r="A446" t="s">
        <v>1793</v>
      </c>
      <c r="B446" t="s">
        <v>1985</v>
      </c>
      <c r="C446" t="s">
        <v>1986</v>
      </c>
      <c r="D446">
        <v>31</v>
      </c>
      <c r="E446" t="s">
        <v>1447</v>
      </c>
      <c r="F446" t="s">
        <v>1997</v>
      </c>
      <c r="G446" t="s">
        <v>1797</v>
      </c>
      <c r="H446" t="s">
        <v>1946</v>
      </c>
      <c r="I446" t="s">
        <v>1799</v>
      </c>
      <c r="J446" t="s">
        <v>1799</v>
      </c>
      <c r="K446" t="s">
        <v>1799</v>
      </c>
      <c r="L446" t="s">
        <v>1799</v>
      </c>
      <c r="M446" t="s">
        <v>1799</v>
      </c>
      <c r="N446" t="s">
        <v>1799</v>
      </c>
      <c r="O446" s="184" t="str">
        <f>"["&amp;$C446&amp;"]["&amp;$D446&amp;"]["&amp;$F446&amp;"]"</f>
        <v>[S05_CategoryCHighestTierNotApplied][31][SourceStreamAffected]</v>
      </c>
    </row>
    <row r="447" spans="1:15" x14ac:dyDescent="0.3">
      <c r="A447" t="s">
        <v>1793</v>
      </c>
      <c r="B447" t="s">
        <v>1985</v>
      </c>
      <c r="C447" t="s">
        <v>1986</v>
      </c>
      <c r="D447">
        <v>32</v>
      </c>
      <c r="E447" t="s">
        <v>1447</v>
      </c>
      <c r="F447" t="s">
        <v>1997</v>
      </c>
      <c r="G447" t="s">
        <v>1797</v>
      </c>
      <c r="H447" t="s">
        <v>1946</v>
      </c>
      <c r="I447" t="s">
        <v>1799</v>
      </c>
      <c r="J447" t="s">
        <v>1799</v>
      </c>
      <c r="K447" t="s">
        <v>1799</v>
      </c>
      <c r="L447" t="s">
        <v>1799</v>
      </c>
      <c r="M447" t="s">
        <v>1799</v>
      </c>
      <c r="N447" t="s">
        <v>1799</v>
      </c>
      <c r="O447" s="184" t="str">
        <f>"["&amp;$C447&amp;"]["&amp;$D447&amp;"]["&amp;$F447&amp;"]"</f>
        <v>[S05_CategoryCHighestTierNotApplied][32][SourceStreamAffected]</v>
      </c>
    </row>
    <row r="448" spans="1:15" x14ac:dyDescent="0.3">
      <c r="A448" t="s">
        <v>1793</v>
      </c>
      <c r="B448" t="s">
        <v>1985</v>
      </c>
      <c r="C448" t="s">
        <v>1986</v>
      </c>
      <c r="D448">
        <v>33</v>
      </c>
      <c r="E448" t="s">
        <v>1447</v>
      </c>
      <c r="F448" t="s">
        <v>1997</v>
      </c>
      <c r="G448" t="s">
        <v>1797</v>
      </c>
      <c r="H448" t="s">
        <v>1946</v>
      </c>
      <c r="I448" t="s">
        <v>1799</v>
      </c>
      <c r="J448" t="s">
        <v>1799</v>
      </c>
      <c r="K448" t="s">
        <v>1799</v>
      </c>
      <c r="L448" t="s">
        <v>1799</v>
      </c>
      <c r="M448" t="s">
        <v>1799</v>
      </c>
      <c r="N448" t="s">
        <v>1799</v>
      </c>
      <c r="O448" s="184" t="str">
        <f>"["&amp;$C448&amp;"]["&amp;$D448&amp;"]["&amp;$F448&amp;"]"</f>
        <v>[S05_CategoryCHighestTierNotApplied][33][SourceStreamAffected]</v>
      </c>
    </row>
    <row r="449" spans="1:15" x14ac:dyDescent="0.3">
      <c r="A449" t="s">
        <v>1793</v>
      </c>
      <c r="B449" t="s">
        <v>1985</v>
      </c>
      <c r="C449" t="s">
        <v>1986</v>
      </c>
      <c r="D449">
        <v>34</v>
      </c>
      <c r="E449" t="s">
        <v>1447</v>
      </c>
      <c r="F449" t="s">
        <v>1997</v>
      </c>
      <c r="G449" t="s">
        <v>1797</v>
      </c>
      <c r="H449" t="s">
        <v>1946</v>
      </c>
      <c r="I449" t="s">
        <v>1799</v>
      </c>
      <c r="J449" t="s">
        <v>1799</v>
      </c>
      <c r="K449" t="s">
        <v>1799</v>
      </c>
      <c r="L449" t="s">
        <v>1799</v>
      </c>
      <c r="M449" t="s">
        <v>1799</v>
      </c>
      <c r="N449" t="s">
        <v>1799</v>
      </c>
      <c r="O449" s="184" t="str">
        <f>"["&amp;$C449&amp;"]["&amp;$D449&amp;"]["&amp;$F449&amp;"]"</f>
        <v>[S05_CategoryCHighestTierNotApplied][34][SourceStreamAffected]</v>
      </c>
    </row>
    <row r="450" spans="1:15" x14ac:dyDescent="0.3">
      <c r="A450" t="s">
        <v>1793</v>
      </c>
      <c r="B450" t="s">
        <v>1985</v>
      </c>
      <c r="C450" t="s">
        <v>1986</v>
      </c>
      <c r="D450">
        <v>35</v>
      </c>
      <c r="E450" t="s">
        <v>1447</v>
      </c>
      <c r="F450" t="s">
        <v>1997</v>
      </c>
      <c r="G450" t="s">
        <v>1797</v>
      </c>
      <c r="H450" t="s">
        <v>1946</v>
      </c>
      <c r="I450" t="s">
        <v>1799</v>
      </c>
      <c r="J450" t="s">
        <v>1799</v>
      </c>
      <c r="K450" t="s">
        <v>1799</v>
      </c>
      <c r="L450" t="s">
        <v>1799</v>
      </c>
      <c r="M450" t="s">
        <v>1799</v>
      </c>
      <c r="N450" t="s">
        <v>1799</v>
      </c>
      <c r="O450" s="184" t="str">
        <f>"["&amp;$C450&amp;"]["&amp;$D450&amp;"]["&amp;$F450&amp;"]"</f>
        <v>[S05_CategoryCHighestTierNotApplied][35][SourceStreamAffected]</v>
      </c>
    </row>
    <row r="451" spans="1:15" x14ac:dyDescent="0.3">
      <c r="A451" t="s">
        <v>1793</v>
      </c>
      <c r="B451" t="s">
        <v>1985</v>
      </c>
      <c r="C451" t="s">
        <v>1986</v>
      </c>
      <c r="D451">
        <v>36</v>
      </c>
      <c r="E451" t="s">
        <v>1447</v>
      </c>
      <c r="F451" t="s">
        <v>1997</v>
      </c>
      <c r="G451" t="s">
        <v>1797</v>
      </c>
      <c r="H451" t="s">
        <v>1946</v>
      </c>
      <c r="I451" t="s">
        <v>1799</v>
      </c>
      <c r="J451" t="s">
        <v>1799</v>
      </c>
      <c r="K451" t="s">
        <v>1799</v>
      </c>
      <c r="L451" t="s">
        <v>1799</v>
      </c>
      <c r="M451" t="s">
        <v>1799</v>
      </c>
      <c r="N451" t="s">
        <v>1799</v>
      </c>
      <c r="O451" s="184" t="str">
        <f>"["&amp;$C451&amp;"]["&amp;$D451&amp;"]["&amp;$F451&amp;"]"</f>
        <v>[S05_CategoryCHighestTierNotApplied][36][SourceStreamAffected]</v>
      </c>
    </row>
    <row r="452" spans="1:15" x14ac:dyDescent="0.3">
      <c r="A452" t="s">
        <v>1793</v>
      </c>
      <c r="B452" t="s">
        <v>1985</v>
      </c>
      <c r="C452" t="s">
        <v>1986</v>
      </c>
      <c r="D452">
        <v>37</v>
      </c>
      <c r="E452" t="s">
        <v>1447</v>
      </c>
      <c r="F452" t="s">
        <v>1997</v>
      </c>
      <c r="G452" t="s">
        <v>1797</v>
      </c>
      <c r="H452" t="s">
        <v>1946</v>
      </c>
      <c r="I452" t="s">
        <v>1799</v>
      </c>
      <c r="J452" t="s">
        <v>1799</v>
      </c>
      <c r="K452" t="s">
        <v>1799</v>
      </c>
      <c r="L452" t="s">
        <v>1799</v>
      </c>
      <c r="M452" t="s">
        <v>1799</v>
      </c>
      <c r="N452" t="s">
        <v>1799</v>
      </c>
      <c r="O452" s="184" t="str">
        <f>"["&amp;$C452&amp;"]["&amp;$D452&amp;"]["&amp;$F452&amp;"]"</f>
        <v>[S05_CategoryCHighestTierNotApplied][37][SourceStreamAffected]</v>
      </c>
    </row>
    <row r="453" spans="1:15" x14ac:dyDescent="0.3">
      <c r="A453" t="s">
        <v>1793</v>
      </c>
      <c r="B453" t="s">
        <v>1985</v>
      </c>
      <c r="C453" t="s">
        <v>1986</v>
      </c>
      <c r="D453">
        <v>38</v>
      </c>
      <c r="E453" t="s">
        <v>1447</v>
      </c>
      <c r="F453" t="s">
        <v>1997</v>
      </c>
      <c r="G453" t="s">
        <v>1797</v>
      </c>
      <c r="H453" t="s">
        <v>1946</v>
      </c>
      <c r="I453" t="s">
        <v>1799</v>
      </c>
      <c r="J453" t="s">
        <v>1799</v>
      </c>
      <c r="K453" t="s">
        <v>1799</v>
      </c>
      <c r="L453" t="s">
        <v>1799</v>
      </c>
      <c r="M453" t="s">
        <v>1799</v>
      </c>
      <c r="N453" t="s">
        <v>1799</v>
      </c>
      <c r="O453" s="184" t="str">
        <f>"["&amp;$C453&amp;"]["&amp;$D453&amp;"]["&amp;$F453&amp;"]"</f>
        <v>[S05_CategoryCHighestTierNotApplied][38][SourceStreamAffected]</v>
      </c>
    </row>
    <row r="454" spans="1:15" x14ac:dyDescent="0.3">
      <c r="A454" t="s">
        <v>1793</v>
      </c>
      <c r="B454" t="s">
        <v>1985</v>
      </c>
      <c r="C454" t="s">
        <v>1986</v>
      </c>
      <c r="D454">
        <v>39</v>
      </c>
      <c r="E454" t="s">
        <v>1447</v>
      </c>
      <c r="F454" t="s">
        <v>1997</v>
      </c>
      <c r="G454" t="s">
        <v>1797</v>
      </c>
      <c r="H454" t="s">
        <v>1946</v>
      </c>
      <c r="I454" t="s">
        <v>1799</v>
      </c>
      <c r="J454" t="s">
        <v>1799</v>
      </c>
      <c r="K454" t="s">
        <v>1799</v>
      </c>
      <c r="L454" t="s">
        <v>1799</v>
      </c>
      <c r="M454" t="s">
        <v>1799</v>
      </c>
      <c r="N454" t="s">
        <v>1799</v>
      </c>
      <c r="O454" s="184" t="str">
        <f>"["&amp;$C454&amp;"]["&amp;$D454&amp;"]["&amp;$F454&amp;"]"</f>
        <v>[S05_CategoryCHighestTierNotApplied][39][SourceStreamAffected]</v>
      </c>
    </row>
    <row r="455" spans="1:15" x14ac:dyDescent="0.3">
      <c r="A455" t="s">
        <v>1793</v>
      </c>
      <c r="B455" t="s">
        <v>1985</v>
      </c>
      <c r="C455" t="s">
        <v>1986</v>
      </c>
      <c r="D455">
        <v>40</v>
      </c>
      <c r="E455" t="s">
        <v>1447</v>
      </c>
      <c r="F455" t="s">
        <v>1997</v>
      </c>
      <c r="G455" t="s">
        <v>1797</v>
      </c>
      <c r="H455" t="s">
        <v>1946</v>
      </c>
      <c r="I455" t="s">
        <v>1799</v>
      </c>
      <c r="J455" t="s">
        <v>1799</v>
      </c>
      <c r="K455" t="s">
        <v>1799</v>
      </c>
      <c r="L455" t="s">
        <v>1799</v>
      </c>
      <c r="M455" t="s">
        <v>1799</v>
      </c>
      <c r="N455" t="s">
        <v>1799</v>
      </c>
      <c r="O455" s="184" t="str">
        <f>"["&amp;$C455&amp;"]["&amp;$D455&amp;"]["&amp;$F455&amp;"]"</f>
        <v>[S05_CategoryCHighestTierNotApplied][40][SourceStreamAffected]</v>
      </c>
    </row>
    <row r="456" spans="1:15" x14ac:dyDescent="0.3">
      <c r="A456" t="s">
        <v>1793</v>
      </c>
      <c r="B456" t="s">
        <v>1985</v>
      </c>
      <c r="C456" t="s">
        <v>1986</v>
      </c>
      <c r="D456">
        <v>41</v>
      </c>
      <c r="E456" t="s">
        <v>1447</v>
      </c>
      <c r="F456" t="s">
        <v>1997</v>
      </c>
      <c r="G456" t="s">
        <v>1797</v>
      </c>
      <c r="H456" t="s">
        <v>1946</v>
      </c>
      <c r="I456" t="s">
        <v>1799</v>
      </c>
      <c r="J456" t="s">
        <v>1799</v>
      </c>
      <c r="K456" t="s">
        <v>1799</v>
      </c>
      <c r="L456" t="s">
        <v>1799</v>
      </c>
      <c r="M456" t="s">
        <v>1799</v>
      </c>
      <c r="N456" t="s">
        <v>1799</v>
      </c>
      <c r="O456" s="184" t="str">
        <f>"["&amp;$C456&amp;"]["&amp;$D456&amp;"]["&amp;$F456&amp;"]"</f>
        <v>[S05_CategoryCHighestTierNotApplied][41][SourceStreamAffected]</v>
      </c>
    </row>
    <row r="457" spans="1:15" x14ac:dyDescent="0.3">
      <c r="A457" t="s">
        <v>1793</v>
      </c>
      <c r="B457" t="s">
        <v>1985</v>
      </c>
      <c r="C457" t="s">
        <v>1986</v>
      </c>
      <c r="D457">
        <v>42</v>
      </c>
      <c r="E457" t="s">
        <v>1447</v>
      </c>
      <c r="F457" t="s">
        <v>1997</v>
      </c>
      <c r="G457" t="s">
        <v>1797</v>
      </c>
      <c r="H457" t="s">
        <v>1946</v>
      </c>
      <c r="I457" t="s">
        <v>1799</v>
      </c>
      <c r="J457" t="s">
        <v>1799</v>
      </c>
      <c r="K457" t="s">
        <v>1799</v>
      </c>
      <c r="L457" t="s">
        <v>1799</v>
      </c>
      <c r="M457" t="s">
        <v>1799</v>
      </c>
      <c r="N457" t="s">
        <v>1799</v>
      </c>
      <c r="O457" s="184" t="str">
        <f>"["&amp;$C457&amp;"]["&amp;$D457&amp;"]["&amp;$F457&amp;"]"</f>
        <v>[S05_CategoryCHighestTierNotApplied][42][SourceStreamAffected]</v>
      </c>
    </row>
    <row r="458" spans="1:15" x14ac:dyDescent="0.3">
      <c r="A458" t="s">
        <v>1793</v>
      </c>
      <c r="B458" t="s">
        <v>1985</v>
      </c>
      <c r="C458" t="s">
        <v>1986</v>
      </c>
      <c r="D458">
        <v>43</v>
      </c>
      <c r="E458" t="s">
        <v>1447</v>
      </c>
      <c r="F458" t="s">
        <v>1997</v>
      </c>
      <c r="G458" t="s">
        <v>1797</v>
      </c>
      <c r="H458" t="s">
        <v>1946</v>
      </c>
      <c r="I458" t="s">
        <v>1799</v>
      </c>
      <c r="J458" t="s">
        <v>1799</v>
      </c>
      <c r="K458" t="s">
        <v>1799</v>
      </c>
      <c r="L458" t="s">
        <v>1799</v>
      </c>
      <c r="M458" t="s">
        <v>1799</v>
      </c>
      <c r="N458" t="s">
        <v>1799</v>
      </c>
      <c r="O458" s="184" t="str">
        <f>"["&amp;$C458&amp;"]["&amp;$D458&amp;"]["&amp;$F458&amp;"]"</f>
        <v>[S05_CategoryCHighestTierNotApplied][43][SourceStreamAffected]</v>
      </c>
    </row>
    <row r="459" spans="1:15" x14ac:dyDescent="0.3">
      <c r="A459" t="s">
        <v>1793</v>
      </c>
      <c r="B459" t="s">
        <v>1985</v>
      </c>
      <c r="C459" t="s">
        <v>1986</v>
      </c>
      <c r="D459">
        <v>44</v>
      </c>
      <c r="E459" t="s">
        <v>1447</v>
      </c>
      <c r="F459" t="s">
        <v>1997</v>
      </c>
      <c r="G459" t="s">
        <v>1797</v>
      </c>
      <c r="H459" t="s">
        <v>1946</v>
      </c>
      <c r="I459" t="s">
        <v>1799</v>
      </c>
      <c r="J459" t="s">
        <v>1799</v>
      </c>
      <c r="K459" t="s">
        <v>1799</v>
      </c>
      <c r="L459" t="s">
        <v>1799</v>
      </c>
      <c r="M459" t="s">
        <v>1799</v>
      </c>
      <c r="N459" t="s">
        <v>1799</v>
      </c>
      <c r="O459" s="184" t="str">
        <f>"["&amp;$C459&amp;"]["&amp;$D459&amp;"]["&amp;$F459&amp;"]"</f>
        <v>[S05_CategoryCHighestTierNotApplied][44][SourceStreamAffected]</v>
      </c>
    </row>
    <row r="460" spans="1:15" x14ac:dyDescent="0.3">
      <c r="A460" t="s">
        <v>1793</v>
      </c>
      <c r="B460" t="s">
        <v>1985</v>
      </c>
      <c r="C460" t="s">
        <v>1986</v>
      </c>
      <c r="D460">
        <v>45</v>
      </c>
      <c r="E460" t="s">
        <v>1447</v>
      </c>
      <c r="F460" t="s">
        <v>1997</v>
      </c>
      <c r="G460" t="s">
        <v>1797</v>
      </c>
      <c r="H460" t="s">
        <v>1946</v>
      </c>
      <c r="I460" t="s">
        <v>1799</v>
      </c>
      <c r="J460" t="s">
        <v>1799</v>
      </c>
      <c r="K460" t="s">
        <v>1799</v>
      </c>
      <c r="L460" t="s">
        <v>1799</v>
      </c>
      <c r="M460" t="s">
        <v>1799</v>
      </c>
      <c r="N460" t="s">
        <v>1799</v>
      </c>
      <c r="O460" s="184" t="str">
        <f>"["&amp;$C460&amp;"]["&amp;$D460&amp;"]["&amp;$F460&amp;"]"</f>
        <v>[S05_CategoryCHighestTierNotApplied][45][SourceStreamAffected]</v>
      </c>
    </row>
    <row r="461" spans="1:15" x14ac:dyDescent="0.3">
      <c r="A461" t="s">
        <v>1793</v>
      </c>
      <c r="B461" t="s">
        <v>1985</v>
      </c>
      <c r="C461" t="s">
        <v>1986</v>
      </c>
      <c r="D461">
        <v>46</v>
      </c>
      <c r="E461" t="s">
        <v>1447</v>
      </c>
      <c r="F461" t="s">
        <v>1997</v>
      </c>
      <c r="G461" t="s">
        <v>1797</v>
      </c>
      <c r="H461" t="s">
        <v>1946</v>
      </c>
      <c r="I461" t="s">
        <v>1799</v>
      </c>
      <c r="J461" t="s">
        <v>1799</v>
      </c>
      <c r="K461" t="s">
        <v>1799</v>
      </c>
      <c r="L461" t="s">
        <v>1799</v>
      </c>
      <c r="M461" t="s">
        <v>1799</v>
      </c>
      <c r="N461" t="s">
        <v>1799</v>
      </c>
      <c r="O461" s="184" t="str">
        <f>"["&amp;$C461&amp;"]["&amp;$D461&amp;"]["&amp;$F461&amp;"]"</f>
        <v>[S05_CategoryCHighestTierNotApplied][46][SourceStreamAffected]</v>
      </c>
    </row>
    <row r="462" spans="1:15" x14ac:dyDescent="0.3">
      <c r="A462" t="s">
        <v>1793</v>
      </c>
      <c r="B462" t="s">
        <v>1985</v>
      </c>
      <c r="C462" t="s">
        <v>1986</v>
      </c>
      <c r="D462">
        <v>47</v>
      </c>
      <c r="E462" t="s">
        <v>1447</v>
      </c>
      <c r="F462" t="s">
        <v>1997</v>
      </c>
      <c r="G462" t="s">
        <v>1797</v>
      </c>
      <c r="H462" t="s">
        <v>1946</v>
      </c>
      <c r="I462" t="s">
        <v>1799</v>
      </c>
      <c r="J462" t="s">
        <v>1799</v>
      </c>
      <c r="K462" t="s">
        <v>1799</v>
      </c>
      <c r="L462" t="s">
        <v>1799</v>
      </c>
      <c r="M462" t="s">
        <v>1799</v>
      </c>
      <c r="N462" t="s">
        <v>1799</v>
      </c>
      <c r="O462" s="184" t="str">
        <f>"["&amp;$C462&amp;"]["&amp;$D462&amp;"]["&amp;$F462&amp;"]"</f>
        <v>[S05_CategoryCHighestTierNotApplied][47][SourceStreamAffected]</v>
      </c>
    </row>
    <row r="463" spans="1:15" x14ac:dyDescent="0.3">
      <c r="A463" t="s">
        <v>1793</v>
      </c>
      <c r="B463" t="s">
        <v>1985</v>
      </c>
      <c r="C463" t="s">
        <v>1986</v>
      </c>
      <c r="D463">
        <v>48</v>
      </c>
      <c r="E463" t="s">
        <v>1447</v>
      </c>
      <c r="F463" t="s">
        <v>1997</v>
      </c>
      <c r="G463" t="s">
        <v>1797</v>
      </c>
      <c r="H463" t="s">
        <v>1946</v>
      </c>
      <c r="I463" t="s">
        <v>1799</v>
      </c>
      <c r="J463" t="s">
        <v>1799</v>
      </c>
      <c r="K463" t="s">
        <v>1799</v>
      </c>
      <c r="L463" t="s">
        <v>1799</v>
      </c>
      <c r="M463" t="s">
        <v>1799</v>
      </c>
      <c r="N463" t="s">
        <v>1799</v>
      </c>
      <c r="O463" s="184" t="str">
        <f>"["&amp;$C463&amp;"]["&amp;$D463&amp;"]["&amp;$F463&amp;"]"</f>
        <v>[S05_CategoryCHighestTierNotApplied][48][SourceStreamAffected]</v>
      </c>
    </row>
    <row r="464" spans="1:15" x14ac:dyDescent="0.3">
      <c r="A464" t="s">
        <v>1793</v>
      </c>
      <c r="B464" t="s">
        <v>1985</v>
      </c>
      <c r="C464" t="s">
        <v>1986</v>
      </c>
      <c r="D464">
        <v>49</v>
      </c>
      <c r="E464" t="s">
        <v>1447</v>
      </c>
      <c r="F464" t="s">
        <v>1997</v>
      </c>
      <c r="G464" t="s">
        <v>1797</v>
      </c>
      <c r="H464" t="s">
        <v>1946</v>
      </c>
      <c r="I464" t="s">
        <v>1799</v>
      </c>
      <c r="J464" t="s">
        <v>1799</v>
      </c>
      <c r="K464" t="s">
        <v>1799</v>
      </c>
      <c r="L464" t="s">
        <v>1799</v>
      </c>
      <c r="M464" t="s">
        <v>1799</v>
      </c>
      <c r="N464" t="s">
        <v>1799</v>
      </c>
      <c r="O464" s="184" t="str">
        <f>"["&amp;$C464&amp;"]["&amp;$D464&amp;"]["&amp;$F464&amp;"]"</f>
        <v>[S05_CategoryCHighestTierNotApplied][49][SourceStreamAffected]</v>
      </c>
    </row>
    <row r="465" spans="1:15" x14ac:dyDescent="0.3">
      <c r="A465" t="s">
        <v>1793</v>
      </c>
      <c r="B465" t="s">
        <v>1985</v>
      </c>
      <c r="C465" t="s">
        <v>1986</v>
      </c>
      <c r="D465">
        <v>50</v>
      </c>
      <c r="E465" t="s">
        <v>1447</v>
      </c>
      <c r="F465" t="s">
        <v>1997</v>
      </c>
      <c r="G465" t="s">
        <v>1797</v>
      </c>
      <c r="H465" t="s">
        <v>1946</v>
      </c>
      <c r="I465" t="s">
        <v>1799</v>
      </c>
      <c r="J465" t="s">
        <v>1799</v>
      </c>
      <c r="K465" t="s">
        <v>1799</v>
      </c>
      <c r="L465" t="s">
        <v>1799</v>
      </c>
      <c r="M465" t="s">
        <v>1799</v>
      </c>
      <c r="N465" t="s">
        <v>1799</v>
      </c>
      <c r="O465" s="184" t="str">
        <f>"["&amp;$C465&amp;"]["&amp;$D465&amp;"]["&amp;$F465&amp;"]"</f>
        <v>[S05_CategoryCHighestTierNotApplied][50][SourceStreamAffected]</v>
      </c>
    </row>
    <row r="466" spans="1:15" x14ac:dyDescent="0.3">
      <c r="A466" t="s">
        <v>1793</v>
      </c>
      <c r="B466" t="s">
        <v>1985</v>
      </c>
      <c r="C466" t="s">
        <v>1986</v>
      </c>
      <c r="D466">
        <v>51</v>
      </c>
      <c r="E466" t="s">
        <v>1447</v>
      </c>
      <c r="F466" t="s">
        <v>1997</v>
      </c>
      <c r="G466" t="s">
        <v>1797</v>
      </c>
      <c r="H466" t="s">
        <v>1946</v>
      </c>
      <c r="I466" t="s">
        <v>1799</v>
      </c>
      <c r="J466" t="s">
        <v>1799</v>
      </c>
      <c r="K466" t="s">
        <v>1799</v>
      </c>
      <c r="L466" t="s">
        <v>1799</v>
      </c>
      <c r="M466" t="s">
        <v>1799</v>
      </c>
      <c r="N466" t="s">
        <v>1799</v>
      </c>
      <c r="O466" s="184" t="str">
        <f>"["&amp;$C466&amp;"]["&amp;$D466&amp;"]["&amp;$F466&amp;"]"</f>
        <v>[S05_CategoryCHighestTierNotApplied][51][SourceStreamAffected]</v>
      </c>
    </row>
    <row r="467" spans="1:15" x14ac:dyDescent="0.3">
      <c r="A467" t="s">
        <v>1793</v>
      </c>
      <c r="B467" t="s">
        <v>1985</v>
      </c>
      <c r="C467" t="s">
        <v>1986</v>
      </c>
      <c r="D467">
        <v>52</v>
      </c>
      <c r="E467" t="s">
        <v>1447</v>
      </c>
      <c r="F467" t="s">
        <v>1997</v>
      </c>
      <c r="G467" t="s">
        <v>1797</v>
      </c>
      <c r="H467" t="s">
        <v>1946</v>
      </c>
      <c r="I467" t="s">
        <v>1799</v>
      </c>
      <c r="J467" t="s">
        <v>1799</v>
      </c>
      <c r="K467" t="s">
        <v>1799</v>
      </c>
      <c r="L467" t="s">
        <v>1799</v>
      </c>
      <c r="M467" t="s">
        <v>1799</v>
      </c>
      <c r="N467" t="s">
        <v>1799</v>
      </c>
      <c r="O467" s="184" t="str">
        <f>"["&amp;$C467&amp;"]["&amp;$D467&amp;"]["&amp;$F467&amp;"]"</f>
        <v>[S05_CategoryCHighestTierNotApplied][52][SourceStreamAffected]</v>
      </c>
    </row>
    <row r="468" spans="1:15" x14ac:dyDescent="0.3">
      <c r="A468" t="s">
        <v>1793</v>
      </c>
      <c r="B468" t="s">
        <v>1985</v>
      </c>
      <c r="C468" t="s">
        <v>1986</v>
      </c>
      <c r="D468">
        <v>53</v>
      </c>
      <c r="E468" t="s">
        <v>1447</v>
      </c>
      <c r="F468" t="s">
        <v>1997</v>
      </c>
      <c r="G468" t="s">
        <v>1797</v>
      </c>
      <c r="H468" t="s">
        <v>1946</v>
      </c>
      <c r="I468" t="s">
        <v>1799</v>
      </c>
      <c r="J468" t="s">
        <v>1799</v>
      </c>
      <c r="K468" t="s">
        <v>1799</v>
      </c>
      <c r="L468" t="s">
        <v>1799</v>
      </c>
      <c r="M468" t="s">
        <v>1799</v>
      </c>
      <c r="N468" t="s">
        <v>1799</v>
      </c>
      <c r="O468" s="184" t="str">
        <f>"["&amp;$C468&amp;"]["&amp;$D468&amp;"]["&amp;$F468&amp;"]"</f>
        <v>[S05_CategoryCHighestTierNotApplied][53][SourceStreamAffected]</v>
      </c>
    </row>
    <row r="469" spans="1:15" x14ac:dyDescent="0.3">
      <c r="A469" t="s">
        <v>1793</v>
      </c>
      <c r="B469" t="s">
        <v>1985</v>
      </c>
      <c r="C469" t="s">
        <v>1986</v>
      </c>
      <c r="D469">
        <v>54</v>
      </c>
      <c r="E469" t="s">
        <v>1447</v>
      </c>
      <c r="F469" t="s">
        <v>1997</v>
      </c>
      <c r="G469" t="s">
        <v>1797</v>
      </c>
      <c r="H469" t="s">
        <v>1946</v>
      </c>
      <c r="I469" t="s">
        <v>1799</v>
      </c>
      <c r="J469" t="s">
        <v>1799</v>
      </c>
      <c r="K469" t="s">
        <v>1799</v>
      </c>
      <c r="L469" t="s">
        <v>1799</v>
      </c>
      <c r="M469" t="s">
        <v>1799</v>
      </c>
      <c r="N469" t="s">
        <v>1799</v>
      </c>
      <c r="O469" s="184" t="str">
        <f>"["&amp;$C469&amp;"]["&amp;$D469&amp;"]["&amp;$F469&amp;"]"</f>
        <v>[S05_CategoryCHighestTierNotApplied][54][SourceStreamAffected]</v>
      </c>
    </row>
    <row r="470" spans="1:15" x14ac:dyDescent="0.3">
      <c r="A470" t="s">
        <v>1793</v>
      </c>
      <c r="B470" t="s">
        <v>1985</v>
      </c>
      <c r="C470" t="s">
        <v>1986</v>
      </c>
      <c r="D470">
        <v>55</v>
      </c>
      <c r="E470" t="s">
        <v>1447</v>
      </c>
      <c r="F470" t="s">
        <v>1997</v>
      </c>
      <c r="G470" t="s">
        <v>1797</v>
      </c>
      <c r="H470" t="s">
        <v>1935</v>
      </c>
      <c r="I470" t="s">
        <v>1799</v>
      </c>
      <c r="J470" t="s">
        <v>1799</v>
      </c>
      <c r="K470" t="s">
        <v>1799</v>
      </c>
      <c r="L470" t="s">
        <v>1799</v>
      </c>
      <c r="M470" t="s">
        <v>1799</v>
      </c>
      <c r="N470" t="s">
        <v>1799</v>
      </c>
      <c r="O470" s="184" t="str">
        <f>"["&amp;$C470&amp;"]["&amp;$D470&amp;"]["&amp;$F470&amp;"]"</f>
        <v>[S05_CategoryCHighestTierNotApplied][55][SourceStreamAffected]</v>
      </c>
    </row>
    <row r="471" spans="1:15" x14ac:dyDescent="0.3">
      <c r="A471" t="s">
        <v>1793</v>
      </c>
      <c r="B471" t="s">
        <v>1985</v>
      </c>
      <c r="C471" t="s">
        <v>1986</v>
      </c>
      <c r="D471">
        <v>1</v>
      </c>
      <c r="E471" t="s">
        <v>1447</v>
      </c>
      <c r="F471" t="s">
        <v>1999</v>
      </c>
      <c r="G471" t="s">
        <v>1797</v>
      </c>
      <c r="H471" t="s">
        <v>2000</v>
      </c>
      <c r="I471" t="s">
        <v>1799</v>
      </c>
      <c r="J471" t="s">
        <v>1799</v>
      </c>
      <c r="K471" t="s">
        <v>1799</v>
      </c>
      <c r="L471" t="s">
        <v>1799</v>
      </c>
      <c r="M471" t="s">
        <v>1799</v>
      </c>
      <c r="N471" t="s">
        <v>1799</v>
      </c>
      <c r="O471" s="184" t="str">
        <f>"["&amp;$C471&amp;"]["&amp;$D471&amp;"]["&amp;$F471&amp;"]"</f>
        <v>[S05_CategoryCHighestTierNotApplied][1][EmissionSourceAffected]</v>
      </c>
    </row>
    <row r="472" spans="1:15" x14ac:dyDescent="0.3">
      <c r="A472" t="s">
        <v>1793</v>
      </c>
      <c r="B472" t="s">
        <v>1985</v>
      </c>
      <c r="C472" t="s">
        <v>1986</v>
      </c>
      <c r="D472">
        <v>1</v>
      </c>
      <c r="E472" t="s">
        <v>1447</v>
      </c>
      <c r="F472" t="s">
        <v>2001</v>
      </c>
      <c r="G472" t="s">
        <v>1737</v>
      </c>
      <c r="H472" t="s">
        <v>1799</v>
      </c>
      <c r="I472" t="s">
        <v>1799</v>
      </c>
      <c r="J472" t="s">
        <v>1799</v>
      </c>
      <c r="K472" t="s">
        <v>1799</v>
      </c>
      <c r="L472" t="s">
        <v>1565</v>
      </c>
      <c r="M472" t="s">
        <v>1799</v>
      </c>
      <c r="N472" t="s">
        <v>1799</v>
      </c>
      <c r="O472" s="184" t="str">
        <f>"["&amp;$C472&amp;"]["&amp;$D472&amp;"]["&amp;$F472&amp;"]"</f>
        <v>[S05_CategoryCHighestTierNotApplied][1][MonitoringParameterAffected]</v>
      </c>
    </row>
    <row r="473" spans="1:15" x14ac:dyDescent="0.3">
      <c r="A473" t="s">
        <v>1793</v>
      </c>
      <c r="B473" t="s">
        <v>1985</v>
      </c>
      <c r="C473" t="s">
        <v>1986</v>
      </c>
      <c r="D473">
        <v>2</v>
      </c>
      <c r="E473" t="s">
        <v>1447</v>
      </c>
      <c r="F473" t="s">
        <v>2001</v>
      </c>
      <c r="G473" t="s">
        <v>1737</v>
      </c>
      <c r="H473" t="s">
        <v>1799</v>
      </c>
      <c r="I473" t="s">
        <v>1799</v>
      </c>
      <c r="J473" t="s">
        <v>1799</v>
      </c>
      <c r="K473" t="s">
        <v>1799</v>
      </c>
      <c r="L473" t="s">
        <v>1506</v>
      </c>
      <c r="M473" t="s">
        <v>1799</v>
      </c>
      <c r="N473" t="s">
        <v>1799</v>
      </c>
      <c r="O473" s="184" t="str">
        <f>"["&amp;$C473&amp;"]["&amp;$D473&amp;"]["&amp;$F473&amp;"]"</f>
        <v>[S05_CategoryCHighestTierNotApplied][2][MonitoringParameterAffected]</v>
      </c>
    </row>
    <row r="474" spans="1:15" x14ac:dyDescent="0.3">
      <c r="A474" t="s">
        <v>1793</v>
      </c>
      <c r="B474" t="s">
        <v>1985</v>
      </c>
      <c r="C474" t="s">
        <v>1986</v>
      </c>
      <c r="D474">
        <v>3</v>
      </c>
      <c r="E474" t="s">
        <v>1447</v>
      </c>
      <c r="F474" t="s">
        <v>2001</v>
      </c>
      <c r="G474" t="s">
        <v>1737</v>
      </c>
      <c r="H474" t="s">
        <v>1799</v>
      </c>
      <c r="I474" t="s">
        <v>1799</v>
      </c>
      <c r="J474" t="s">
        <v>1799</v>
      </c>
      <c r="K474" t="s">
        <v>1799</v>
      </c>
      <c r="L474" t="s">
        <v>1506</v>
      </c>
      <c r="M474" t="s">
        <v>1799</v>
      </c>
      <c r="N474" t="s">
        <v>1799</v>
      </c>
      <c r="O474" s="184" t="str">
        <f>"["&amp;$C474&amp;"]["&amp;$D474&amp;"]["&amp;$F474&amp;"]"</f>
        <v>[S05_CategoryCHighestTierNotApplied][3][MonitoringParameterAffected]</v>
      </c>
    </row>
    <row r="475" spans="1:15" x14ac:dyDescent="0.3">
      <c r="A475" t="s">
        <v>1793</v>
      </c>
      <c r="B475" t="s">
        <v>1985</v>
      </c>
      <c r="C475" t="s">
        <v>1986</v>
      </c>
      <c r="D475">
        <v>4</v>
      </c>
      <c r="E475" t="s">
        <v>1447</v>
      </c>
      <c r="F475" t="s">
        <v>2001</v>
      </c>
      <c r="G475" t="s">
        <v>1737</v>
      </c>
      <c r="H475" t="s">
        <v>1799</v>
      </c>
      <c r="I475" t="s">
        <v>1799</v>
      </c>
      <c r="J475" t="s">
        <v>1799</v>
      </c>
      <c r="K475" t="s">
        <v>1799</v>
      </c>
      <c r="L475" t="s">
        <v>1484</v>
      </c>
      <c r="M475" t="s">
        <v>1799</v>
      </c>
      <c r="N475" t="s">
        <v>1799</v>
      </c>
      <c r="O475" s="184" t="str">
        <f>"["&amp;$C475&amp;"]["&amp;$D475&amp;"]["&amp;$F475&amp;"]"</f>
        <v>[S05_CategoryCHighestTierNotApplied][4][MonitoringParameterAffected]</v>
      </c>
    </row>
    <row r="476" spans="1:15" x14ac:dyDescent="0.3">
      <c r="A476" t="s">
        <v>1793</v>
      </c>
      <c r="B476" t="s">
        <v>1985</v>
      </c>
      <c r="C476" t="s">
        <v>1986</v>
      </c>
      <c r="D476">
        <v>5</v>
      </c>
      <c r="E476" t="s">
        <v>1447</v>
      </c>
      <c r="F476" t="s">
        <v>2001</v>
      </c>
      <c r="G476" t="s">
        <v>1737</v>
      </c>
      <c r="H476" t="s">
        <v>1799</v>
      </c>
      <c r="I476" t="s">
        <v>1799</v>
      </c>
      <c r="J476" t="s">
        <v>1799</v>
      </c>
      <c r="K476" t="s">
        <v>1799</v>
      </c>
      <c r="L476" t="s">
        <v>1484</v>
      </c>
      <c r="M476" t="s">
        <v>1799</v>
      </c>
      <c r="N476" t="s">
        <v>1799</v>
      </c>
      <c r="O476" s="184" t="str">
        <f>"["&amp;$C476&amp;"]["&amp;$D476&amp;"]["&amp;$F476&amp;"]"</f>
        <v>[S05_CategoryCHighestTierNotApplied][5][MonitoringParameterAffected]</v>
      </c>
    </row>
    <row r="477" spans="1:15" x14ac:dyDescent="0.3">
      <c r="A477" t="s">
        <v>1793</v>
      </c>
      <c r="B477" t="s">
        <v>1985</v>
      </c>
      <c r="C477" t="s">
        <v>1986</v>
      </c>
      <c r="D477">
        <v>6</v>
      </c>
      <c r="E477" t="s">
        <v>1447</v>
      </c>
      <c r="F477" t="s">
        <v>2001</v>
      </c>
      <c r="G477" t="s">
        <v>1737</v>
      </c>
      <c r="H477" t="s">
        <v>1799</v>
      </c>
      <c r="I477" t="s">
        <v>1799</v>
      </c>
      <c r="J477" t="s">
        <v>1799</v>
      </c>
      <c r="K477" t="s">
        <v>1799</v>
      </c>
      <c r="L477" t="s">
        <v>1560</v>
      </c>
      <c r="M477" t="s">
        <v>1799</v>
      </c>
      <c r="N477" t="s">
        <v>1799</v>
      </c>
      <c r="O477" s="184" t="str">
        <f>"["&amp;$C477&amp;"]["&amp;$D477&amp;"]["&amp;$F477&amp;"]"</f>
        <v>[S05_CategoryCHighestTierNotApplied][6][MonitoringParameterAffected]</v>
      </c>
    </row>
    <row r="478" spans="1:15" x14ac:dyDescent="0.3">
      <c r="A478" t="s">
        <v>1793</v>
      </c>
      <c r="B478" t="s">
        <v>1985</v>
      </c>
      <c r="C478" t="s">
        <v>1986</v>
      </c>
      <c r="D478">
        <v>7</v>
      </c>
      <c r="E478" t="s">
        <v>1447</v>
      </c>
      <c r="F478" t="s">
        <v>2001</v>
      </c>
      <c r="G478" t="s">
        <v>1737</v>
      </c>
      <c r="H478" t="s">
        <v>1799</v>
      </c>
      <c r="I478" t="s">
        <v>1799</v>
      </c>
      <c r="J478" t="s">
        <v>1799</v>
      </c>
      <c r="K478" t="s">
        <v>1799</v>
      </c>
      <c r="L478" t="s">
        <v>1506</v>
      </c>
      <c r="M478" t="s">
        <v>1799</v>
      </c>
      <c r="N478" t="s">
        <v>1799</v>
      </c>
      <c r="O478" s="184" t="str">
        <f>"["&amp;$C478&amp;"]["&amp;$D478&amp;"]["&amp;$F478&amp;"]"</f>
        <v>[S05_CategoryCHighestTierNotApplied][7][MonitoringParameterAffected]</v>
      </c>
    </row>
    <row r="479" spans="1:15" x14ac:dyDescent="0.3">
      <c r="A479" t="s">
        <v>1793</v>
      </c>
      <c r="B479" t="s">
        <v>1985</v>
      </c>
      <c r="C479" t="s">
        <v>1986</v>
      </c>
      <c r="D479">
        <v>8</v>
      </c>
      <c r="E479" t="s">
        <v>1447</v>
      </c>
      <c r="F479" t="s">
        <v>2001</v>
      </c>
      <c r="G479" t="s">
        <v>1737</v>
      </c>
      <c r="H479" t="s">
        <v>1799</v>
      </c>
      <c r="I479" t="s">
        <v>1799</v>
      </c>
      <c r="J479" t="s">
        <v>1799</v>
      </c>
      <c r="K479" t="s">
        <v>1799</v>
      </c>
      <c r="L479" t="s">
        <v>1484</v>
      </c>
      <c r="M479" t="s">
        <v>1799</v>
      </c>
      <c r="N479" t="s">
        <v>1799</v>
      </c>
      <c r="O479" s="184" t="str">
        <f>"["&amp;$C479&amp;"]["&amp;$D479&amp;"]["&amp;$F479&amp;"]"</f>
        <v>[S05_CategoryCHighestTierNotApplied][8][MonitoringParameterAffected]</v>
      </c>
    </row>
    <row r="480" spans="1:15" x14ac:dyDescent="0.3">
      <c r="A480" t="s">
        <v>1793</v>
      </c>
      <c r="B480" t="s">
        <v>1985</v>
      </c>
      <c r="C480" t="s">
        <v>1986</v>
      </c>
      <c r="D480">
        <v>9</v>
      </c>
      <c r="E480" t="s">
        <v>1447</v>
      </c>
      <c r="F480" t="s">
        <v>2001</v>
      </c>
      <c r="G480" t="s">
        <v>1737</v>
      </c>
      <c r="H480" t="s">
        <v>1799</v>
      </c>
      <c r="I480" t="s">
        <v>1799</v>
      </c>
      <c r="J480" t="s">
        <v>1799</v>
      </c>
      <c r="K480" t="s">
        <v>1799</v>
      </c>
      <c r="L480" t="s">
        <v>1506</v>
      </c>
      <c r="M480" t="s">
        <v>1799</v>
      </c>
      <c r="N480" t="s">
        <v>1799</v>
      </c>
      <c r="O480" s="184" t="str">
        <f>"["&amp;$C480&amp;"]["&amp;$D480&amp;"]["&amp;$F480&amp;"]"</f>
        <v>[S05_CategoryCHighestTierNotApplied][9][MonitoringParameterAffected]</v>
      </c>
    </row>
    <row r="481" spans="1:15" x14ac:dyDescent="0.3">
      <c r="A481" t="s">
        <v>1793</v>
      </c>
      <c r="B481" t="s">
        <v>1985</v>
      </c>
      <c r="C481" t="s">
        <v>1986</v>
      </c>
      <c r="D481">
        <v>10</v>
      </c>
      <c r="E481" t="s">
        <v>1447</v>
      </c>
      <c r="F481" t="s">
        <v>2001</v>
      </c>
      <c r="G481" t="s">
        <v>1737</v>
      </c>
      <c r="H481" t="s">
        <v>1799</v>
      </c>
      <c r="I481" t="s">
        <v>1799</v>
      </c>
      <c r="J481" t="s">
        <v>1799</v>
      </c>
      <c r="K481" t="s">
        <v>1799</v>
      </c>
      <c r="L481" t="s">
        <v>1506</v>
      </c>
      <c r="M481" t="s">
        <v>1799</v>
      </c>
      <c r="N481" t="s">
        <v>1799</v>
      </c>
      <c r="O481" s="184" t="str">
        <f>"["&amp;$C481&amp;"]["&amp;$D481&amp;"]["&amp;$F481&amp;"]"</f>
        <v>[S05_CategoryCHighestTierNotApplied][10][MonitoringParameterAffected]</v>
      </c>
    </row>
    <row r="482" spans="1:15" x14ac:dyDescent="0.3">
      <c r="A482" t="s">
        <v>1793</v>
      </c>
      <c r="B482" t="s">
        <v>1985</v>
      </c>
      <c r="C482" t="s">
        <v>1986</v>
      </c>
      <c r="D482">
        <v>11</v>
      </c>
      <c r="E482" t="s">
        <v>1447</v>
      </c>
      <c r="F482" t="s">
        <v>2001</v>
      </c>
      <c r="G482" t="s">
        <v>1737</v>
      </c>
      <c r="H482" t="s">
        <v>1799</v>
      </c>
      <c r="I482" t="s">
        <v>1799</v>
      </c>
      <c r="J482" t="s">
        <v>1799</v>
      </c>
      <c r="K482" t="s">
        <v>1799</v>
      </c>
      <c r="L482" t="s">
        <v>1506</v>
      </c>
      <c r="M482" t="s">
        <v>1799</v>
      </c>
      <c r="N482" t="s">
        <v>1799</v>
      </c>
      <c r="O482" s="184" t="str">
        <f>"["&amp;$C482&amp;"]["&amp;$D482&amp;"]["&amp;$F482&amp;"]"</f>
        <v>[S05_CategoryCHighestTierNotApplied][11][MonitoringParameterAffected]</v>
      </c>
    </row>
    <row r="483" spans="1:15" x14ac:dyDescent="0.3">
      <c r="A483" t="s">
        <v>1793</v>
      </c>
      <c r="B483" t="s">
        <v>1985</v>
      </c>
      <c r="C483" t="s">
        <v>1986</v>
      </c>
      <c r="D483">
        <v>12</v>
      </c>
      <c r="E483" t="s">
        <v>1447</v>
      </c>
      <c r="F483" t="s">
        <v>2001</v>
      </c>
      <c r="G483" t="s">
        <v>1737</v>
      </c>
      <c r="H483" t="s">
        <v>1799</v>
      </c>
      <c r="I483" t="s">
        <v>1799</v>
      </c>
      <c r="J483" t="s">
        <v>1799</v>
      </c>
      <c r="K483" t="s">
        <v>1799</v>
      </c>
      <c r="L483" t="s">
        <v>1484</v>
      </c>
      <c r="M483" t="s">
        <v>1799</v>
      </c>
      <c r="N483" t="s">
        <v>1799</v>
      </c>
      <c r="O483" s="184" t="str">
        <f>"["&amp;$C483&amp;"]["&amp;$D483&amp;"]["&amp;$F483&amp;"]"</f>
        <v>[S05_CategoryCHighestTierNotApplied][12][MonitoringParameterAffected]</v>
      </c>
    </row>
    <row r="484" spans="1:15" x14ac:dyDescent="0.3">
      <c r="A484" t="s">
        <v>1793</v>
      </c>
      <c r="B484" t="s">
        <v>1985</v>
      </c>
      <c r="C484" t="s">
        <v>1986</v>
      </c>
      <c r="D484">
        <v>13</v>
      </c>
      <c r="E484" t="s">
        <v>1447</v>
      </c>
      <c r="F484" t="s">
        <v>2001</v>
      </c>
      <c r="G484" t="s">
        <v>1737</v>
      </c>
      <c r="H484" t="s">
        <v>1799</v>
      </c>
      <c r="I484" t="s">
        <v>1799</v>
      </c>
      <c r="J484" t="s">
        <v>1799</v>
      </c>
      <c r="K484" t="s">
        <v>1799</v>
      </c>
      <c r="L484" t="s">
        <v>1484</v>
      </c>
      <c r="M484" t="s">
        <v>1799</v>
      </c>
      <c r="N484" t="s">
        <v>1799</v>
      </c>
      <c r="O484" s="184" t="str">
        <f>"["&amp;$C484&amp;"]["&amp;$D484&amp;"]["&amp;$F484&amp;"]"</f>
        <v>[S05_CategoryCHighestTierNotApplied][13][MonitoringParameterAffected]</v>
      </c>
    </row>
    <row r="485" spans="1:15" x14ac:dyDescent="0.3">
      <c r="A485" t="s">
        <v>1793</v>
      </c>
      <c r="B485" t="s">
        <v>1985</v>
      </c>
      <c r="C485" t="s">
        <v>1986</v>
      </c>
      <c r="D485">
        <v>14</v>
      </c>
      <c r="E485" t="s">
        <v>1447</v>
      </c>
      <c r="F485" t="s">
        <v>2001</v>
      </c>
      <c r="G485" t="s">
        <v>1737</v>
      </c>
      <c r="H485" t="s">
        <v>1799</v>
      </c>
      <c r="I485" t="s">
        <v>1799</v>
      </c>
      <c r="J485" t="s">
        <v>1799</v>
      </c>
      <c r="K485" t="s">
        <v>1799</v>
      </c>
      <c r="L485" t="s">
        <v>1484</v>
      </c>
      <c r="M485" t="s">
        <v>1799</v>
      </c>
      <c r="N485" t="s">
        <v>1799</v>
      </c>
      <c r="O485" s="184" t="str">
        <f>"["&amp;$C485&amp;"]["&amp;$D485&amp;"]["&amp;$F485&amp;"]"</f>
        <v>[S05_CategoryCHighestTierNotApplied][14][MonitoringParameterAffected]</v>
      </c>
    </row>
    <row r="486" spans="1:15" x14ac:dyDescent="0.3">
      <c r="A486" t="s">
        <v>1793</v>
      </c>
      <c r="B486" t="s">
        <v>1985</v>
      </c>
      <c r="C486" t="s">
        <v>1986</v>
      </c>
      <c r="D486">
        <v>15</v>
      </c>
      <c r="E486" t="s">
        <v>1447</v>
      </c>
      <c r="F486" t="s">
        <v>2001</v>
      </c>
      <c r="G486" t="s">
        <v>1737</v>
      </c>
      <c r="H486" t="s">
        <v>1799</v>
      </c>
      <c r="I486" t="s">
        <v>1799</v>
      </c>
      <c r="J486" t="s">
        <v>1799</v>
      </c>
      <c r="K486" t="s">
        <v>1799</v>
      </c>
      <c r="L486" t="s">
        <v>1506</v>
      </c>
      <c r="M486" t="s">
        <v>1799</v>
      </c>
      <c r="N486" t="s">
        <v>1799</v>
      </c>
      <c r="O486" s="184" t="str">
        <f>"["&amp;$C486&amp;"]["&amp;$D486&amp;"]["&amp;$F486&amp;"]"</f>
        <v>[S05_CategoryCHighestTierNotApplied][15][MonitoringParameterAffected]</v>
      </c>
    </row>
    <row r="487" spans="1:15" x14ac:dyDescent="0.3">
      <c r="A487" t="s">
        <v>1793</v>
      </c>
      <c r="B487" t="s">
        <v>1985</v>
      </c>
      <c r="C487" t="s">
        <v>1986</v>
      </c>
      <c r="D487">
        <v>16</v>
      </c>
      <c r="E487" t="s">
        <v>1447</v>
      </c>
      <c r="F487" t="s">
        <v>2001</v>
      </c>
      <c r="G487" t="s">
        <v>1737</v>
      </c>
      <c r="H487" t="s">
        <v>1799</v>
      </c>
      <c r="I487" t="s">
        <v>1799</v>
      </c>
      <c r="J487" t="s">
        <v>1799</v>
      </c>
      <c r="K487" t="s">
        <v>1799</v>
      </c>
      <c r="L487" t="s">
        <v>1506</v>
      </c>
      <c r="M487" t="s">
        <v>1799</v>
      </c>
      <c r="N487" t="s">
        <v>1799</v>
      </c>
      <c r="O487" s="184" t="str">
        <f>"["&amp;$C487&amp;"]["&amp;$D487&amp;"]["&amp;$F487&amp;"]"</f>
        <v>[S05_CategoryCHighestTierNotApplied][16][MonitoringParameterAffected]</v>
      </c>
    </row>
    <row r="488" spans="1:15" x14ac:dyDescent="0.3">
      <c r="A488" t="s">
        <v>1793</v>
      </c>
      <c r="B488" t="s">
        <v>1985</v>
      </c>
      <c r="C488" t="s">
        <v>1986</v>
      </c>
      <c r="D488">
        <v>17</v>
      </c>
      <c r="E488" t="s">
        <v>1447</v>
      </c>
      <c r="F488" t="s">
        <v>2001</v>
      </c>
      <c r="G488" t="s">
        <v>1737</v>
      </c>
      <c r="H488" t="s">
        <v>1799</v>
      </c>
      <c r="I488" t="s">
        <v>1799</v>
      </c>
      <c r="J488" t="s">
        <v>1799</v>
      </c>
      <c r="K488" t="s">
        <v>1799</v>
      </c>
      <c r="L488" t="s">
        <v>1506</v>
      </c>
      <c r="M488" t="s">
        <v>1799</v>
      </c>
      <c r="N488" t="s">
        <v>1799</v>
      </c>
      <c r="O488" s="184" t="str">
        <f>"["&amp;$C488&amp;"]["&amp;$D488&amp;"]["&amp;$F488&amp;"]"</f>
        <v>[S05_CategoryCHighestTierNotApplied][17][MonitoringParameterAffected]</v>
      </c>
    </row>
    <row r="489" spans="1:15" x14ac:dyDescent="0.3">
      <c r="A489" t="s">
        <v>1793</v>
      </c>
      <c r="B489" t="s">
        <v>1985</v>
      </c>
      <c r="C489" t="s">
        <v>1986</v>
      </c>
      <c r="D489">
        <v>18</v>
      </c>
      <c r="E489" t="s">
        <v>1447</v>
      </c>
      <c r="F489" t="s">
        <v>2001</v>
      </c>
      <c r="G489" t="s">
        <v>1737</v>
      </c>
      <c r="H489" t="s">
        <v>1799</v>
      </c>
      <c r="I489" t="s">
        <v>1799</v>
      </c>
      <c r="J489" t="s">
        <v>1799</v>
      </c>
      <c r="K489" t="s">
        <v>1799</v>
      </c>
      <c r="L489" t="s">
        <v>1484</v>
      </c>
      <c r="M489" t="s">
        <v>1799</v>
      </c>
      <c r="N489" t="s">
        <v>1799</v>
      </c>
      <c r="O489" s="184" t="str">
        <f>"["&amp;$C489&amp;"]["&amp;$D489&amp;"]["&amp;$F489&amp;"]"</f>
        <v>[S05_CategoryCHighestTierNotApplied][18][MonitoringParameterAffected]</v>
      </c>
    </row>
    <row r="490" spans="1:15" x14ac:dyDescent="0.3">
      <c r="A490" t="s">
        <v>1793</v>
      </c>
      <c r="B490" t="s">
        <v>1985</v>
      </c>
      <c r="C490" t="s">
        <v>1986</v>
      </c>
      <c r="D490">
        <v>19</v>
      </c>
      <c r="E490" t="s">
        <v>1447</v>
      </c>
      <c r="F490" t="s">
        <v>2001</v>
      </c>
      <c r="G490" t="s">
        <v>1737</v>
      </c>
      <c r="H490" t="s">
        <v>1799</v>
      </c>
      <c r="I490" t="s">
        <v>1799</v>
      </c>
      <c r="J490" t="s">
        <v>1799</v>
      </c>
      <c r="K490" t="s">
        <v>1799</v>
      </c>
      <c r="L490" t="s">
        <v>1484</v>
      </c>
      <c r="M490" t="s">
        <v>1799</v>
      </c>
      <c r="N490" t="s">
        <v>1799</v>
      </c>
      <c r="O490" s="184" t="str">
        <f>"["&amp;$C490&amp;"]["&amp;$D490&amp;"]["&amp;$F490&amp;"]"</f>
        <v>[S05_CategoryCHighestTierNotApplied][19][MonitoringParameterAffected]</v>
      </c>
    </row>
    <row r="491" spans="1:15" x14ac:dyDescent="0.3">
      <c r="A491" t="s">
        <v>1793</v>
      </c>
      <c r="B491" t="s">
        <v>1985</v>
      </c>
      <c r="C491" t="s">
        <v>1986</v>
      </c>
      <c r="D491">
        <v>20</v>
      </c>
      <c r="E491" t="s">
        <v>1447</v>
      </c>
      <c r="F491" t="s">
        <v>2001</v>
      </c>
      <c r="G491" t="s">
        <v>1737</v>
      </c>
      <c r="H491" t="s">
        <v>1799</v>
      </c>
      <c r="I491" t="s">
        <v>1799</v>
      </c>
      <c r="J491" t="s">
        <v>1799</v>
      </c>
      <c r="K491" t="s">
        <v>1799</v>
      </c>
      <c r="L491" t="s">
        <v>1484</v>
      </c>
      <c r="M491" t="s">
        <v>1799</v>
      </c>
      <c r="N491" t="s">
        <v>1799</v>
      </c>
      <c r="O491" s="184" t="str">
        <f>"["&amp;$C491&amp;"]["&amp;$D491&amp;"]["&amp;$F491&amp;"]"</f>
        <v>[S05_CategoryCHighestTierNotApplied][20][MonitoringParameterAffected]</v>
      </c>
    </row>
    <row r="492" spans="1:15" x14ac:dyDescent="0.3">
      <c r="A492" t="s">
        <v>1793</v>
      </c>
      <c r="B492" t="s">
        <v>1985</v>
      </c>
      <c r="C492" t="s">
        <v>1986</v>
      </c>
      <c r="D492">
        <v>21</v>
      </c>
      <c r="E492" t="s">
        <v>1447</v>
      </c>
      <c r="F492" t="s">
        <v>2001</v>
      </c>
      <c r="G492" t="s">
        <v>1737</v>
      </c>
      <c r="H492" t="s">
        <v>1799</v>
      </c>
      <c r="I492" t="s">
        <v>1799</v>
      </c>
      <c r="J492" t="s">
        <v>1799</v>
      </c>
      <c r="K492" t="s">
        <v>1799</v>
      </c>
      <c r="L492" t="s">
        <v>1506</v>
      </c>
      <c r="M492" t="s">
        <v>1799</v>
      </c>
      <c r="N492" t="s">
        <v>1799</v>
      </c>
      <c r="O492" s="184" t="str">
        <f>"["&amp;$C492&amp;"]["&amp;$D492&amp;"]["&amp;$F492&amp;"]"</f>
        <v>[S05_CategoryCHighestTierNotApplied][21][MonitoringParameterAffected]</v>
      </c>
    </row>
    <row r="493" spans="1:15" x14ac:dyDescent="0.3">
      <c r="A493" t="s">
        <v>1793</v>
      </c>
      <c r="B493" t="s">
        <v>1985</v>
      </c>
      <c r="C493" t="s">
        <v>1986</v>
      </c>
      <c r="D493">
        <v>22</v>
      </c>
      <c r="E493" t="s">
        <v>1447</v>
      </c>
      <c r="F493" t="s">
        <v>2001</v>
      </c>
      <c r="G493" t="s">
        <v>1737</v>
      </c>
      <c r="H493" t="s">
        <v>1799</v>
      </c>
      <c r="I493" t="s">
        <v>1799</v>
      </c>
      <c r="J493" t="s">
        <v>1799</v>
      </c>
      <c r="K493" t="s">
        <v>1799</v>
      </c>
      <c r="L493" t="s">
        <v>1484</v>
      </c>
      <c r="M493" t="s">
        <v>1799</v>
      </c>
      <c r="N493" t="s">
        <v>1799</v>
      </c>
      <c r="O493" s="184" t="str">
        <f>"["&amp;$C493&amp;"]["&amp;$D493&amp;"]["&amp;$F493&amp;"]"</f>
        <v>[S05_CategoryCHighestTierNotApplied][22][MonitoringParameterAffected]</v>
      </c>
    </row>
    <row r="494" spans="1:15" x14ac:dyDescent="0.3">
      <c r="A494" t="s">
        <v>1793</v>
      </c>
      <c r="B494" t="s">
        <v>1985</v>
      </c>
      <c r="C494" t="s">
        <v>1986</v>
      </c>
      <c r="D494">
        <v>23</v>
      </c>
      <c r="E494" t="s">
        <v>1447</v>
      </c>
      <c r="F494" t="s">
        <v>2001</v>
      </c>
      <c r="G494" t="s">
        <v>1737</v>
      </c>
      <c r="H494" t="s">
        <v>1799</v>
      </c>
      <c r="I494" t="s">
        <v>1799</v>
      </c>
      <c r="J494" t="s">
        <v>1799</v>
      </c>
      <c r="K494" t="s">
        <v>1799</v>
      </c>
      <c r="L494" t="s">
        <v>1428</v>
      </c>
      <c r="M494" t="s">
        <v>1799</v>
      </c>
      <c r="N494" t="s">
        <v>1799</v>
      </c>
      <c r="O494" s="184" t="str">
        <f>"["&amp;$C494&amp;"]["&amp;$D494&amp;"]["&amp;$F494&amp;"]"</f>
        <v>[S05_CategoryCHighestTierNotApplied][23][MonitoringParameterAffected]</v>
      </c>
    </row>
    <row r="495" spans="1:15" x14ac:dyDescent="0.3">
      <c r="A495" t="s">
        <v>1793</v>
      </c>
      <c r="B495" t="s">
        <v>1985</v>
      </c>
      <c r="C495" t="s">
        <v>1986</v>
      </c>
      <c r="D495">
        <v>24</v>
      </c>
      <c r="E495" t="s">
        <v>1447</v>
      </c>
      <c r="F495" t="s">
        <v>2001</v>
      </c>
      <c r="G495" t="s">
        <v>1737</v>
      </c>
      <c r="H495" t="s">
        <v>1799</v>
      </c>
      <c r="I495" t="s">
        <v>1799</v>
      </c>
      <c r="J495" t="s">
        <v>1799</v>
      </c>
      <c r="K495" t="s">
        <v>1799</v>
      </c>
      <c r="L495" t="s">
        <v>1484</v>
      </c>
      <c r="M495" t="s">
        <v>1799</v>
      </c>
      <c r="N495" t="s">
        <v>1799</v>
      </c>
      <c r="O495" s="184" t="str">
        <f>"["&amp;$C495&amp;"]["&amp;$D495&amp;"]["&amp;$F495&amp;"]"</f>
        <v>[S05_CategoryCHighestTierNotApplied][24][MonitoringParameterAffected]</v>
      </c>
    </row>
    <row r="496" spans="1:15" x14ac:dyDescent="0.3">
      <c r="A496" t="s">
        <v>1793</v>
      </c>
      <c r="B496" t="s">
        <v>1985</v>
      </c>
      <c r="C496" t="s">
        <v>1986</v>
      </c>
      <c r="D496">
        <v>25</v>
      </c>
      <c r="E496" t="s">
        <v>1447</v>
      </c>
      <c r="F496" t="s">
        <v>2001</v>
      </c>
      <c r="G496" t="s">
        <v>1737</v>
      </c>
      <c r="H496" t="s">
        <v>1799</v>
      </c>
      <c r="I496" t="s">
        <v>1799</v>
      </c>
      <c r="J496" t="s">
        <v>1799</v>
      </c>
      <c r="K496" t="s">
        <v>1799</v>
      </c>
      <c r="L496" t="s">
        <v>1484</v>
      </c>
      <c r="M496" t="s">
        <v>1799</v>
      </c>
      <c r="N496" t="s">
        <v>1799</v>
      </c>
      <c r="O496" s="184" t="str">
        <f>"["&amp;$C496&amp;"]["&amp;$D496&amp;"]["&amp;$F496&amp;"]"</f>
        <v>[S05_CategoryCHighestTierNotApplied][25][MonitoringParameterAffected]</v>
      </c>
    </row>
    <row r="497" spans="1:15" x14ac:dyDescent="0.3">
      <c r="A497" t="s">
        <v>1793</v>
      </c>
      <c r="B497" t="s">
        <v>1985</v>
      </c>
      <c r="C497" t="s">
        <v>1986</v>
      </c>
      <c r="D497">
        <v>26</v>
      </c>
      <c r="E497" t="s">
        <v>1447</v>
      </c>
      <c r="F497" t="s">
        <v>2001</v>
      </c>
      <c r="G497" t="s">
        <v>1737</v>
      </c>
      <c r="H497" t="s">
        <v>1799</v>
      </c>
      <c r="I497" t="s">
        <v>1799</v>
      </c>
      <c r="J497" t="s">
        <v>1799</v>
      </c>
      <c r="K497" t="s">
        <v>1799</v>
      </c>
      <c r="L497" t="s">
        <v>1484</v>
      </c>
      <c r="M497" t="s">
        <v>1799</v>
      </c>
      <c r="N497" t="s">
        <v>1799</v>
      </c>
      <c r="O497" s="184" t="str">
        <f>"["&amp;$C497&amp;"]["&amp;$D497&amp;"]["&amp;$F497&amp;"]"</f>
        <v>[S05_CategoryCHighestTierNotApplied][26][MonitoringParameterAffected]</v>
      </c>
    </row>
    <row r="498" spans="1:15" x14ac:dyDescent="0.3">
      <c r="A498" t="s">
        <v>1793</v>
      </c>
      <c r="B498" t="s">
        <v>1985</v>
      </c>
      <c r="C498" t="s">
        <v>1986</v>
      </c>
      <c r="D498">
        <v>27</v>
      </c>
      <c r="E498" t="s">
        <v>1447</v>
      </c>
      <c r="F498" t="s">
        <v>2001</v>
      </c>
      <c r="G498" t="s">
        <v>1737</v>
      </c>
      <c r="H498" t="s">
        <v>1799</v>
      </c>
      <c r="I498" t="s">
        <v>1799</v>
      </c>
      <c r="J498" t="s">
        <v>1799</v>
      </c>
      <c r="K498" t="s">
        <v>1799</v>
      </c>
      <c r="L498" t="s">
        <v>1484</v>
      </c>
      <c r="M498" t="s">
        <v>1799</v>
      </c>
      <c r="N498" t="s">
        <v>1799</v>
      </c>
      <c r="O498" s="184" t="str">
        <f>"["&amp;$C498&amp;"]["&amp;$D498&amp;"]["&amp;$F498&amp;"]"</f>
        <v>[S05_CategoryCHighestTierNotApplied][27][MonitoringParameterAffected]</v>
      </c>
    </row>
    <row r="499" spans="1:15" x14ac:dyDescent="0.3">
      <c r="A499" t="s">
        <v>1793</v>
      </c>
      <c r="B499" t="s">
        <v>1985</v>
      </c>
      <c r="C499" t="s">
        <v>1986</v>
      </c>
      <c r="D499">
        <v>28</v>
      </c>
      <c r="E499" t="s">
        <v>1447</v>
      </c>
      <c r="F499" t="s">
        <v>2001</v>
      </c>
      <c r="G499" t="s">
        <v>1737</v>
      </c>
      <c r="H499" t="s">
        <v>1799</v>
      </c>
      <c r="I499" t="s">
        <v>1799</v>
      </c>
      <c r="J499" t="s">
        <v>1799</v>
      </c>
      <c r="K499" t="s">
        <v>1799</v>
      </c>
      <c r="L499" t="s">
        <v>1484</v>
      </c>
      <c r="M499" t="s">
        <v>1799</v>
      </c>
      <c r="N499" t="s">
        <v>1799</v>
      </c>
      <c r="O499" s="184" t="str">
        <f>"["&amp;$C499&amp;"]["&amp;$D499&amp;"]["&amp;$F499&amp;"]"</f>
        <v>[S05_CategoryCHighestTierNotApplied][28][MonitoringParameterAffected]</v>
      </c>
    </row>
    <row r="500" spans="1:15" x14ac:dyDescent="0.3">
      <c r="A500" t="s">
        <v>1793</v>
      </c>
      <c r="B500" t="s">
        <v>1985</v>
      </c>
      <c r="C500" t="s">
        <v>1986</v>
      </c>
      <c r="D500">
        <v>29</v>
      </c>
      <c r="E500" t="s">
        <v>1447</v>
      </c>
      <c r="F500" t="s">
        <v>2001</v>
      </c>
      <c r="G500" t="s">
        <v>1737</v>
      </c>
      <c r="H500" t="s">
        <v>1799</v>
      </c>
      <c r="I500" t="s">
        <v>1799</v>
      </c>
      <c r="J500" t="s">
        <v>1799</v>
      </c>
      <c r="K500" t="s">
        <v>1799</v>
      </c>
      <c r="L500" t="s">
        <v>1484</v>
      </c>
      <c r="M500" t="s">
        <v>1799</v>
      </c>
      <c r="N500" t="s">
        <v>1799</v>
      </c>
      <c r="O500" s="184" t="str">
        <f>"["&amp;$C500&amp;"]["&amp;$D500&amp;"]["&amp;$F500&amp;"]"</f>
        <v>[S05_CategoryCHighestTierNotApplied][29][MonitoringParameterAffected]</v>
      </c>
    </row>
    <row r="501" spans="1:15" x14ac:dyDescent="0.3">
      <c r="A501" t="s">
        <v>1793</v>
      </c>
      <c r="B501" t="s">
        <v>1985</v>
      </c>
      <c r="C501" t="s">
        <v>1986</v>
      </c>
      <c r="D501">
        <v>30</v>
      </c>
      <c r="E501" t="s">
        <v>1447</v>
      </c>
      <c r="F501" t="s">
        <v>2001</v>
      </c>
      <c r="G501" t="s">
        <v>1737</v>
      </c>
      <c r="H501" t="s">
        <v>1799</v>
      </c>
      <c r="I501" t="s">
        <v>1799</v>
      </c>
      <c r="J501" t="s">
        <v>1799</v>
      </c>
      <c r="K501" t="s">
        <v>1799</v>
      </c>
      <c r="L501" t="s">
        <v>1506</v>
      </c>
      <c r="M501" t="s">
        <v>1799</v>
      </c>
      <c r="N501" t="s">
        <v>1799</v>
      </c>
      <c r="O501" s="184" t="str">
        <f>"["&amp;$C501&amp;"]["&amp;$D501&amp;"]["&amp;$F501&amp;"]"</f>
        <v>[S05_CategoryCHighestTierNotApplied][30][MonitoringParameterAffected]</v>
      </c>
    </row>
    <row r="502" spans="1:15" x14ac:dyDescent="0.3">
      <c r="A502" t="s">
        <v>1793</v>
      </c>
      <c r="B502" t="s">
        <v>1985</v>
      </c>
      <c r="C502" t="s">
        <v>1986</v>
      </c>
      <c r="D502">
        <v>31</v>
      </c>
      <c r="E502" t="s">
        <v>1447</v>
      </c>
      <c r="F502" t="s">
        <v>2001</v>
      </c>
      <c r="G502" t="s">
        <v>1737</v>
      </c>
      <c r="H502" t="s">
        <v>1799</v>
      </c>
      <c r="I502" t="s">
        <v>1799</v>
      </c>
      <c r="J502" t="s">
        <v>1799</v>
      </c>
      <c r="K502" t="s">
        <v>1799</v>
      </c>
      <c r="L502" t="s">
        <v>1506</v>
      </c>
      <c r="M502" t="s">
        <v>1799</v>
      </c>
      <c r="N502" t="s">
        <v>1799</v>
      </c>
      <c r="O502" s="184" t="str">
        <f>"["&amp;$C502&amp;"]["&amp;$D502&amp;"]["&amp;$F502&amp;"]"</f>
        <v>[S05_CategoryCHighestTierNotApplied][31][MonitoringParameterAffected]</v>
      </c>
    </row>
    <row r="503" spans="1:15" x14ac:dyDescent="0.3">
      <c r="A503" t="s">
        <v>1793</v>
      </c>
      <c r="B503" t="s">
        <v>1985</v>
      </c>
      <c r="C503" t="s">
        <v>1986</v>
      </c>
      <c r="D503">
        <v>32</v>
      </c>
      <c r="E503" t="s">
        <v>1447</v>
      </c>
      <c r="F503" t="s">
        <v>2001</v>
      </c>
      <c r="G503" t="s">
        <v>1737</v>
      </c>
      <c r="H503" t="s">
        <v>1799</v>
      </c>
      <c r="I503" t="s">
        <v>1799</v>
      </c>
      <c r="J503" t="s">
        <v>1799</v>
      </c>
      <c r="K503" t="s">
        <v>1799</v>
      </c>
      <c r="L503" t="s">
        <v>1506</v>
      </c>
      <c r="M503" t="s">
        <v>1799</v>
      </c>
      <c r="N503" t="s">
        <v>1799</v>
      </c>
      <c r="O503" s="184" t="str">
        <f>"["&amp;$C503&amp;"]["&amp;$D503&amp;"]["&amp;$F503&amp;"]"</f>
        <v>[S05_CategoryCHighestTierNotApplied][32][MonitoringParameterAffected]</v>
      </c>
    </row>
    <row r="504" spans="1:15" x14ac:dyDescent="0.3">
      <c r="A504" t="s">
        <v>1793</v>
      </c>
      <c r="B504" t="s">
        <v>1985</v>
      </c>
      <c r="C504" t="s">
        <v>1986</v>
      </c>
      <c r="D504">
        <v>33</v>
      </c>
      <c r="E504" t="s">
        <v>1447</v>
      </c>
      <c r="F504" t="s">
        <v>2001</v>
      </c>
      <c r="G504" t="s">
        <v>1737</v>
      </c>
      <c r="H504" t="s">
        <v>1799</v>
      </c>
      <c r="I504" t="s">
        <v>1799</v>
      </c>
      <c r="J504" t="s">
        <v>1799</v>
      </c>
      <c r="K504" t="s">
        <v>1799</v>
      </c>
      <c r="L504" t="s">
        <v>1506</v>
      </c>
      <c r="M504" t="s">
        <v>1799</v>
      </c>
      <c r="N504" t="s">
        <v>1799</v>
      </c>
      <c r="O504" s="184" t="str">
        <f>"["&amp;$C504&amp;"]["&amp;$D504&amp;"]["&amp;$F504&amp;"]"</f>
        <v>[S05_CategoryCHighestTierNotApplied][33][MonitoringParameterAffected]</v>
      </c>
    </row>
    <row r="505" spans="1:15" x14ac:dyDescent="0.3">
      <c r="A505" t="s">
        <v>1793</v>
      </c>
      <c r="B505" t="s">
        <v>1985</v>
      </c>
      <c r="C505" t="s">
        <v>1986</v>
      </c>
      <c r="D505">
        <v>34</v>
      </c>
      <c r="E505" t="s">
        <v>1447</v>
      </c>
      <c r="F505" t="s">
        <v>2001</v>
      </c>
      <c r="G505" t="s">
        <v>1737</v>
      </c>
      <c r="H505" t="s">
        <v>1799</v>
      </c>
      <c r="I505" t="s">
        <v>1799</v>
      </c>
      <c r="J505" t="s">
        <v>1799</v>
      </c>
      <c r="K505" t="s">
        <v>1799</v>
      </c>
      <c r="L505" t="s">
        <v>1506</v>
      </c>
      <c r="M505" t="s">
        <v>1799</v>
      </c>
      <c r="N505" t="s">
        <v>1799</v>
      </c>
      <c r="O505" s="184" t="str">
        <f>"["&amp;$C505&amp;"]["&amp;$D505&amp;"]["&amp;$F505&amp;"]"</f>
        <v>[S05_CategoryCHighestTierNotApplied][34][MonitoringParameterAffected]</v>
      </c>
    </row>
    <row r="506" spans="1:15" x14ac:dyDescent="0.3">
      <c r="A506" t="s">
        <v>1793</v>
      </c>
      <c r="B506" t="s">
        <v>1985</v>
      </c>
      <c r="C506" t="s">
        <v>1986</v>
      </c>
      <c r="D506">
        <v>35</v>
      </c>
      <c r="E506" t="s">
        <v>1447</v>
      </c>
      <c r="F506" t="s">
        <v>2001</v>
      </c>
      <c r="G506" t="s">
        <v>1737</v>
      </c>
      <c r="H506" t="s">
        <v>1799</v>
      </c>
      <c r="I506" t="s">
        <v>1799</v>
      </c>
      <c r="J506" t="s">
        <v>1799</v>
      </c>
      <c r="K506" t="s">
        <v>1799</v>
      </c>
      <c r="L506" t="s">
        <v>1506</v>
      </c>
      <c r="M506" t="s">
        <v>1799</v>
      </c>
      <c r="N506" t="s">
        <v>1799</v>
      </c>
      <c r="O506" s="184" t="str">
        <f>"["&amp;$C506&amp;"]["&amp;$D506&amp;"]["&amp;$F506&amp;"]"</f>
        <v>[S05_CategoryCHighestTierNotApplied][35][MonitoringParameterAffected]</v>
      </c>
    </row>
    <row r="507" spans="1:15" x14ac:dyDescent="0.3">
      <c r="A507" t="s">
        <v>1793</v>
      </c>
      <c r="B507" t="s">
        <v>1985</v>
      </c>
      <c r="C507" t="s">
        <v>1986</v>
      </c>
      <c r="D507">
        <v>36</v>
      </c>
      <c r="E507" t="s">
        <v>1447</v>
      </c>
      <c r="F507" t="s">
        <v>2001</v>
      </c>
      <c r="G507" t="s">
        <v>1737</v>
      </c>
      <c r="H507" t="s">
        <v>1799</v>
      </c>
      <c r="I507" t="s">
        <v>1799</v>
      </c>
      <c r="J507" t="s">
        <v>1799</v>
      </c>
      <c r="K507" t="s">
        <v>1799</v>
      </c>
      <c r="L507" t="s">
        <v>1506</v>
      </c>
      <c r="M507" t="s">
        <v>1799</v>
      </c>
      <c r="N507" t="s">
        <v>1799</v>
      </c>
      <c r="O507" s="184" t="str">
        <f>"["&amp;$C507&amp;"]["&amp;$D507&amp;"]["&amp;$F507&amp;"]"</f>
        <v>[S05_CategoryCHighestTierNotApplied][36][MonitoringParameterAffected]</v>
      </c>
    </row>
    <row r="508" spans="1:15" x14ac:dyDescent="0.3">
      <c r="A508" t="s">
        <v>1793</v>
      </c>
      <c r="B508" t="s">
        <v>1985</v>
      </c>
      <c r="C508" t="s">
        <v>1986</v>
      </c>
      <c r="D508">
        <v>37</v>
      </c>
      <c r="E508" t="s">
        <v>1447</v>
      </c>
      <c r="F508" t="s">
        <v>2001</v>
      </c>
      <c r="G508" t="s">
        <v>1737</v>
      </c>
      <c r="H508" t="s">
        <v>1799</v>
      </c>
      <c r="I508" t="s">
        <v>1799</v>
      </c>
      <c r="J508" t="s">
        <v>1799</v>
      </c>
      <c r="K508" t="s">
        <v>1799</v>
      </c>
      <c r="L508" t="s">
        <v>1506</v>
      </c>
      <c r="M508" t="s">
        <v>1799</v>
      </c>
      <c r="N508" t="s">
        <v>1799</v>
      </c>
      <c r="O508" s="184" t="str">
        <f>"["&amp;$C508&amp;"]["&amp;$D508&amp;"]["&amp;$F508&amp;"]"</f>
        <v>[S05_CategoryCHighestTierNotApplied][37][MonitoringParameterAffected]</v>
      </c>
    </row>
    <row r="509" spans="1:15" x14ac:dyDescent="0.3">
      <c r="A509" t="s">
        <v>1793</v>
      </c>
      <c r="B509" t="s">
        <v>1985</v>
      </c>
      <c r="C509" t="s">
        <v>1986</v>
      </c>
      <c r="D509">
        <v>38</v>
      </c>
      <c r="E509" t="s">
        <v>1447</v>
      </c>
      <c r="F509" t="s">
        <v>2001</v>
      </c>
      <c r="G509" t="s">
        <v>1737</v>
      </c>
      <c r="H509" t="s">
        <v>1799</v>
      </c>
      <c r="I509" t="s">
        <v>1799</v>
      </c>
      <c r="J509" t="s">
        <v>1799</v>
      </c>
      <c r="K509" t="s">
        <v>1799</v>
      </c>
      <c r="L509" t="s">
        <v>1506</v>
      </c>
      <c r="M509" t="s">
        <v>1799</v>
      </c>
      <c r="N509" t="s">
        <v>1799</v>
      </c>
      <c r="O509" s="184" t="str">
        <f>"["&amp;$C509&amp;"]["&amp;$D509&amp;"]["&amp;$F509&amp;"]"</f>
        <v>[S05_CategoryCHighestTierNotApplied][38][MonitoringParameterAffected]</v>
      </c>
    </row>
    <row r="510" spans="1:15" x14ac:dyDescent="0.3">
      <c r="A510" t="s">
        <v>1793</v>
      </c>
      <c r="B510" t="s">
        <v>1985</v>
      </c>
      <c r="C510" t="s">
        <v>1986</v>
      </c>
      <c r="D510">
        <v>39</v>
      </c>
      <c r="E510" t="s">
        <v>1447</v>
      </c>
      <c r="F510" t="s">
        <v>2001</v>
      </c>
      <c r="G510" t="s">
        <v>1737</v>
      </c>
      <c r="H510" t="s">
        <v>1799</v>
      </c>
      <c r="I510" t="s">
        <v>1799</v>
      </c>
      <c r="J510" t="s">
        <v>1799</v>
      </c>
      <c r="K510" t="s">
        <v>1799</v>
      </c>
      <c r="L510" t="s">
        <v>1506</v>
      </c>
      <c r="M510" t="s">
        <v>1799</v>
      </c>
      <c r="N510" t="s">
        <v>1799</v>
      </c>
      <c r="O510" s="184" t="str">
        <f>"["&amp;$C510&amp;"]["&amp;$D510&amp;"]["&amp;$F510&amp;"]"</f>
        <v>[S05_CategoryCHighestTierNotApplied][39][MonitoringParameterAffected]</v>
      </c>
    </row>
    <row r="511" spans="1:15" x14ac:dyDescent="0.3">
      <c r="A511" t="s">
        <v>1793</v>
      </c>
      <c r="B511" t="s">
        <v>1985</v>
      </c>
      <c r="C511" t="s">
        <v>1986</v>
      </c>
      <c r="D511">
        <v>40</v>
      </c>
      <c r="E511" t="s">
        <v>1447</v>
      </c>
      <c r="F511" t="s">
        <v>2001</v>
      </c>
      <c r="G511" t="s">
        <v>1737</v>
      </c>
      <c r="H511" t="s">
        <v>1799</v>
      </c>
      <c r="I511" t="s">
        <v>1799</v>
      </c>
      <c r="J511" t="s">
        <v>1799</v>
      </c>
      <c r="K511" t="s">
        <v>1799</v>
      </c>
      <c r="L511" t="s">
        <v>1506</v>
      </c>
      <c r="M511" t="s">
        <v>1799</v>
      </c>
      <c r="N511" t="s">
        <v>1799</v>
      </c>
      <c r="O511" s="184" t="str">
        <f>"["&amp;$C511&amp;"]["&amp;$D511&amp;"]["&amp;$F511&amp;"]"</f>
        <v>[S05_CategoryCHighestTierNotApplied][40][MonitoringParameterAffected]</v>
      </c>
    </row>
    <row r="512" spans="1:15" x14ac:dyDescent="0.3">
      <c r="A512" t="s">
        <v>1793</v>
      </c>
      <c r="B512" t="s">
        <v>1985</v>
      </c>
      <c r="C512" t="s">
        <v>1986</v>
      </c>
      <c r="D512">
        <v>41</v>
      </c>
      <c r="E512" t="s">
        <v>1447</v>
      </c>
      <c r="F512" t="s">
        <v>2001</v>
      </c>
      <c r="G512" t="s">
        <v>1737</v>
      </c>
      <c r="H512" t="s">
        <v>1799</v>
      </c>
      <c r="I512" t="s">
        <v>1799</v>
      </c>
      <c r="J512" t="s">
        <v>1799</v>
      </c>
      <c r="K512" t="s">
        <v>1799</v>
      </c>
      <c r="L512" t="s">
        <v>1484</v>
      </c>
      <c r="M512" t="s">
        <v>1799</v>
      </c>
      <c r="N512" t="s">
        <v>1799</v>
      </c>
      <c r="O512" s="184" t="str">
        <f>"["&amp;$C512&amp;"]["&amp;$D512&amp;"]["&amp;$F512&amp;"]"</f>
        <v>[S05_CategoryCHighestTierNotApplied][41][MonitoringParameterAffected]</v>
      </c>
    </row>
    <row r="513" spans="1:15" x14ac:dyDescent="0.3">
      <c r="A513" t="s">
        <v>1793</v>
      </c>
      <c r="B513" t="s">
        <v>1985</v>
      </c>
      <c r="C513" t="s">
        <v>1986</v>
      </c>
      <c r="D513">
        <v>42</v>
      </c>
      <c r="E513" t="s">
        <v>1447</v>
      </c>
      <c r="F513" t="s">
        <v>2001</v>
      </c>
      <c r="G513" t="s">
        <v>1737</v>
      </c>
      <c r="H513" t="s">
        <v>1799</v>
      </c>
      <c r="I513" t="s">
        <v>1799</v>
      </c>
      <c r="J513" t="s">
        <v>1799</v>
      </c>
      <c r="K513" t="s">
        <v>1799</v>
      </c>
      <c r="L513" t="s">
        <v>1484</v>
      </c>
      <c r="M513" t="s">
        <v>1799</v>
      </c>
      <c r="N513" t="s">
        <v>1799</v>
      </c>
      <c r="O513" s="184" t="str">
        <f>"["&amp;$C513&amp;"]["&amp;$D513&amp;"]["&amp;$F513&amp;"]"</f>
        <v>[S05_CategoryCHighestTierNotApplied][42][MonitoringParameterAffected]</v>
      </c>
    </row>
    <row r="514" spans="1:15" x14ac:dyDescent="0.3">
      <c r="A514" t="s">
        <v>1793</v>
      </c>
      <c r="B514" t="s">
        <v>1985</v>
      </c>
      <c r="C514" t="s">
        <v>1986</v>
      </c>
      <c r="D514">
        <v>43</v>
      </c>
      <c r="E514" t="s">
        <v>1447</v>
      </c>
      <c r="F514" t="s">
        <v>2001</v>
      </c>
      <c r="G514" t="s">
        <v>1737</v>
      </c>
      <c r="H514" t="s">
        <v>1799</v>
      </c>
      <c r="I514" t="s">
        <v>1799</v>
      </c>
      <c r="J514" t="s">
        <v>1799</v>
      </c>
      <c r="K514" t="s">
        <v>1799</v>
      </c>
      <c r="L514" t="s">
        <v>1484</v>
      </c>
      <c r="M514" t="s">
        <v>1799</v>
      </c>
      <c r="N514" t="s">
        <v>1799</v>
      </c>
      <c r="O514" s="184" t="str">
        <f>"["&amp;$C514&amp;"]["&amp;$D514&amp;"]["&amp;$F514&amp;"]"</f>
        <v>[S05_CategoryCHighestTierNotApplied][43][MonitoringParameterAffected]</v>
      </c>
    </row>
    <row r="515" spans="1:15" x14ac:dyDescent="0.3">
      <c r="A515" t="s">
        <v>1793</v>
      </c>
      <c r="B515" t="s">
        <v>1985</v>
      </c>
      <c r="C515" t="s">
        <v>1986</v>
      </c>
      <c r="D515">
        <v>44</v>
      </c>
      <c r="E515" t="s">
        <v>1447</v>
      </c>
      <c r="F515" t="s">
        <v>2001</v>
      </c>
      <c r="G515" t="s">
        <v>1737</v>
      </c>
      <c r="H515" t="s">
        <v>1799</v>
      </c>
      <c r="I515" t="s">
        <v>1799</v>
      </c>
      <c r="J515" t="s">
        <v>1799</v>
      </c>
      <c r="K515" t="s">
        <v>1799</v>
      </c>
      <c r="L515" t="s">
        <v>1484</v>
      </c>
      <c r="M515" t="s">
        <v>1799</v>
      </c>
      <c r="N515" t="s">
        <v>1799</v>
      </c>
      <c r="O515" s="184" t="str">
        <f>"["&amp;$C515&amp;"]["&amp;$D515&amp;"]["&amp;$F515&amp;"]"</f>
        <v>[S05_CategoryCHighestTierNotApplied][44][MonitoringParameterAffected]</v>
      </c>
    </row>
    <row r="516" spans="1:15" x14ac:dyDescent="0.3">
      <c r="A516" t="s">
        <v>1793</v>
      </c>
      <c r="B516" t="s">
        <v>1985</v>
      </c>
      <c r="C516" t="s">
        <v>1986</v>
      </c>
      <c r="D516">
        <v>45</v>
      </c>
      <c r="E516" t="s">
        <v>1447</v>
      </c>
      <c r="F516" t="s">
        <v>2001</v>
      </c>
      <c r="G516" t="s">
        <v>1737</v>
      </c>
      <c r="H516" t="s">
        <v>1799</v>
      </c>
      <c r="I516" t="s">
        <v>1799</v>
      </c>
      <c r="J516" t="s">
        <v>1799</v>
      </c>
      <c r="K516" t="s">
        <v>1799</v>
      </c>
      <c r="L516" t="s">
        <v>1484</v>
      </c>
      <c r="M516" t="s">
        <v>1799</v>
      </c>
      <c r="N516" t="s">
        <v>1799</v>
      </c>
      <c r="O516" s="184" t="str">
        <f>"["&amp;$C516&amp;"]["&amp;$D516&amp;"]["&amp;$F516&amp;"]"</f>
        <v>[S05_CategoryCHighestTierNotApplied][45][MonitoringParameterAffected]</v>
      </c>
    </row>
    <row r="517" spans="1:15" x14ac:dyDescent="0.3">
      <c r="A517" t="s">
        <v>1793</v>
      </c>
      <c r="B517" t="s">
        <v>1985</v>
      </c>
      <c r="C517" t="s">
        <v>1986</v>
      </c>
      <c r="D517">
        <v>46</v>
      </c>
      <c r="E517" t="s">
        <v>1447</v>
      </c>
      <c r="F517" t="s">
        <v>2001</v>
      </c>
      <c r="G517" t="s">
        <v>1737</v>
      </c>
      <c r="H517" t="s">
        <v>1799</v>
      </c>
      <c r="I517" t="s">
        <v>1799</v>
      </c>
      <c r="J517" t="s">
        <v>1799</v>
      </c>
      <c r="K517" t="s">
        <v>1799</v>
      </c>
      <c r="L517" t="s">
        <v>1506</v>
      </c>
      <c r="M517" t="s">
        <v>1799</v>
      </c>
      <c r="N517" t="s">
        <v>1799</v>
      </c>
      <c r="O517" s="184" t="str">
        <f>"["&amp;$C517&amp;"]["&amp;$D517&amp;"]["&amp;$F517&amp;"]"</f>
        <v>[S05_CategoryCHighestTierNotApplied][46][MonitoringParameterAffected]</v>
      </c>
    </row>
    <row r="518" spans="1:15" x14ac:dyDescent="0.3">
      <c r="A518" t="s">
        <v>1793</v>
      </c>
      <c r="B518" t="s">
        <v>1985</v>
      </c>
      <c r="C518" t="s">
        <v>1986</v>
      </c>
      <c r="D518">
        <v>47</v>
      </c>
      <c r="E518" t="s">
        <v>1447</v>
      </c>
      <c r="F518" t="s">
        <v>2001</v>
      </c>
      <c r="G518" t="s">
        <v>1737</v>
      </c>
      <c r="H518" t="s">
        <v>1799</v>
      </c>
      <c r="I518" t="s">
        <v>1799</v>
      </c>
      <c r="J518" t="s">
        <v>1799</v>
      </c>
      <c r="K518" t="s">
        <v>1799</v>
      </c>
      <c r="L518" t="s">
        <v>1484</v>
      </c>
      <c r="M518" t="s">
        <v>1799</v>
      </c>
      <c r="N518" t="s">
        <v>1799</v>
      </c>
      <c r="O518" s="184" t="str">
        <f>"["&amp;$C518&amp;"]["&amp;$D518&amp;"]["&amp;$F518&amp;"]"</f>
        <v>[S05_CategoryCHighestTierNotApplied][47][MonitoringParameterAffected]</v>
      </c>
    </row>
    <row r="519" spans="1:15" x14ac:dyDescent="0.3">
      <c r="A519" t="s">
        <v>1793</v>
      </c>
      <c r="B519" t="s">
        <v>1985</v>
      </c>
      <c r="C519" t="s">
        <v>1986</v>
      </c>
      <c r="D519">
        <v>48</v>
      </c>
      <c r="E519" t="s">
        <v>1447</v>
      </c>
      <c r="F519" t="s">
        <v>2001</v>
      </c>
      <c r="G519" t="s">
        <v>1737</v>
      </c>
      <c r="H519" t="s">
        <v>1799</v>
      </c>
      <c r="I519" t="s">
        <v>1799</v>
      </c>
      <c r="J519" t="s">
        <v>1799</v>
      </c>
      <c r="K519" t="s">
        <v>1799</v>
      </c>
      <c r="L519" t="s">
        <v>1428</v>
      </c>
      <c r="M519" t="s">
        <v>1799</v>
      </c>
      <c r="N519" t="s">
        <v>1799</v>
      </c>
      <c r="O519" s="184" t="str">
        <f>"["&amp;$C519&amp;"]["&amp;$D519&amp;"]["&amp;$F519&amp;"]"</f>
        <v>[S05_CategoryCHighestTierNotApplied][48][MonitoringParameterAffected]</v>
      </c>
    </row>
    <row r="520" spans="1:15" x14ac:dyDescent="0.3">
      <c r="A520" t="s">
        <v>1793</v>
      </c>
      <c r="B520" t="s">
        <v>1985</v>
      </c>
      <c r="C520" t="s">
        <v>1986</v>
      </c>
      <c r="D520">
        <v>49</v>
      </c>
      <c r="E520" t="s">
        <v>1447</v>
      </c>
      <c r="F520" t="s">
        <v>2001</v>
      </c>
      <c r="G520" t="s">
        <v>1737</v>
      </c>
      <c r="H520" t="s">
        <v>1799</v>
      </c>
      <c r="I520" t="s">
        <v>1799</v>
      </c>
      <c r="J520" t="s">
        <v>1799</v>
      </c>
      <c r="K520" t="s">
        <v>1799</v>
      </c>
      <c r="L520" t="s">
        <v>1506</v>
      </c>
      <c r="M520" t="s">
        <v>1799</v>
      </c>
      <c r="N520" t="s">
        <v>1799</v>
      </c>
      <c r="O520" s="184" t="str">
        <f>"["&amp;$C520&amp;"]["&amp;$D520&amp;"]["&amp;$F520&amp;"]"</f>
        <v>[S05_CategoryCHighestTierNotApplied][49][MonitoringParameterAffected]</v>
      </c>
    </row>
    <row r="521" spans="1:15" x14ac:dyDescent="0.3">
      <c r="A521" t="s">
        <v>1793</v>
      </c>
      <c r="B521" t="s">
        <v>1985</v>
      </c>
      <c r="C521" t="s">
        <v>1986</v>
      </c>
      <c r="D521">
        <v>50</v>
      </c>
      <c r="E521" t="s">
        <v>1447</v>
      </c>
      <c r="F521" t="s">
        <v>2001</v>
      </c>
      <c r="G521" t="s">
        <v>1737</v>
      </c>
      <c r="H521" t="s">
        <v>1799</v>
      </c>
      <c r="I521" t="s">
        <v>1799</v>
      </c>
      <c r="J521" t="s">
        <v>1799</v>
      </c>
      <c r="K521" t="s">
        <v>1799</v>
      </c>
      <c r="L521" t="s">
        <v>1506</v>
      </c>
      <c r="M521" t="s">
        <v>1799</v>
      </c>
      <c r="N521" t="s">
        <v>1799</v>
      </c>
      <c r="O521" s="184" t="str">
        <f>"["&amp;$C521&amp;"]["&amp;$D521&amp;"]["&amp;$F521&amp;"]"</f>
        <v>[S05_CategoryCHighestTierNotApplied][50][MonitoringParameterAffected]</v>
      </c>
    </row>
    <row r="522" spans="1:15" x14ac:dyDescent="0.3">
      <c r="A522" t="s">
        <v>1793</v>
      </c>
      <c r="B522" t="s">
        <v>1985</v>
      </c>
      <c r="C522" t="s">
        <v>1986</v>
      </c>
      <c r="D522">
        <v>51</v>
      </c>
      <c r="E522" t="s">
        <v>1447</v>
      </c>
      <c r="F522" t="s">
        <v>2001</v>
      </c>
      <c r="G522" t="s">
        <v>1737</v>
      </c>
      <c r="H522" t="s">
        <v>1799</v>
      </c>
      <c r="I522" t="s">
        <v>1799</v>
      </c>
      <c r="J522" t="s">
        <v>1799</v>
      </c>
      <c r="K522" t="s">
        <v>1799</v>
      </c>
      <c r="L522" t="s">
        <v>1506</v>
      </c>
      <c r="M522" t="s">
        <v>1799</v>
      </c>
      <c r="N522" t="s">
        <v>1799</v>
      </c>
      <c r="O522" s="184" t="str">
        <f>"["&amp;$C522&amp;"]["&amp;$D522&amp;"]["&amp;$F522&amp;"]"</f>
        <v>[S05_CategoryCHighestTierNotApplied][51][MonitoringParameterAffected]</v>
      </c>
    </row>
    <row r="523" spans="1:15" x14ac:dyDescent="0.3">
      <c r="A523" t="s">
        <v>1793</v>
      </c>
      <c r="B523" t="s">
        <v>1985</v>
      </c>
      <c r="C523" t="s">
        <v>1986</v>
      </c>
      <c r="D523">
        <v>52</v>
      </c>
      <c r="E523" t="s">
        <v>1447</v>
      </c>
      <c r="F523" t="s">
        <v>2001</v>
      </c>
      <c r="G523" t="s">
        <v>1737</v>
      </c>
      <c r="H523" t="s">
        <v>1799</v>
      </c>
      <c r="I523" t="s">
        <v>1799</v>
      </c>
      <c r="J523" t="s">
        <v>1799</v>
      </c>
      <c r="K523" t="s">
        <v>1799</v>
      </c>
      <c r="L523" t="s">
        <v>1506</v>
      </c>
      <c r="M523" t="s">
        <v>1799</v>
      </c>
      <c r="N523" t="s">
        <v>1799</v>
      </c>
      <c r="O523" s="184" t="str">
        <f>"["&amp;$C523&amp;"]["&amp;$D523&amp;"]["&amp;$F523&amp;"]"</f>
        <v>[S05_CategoryCHighestTierNotApplied][52][MonitoringParameterAffected]</v>
      </c>
    </row>
    <row r="524" spans="1:15" x14ac:dyDescent="0.3">
      <c r="A524" t="s">
        <v>1793</v>
      </c>
      <c r="B524" t="s">
        <v>1985</v>
      </c>
      <c r="C524" t="s">
        <v>1986</v>
      </c>
      <c r="D524">
        <v>53</v>
      </c>
      <c r="E524" t="s">
        <v>1447</v>
      </c>
      <c r="F524" t="s">
        <v>2001</v>
      </c>
      <c r="G524" t="s">
        <v>1737</v>
      </c>
      <c r="H524" t="s">
        <v>1799</v>
      </c>
      <c r="I524" t="s">
        <v>1799</v>
      </c>
      <c r="J524" t="s">
        <v>1799</v>
      </c>
      <c r="K524" t="s">
        <v>1799</v>
      </c>
      <c r="L524" t="s">
        <v>1484</v>
      </c>
      <c r="M524" t="s">
        <v>1799</v>
      </c>
      <c r="N524" t="s">
        <v>1799</v>
      </c>
      <c r="O524" s="184" t="str">
        <f>"["&amp;$C524&amp;"]["&amp;$D524&amp;"]["&amp;$F524&amp;"]"</f>
        <v>[S05_CategoryCHighestTierNotApplied][53][MonitoringParameterAffected]</v>
      </c>
    </row>
    <row r="525" spans="1:15" x14ac:dyDescent="0.3">
      <c r="A525" t="s">
        <v>1793</v>
      </c>
      <c r="B525" t="s">
        <v>1985</v>
      </c>
      <c r="C525" t="s">
        <v>1986</v>
      </c>
      <c r="D525">
        <v>54</v>
      </c>
      <c r="E525" t="s">
        <v>1447</v>
      </c>
      <c r="F525" t="s">
        <v>2001</v>
      </c>
      <c r="G525" t="s">
        <v>1737</v>
      </c>
      <c r="H525" t="s">
        <v>1799</v>
      </c>
      <c r="I525" t="s">
        <v>1799</v>
      </c>
      <c r="J525" t="s">
        <v>1799</v>
      </c>
      <c r="K525" t="s">
        <v>1799</v>
      </c>
      <c r="L525" t="s">
        <v>1484</v>
      </c>
      <c r="M525" t="s">
        <v>1799</v>
      </c>
      <c r="N525" t="s">
        <v>1799</v>
      </c>
      <c r="O525" s="184" t="str">
        <f>"["&amp;$C525&amp;"]["&amp;$D525&amp;"]["&amp;$F525&amp;"]"</f>
        <v>[S05_CategoryCHighestTierNotApplied][54][MonitoringParameterAffected]</v>
      </c>
    </row>
    <row r="526" spans="1:15" x14ac:dyDescent="0.3">
      <c r="A526" t="s">
        <v>1793</v>
      </c>
      <c r="B526" t="s">
        <v>1985</v>
      </c>
      <c r="C526" t="s">
        <v>1986</v>
      </c>
      <c r="D526">
        <v>55</v>
      </c>
      <c r="E526" t="s">
        <v>1447</v>
      </c>
      <c r="F526" t="s">
        <v>2001</v>
      </c>
      <c r="G526" t="s">
        <v>1737</v>
      </c>
      <c r="H526" t="s">
        <v>1799</v>
      </c>
      <c r="I526" t="s">
        <v>1799</v>
      </c>
      <c r="J526" t="s">
        <v>1799</v>
      </c>
      <c r="K526" t="s">
        <v>1799</v>
      </c>
      <c r="L526" t="s">
        <v>1484</v>
      </c>
      <c r="M526" t="s">
        <v>1799</v>
      </c>
      <c r="N526" t="s">
        <v>1799</v>
      </c>
      <c r="O526" s="184" t="str">
        <f>"["&amp;$C526&amp;"]["&amp;$D526&amp;"]["&amp;$F526&amp;"]"</f>
        <v>[S05_CategoryCHighestTierNotApplied][55][MonitoringParameterAffected]</v>
      </c>
    </row>
    <row r="527" spans="1:15" x14ac:dyDescent="0.3">
      <c r="A527" t="s">
        <v>1793</v>
      </c>
      <c r="B527" t="s">
        <v>1985</v>
      </c>
      <c r="C527" t="s">
        <v>1986</v>
      </c>
      <c r="D527">
        <v>1</v>
      </c>
      <c r="E527" t="s">
        <v>1447</v>
      </c>
      <c r="F527" t="s">
        <v>2002</v>
      </c>
      <c r="G527" t="s">
        <v>1737</v>
      </c>
      <c r="H527" t="s">
        <v>1799</v>
      </c>
      <c r="I527" t="s">
        <v>1799</v>
      </c>
      <c r="J527" t="s">
        <v>1799</v>
      </c>
      <c r="K527" t="s">
        <v>1799</v>
      </c>
      <c r="L527" t="s">
        <v>1544</v>
      </c>
      <c r="M527" t="s">
        <v>1799</v>
      </c>
      <c r="N527" t="s">
        <v>1799</v>
      </c>
      <c r="O527" s="184" t="str">
        <f>"["&amp;$C527&amp;"]["&amp;$D527&amp;"]["&amp;$F527&amp;"]"</f>
        <v>[S05_CategoryCHighestTierNotApplied][1][HighestTierRequired]</v>
      </c>
    </row>
    <row r="528" spans="1:15" x14ac:dyDescent="0.3">
      <c r="A528" t="s">
        <v>1793</v>
      </c>
      <c r="B528" t="s">
        <v>1985</v>
      </c>
      <c r="C528" t="s">
        <v>1986</v>
      </c>
      <c r="D528">
        <v>2</v>
      </c>
      <c r="E528" t="s">
        <v>1447</v>
      </c>
      <c r="F528" t="s">
        <v>2002</v>
      </c>
      <c r="G528" t="s">
        <v>1737</v>
      </c>
      <c r="H528" t="s">
        <v>1799</v>
      </c>
      <c r="I528" t="s">
        <v>1799</v>
      </c>
      <c r="J528" t="s">
        <v>1799</v>
      </c>
      <c r="K528" t="s">
        <v>1799</v>
      </c>
      <c r="L528" t="s">
        <v>1534</v>
      </c>
      <c r="M528" t="s">
        <v>1799</v>
      </c>
      <c r="N528" t="s">
        <v>1799</v>
      </c>
      <c r="O528" s="184" t="str">
        <f>"["&amp;$C528&amp;"]["&amp;$D528&amp;"]["&amp;$F528&amp;"]"</f>
        <v>[S05_CategoryCHighestTierNotApplied][2][HighestTierRequired]</v>
      </c>
    </row>
    <row r="529" spans="1:15" x14ac:dyDescent="0.3">
      <c r="A529" t="s">
        <v>1793</v>
      </c>
      <c r="B529" t="s">
        <v>1985</v>
      </c>
      <c r="C529" t="s">
        <v>1986</v>
      </c>
      <c r="D529">
        <v>3</v>
      </c>
      <c r="E529" t="s">
        <v>1447</v>
      </c>
      <c r="F529" t="s">
        <v>2002</v>
      </c>
      <c r="G529" t="s">
        <v>1737</v>
      </c>
      <c r="H529" t="s">
        <v>1799</v>
      </c>
      <c r="I529" t="s">
        <v>1799</v>
      </c>
      <c r="J529" t="s">
        <v>1799</v>
      </c>
      <c r="K529" t="s">
        <v>1799</v>
      </c>
      <c r="L529" t="s">
        <v>1534</v>
      </c>
      <c r="M529" t="s">
        <v>1799</v>
      </c>
      <c r="N529" t="s">
        <v>1799</v>
      </c>
      <c r="O529" s="184" t="str">
        <f>"["&amp;$C529&amp;"]["&amp;$D529&amp;"]["&amp;$F529&amp;"]"</f>
        <v>[S05_CategoryCHighestTierNotApplied][3][HighestTierRequired]</v>
      </c>
    </row>
    <row r="530" spans="1:15" x14ac:dyDescent="0.3">
      <c r="A530" t="s">
        <v>1793</v>
      </c>
      <c r="B530" t="s">
        <v>1985</v>
      </c>
      <c r="C530" t="s">
        <v>1986</v>
      </c>
      <c r="D530">
        <v>4</v>
      </c>
      <c r="E530" t="s">
        <v>1447</v>
      </c>
      <c r="F530" t="s">
        <v>2002</v>
      </c>
      <c r="G530" t="s">
        <v>1737</v>
      </c>
      <c r="H530" t="s">
        <v>1799</v>
      </c>
      <c r="I530" t="s">
        <v>1799</v>
      </c>
      <c r="J530" t="s">
        <v>1799</v>
      </c>
      <c r="K530" t="s">
        <v>1799</v>
      </c>
      <c r="L530" t="s">
        <v>1534</v>
      </c>
      <c r="M530" t="s">
        <v>1799</v>
      </c>
      <c r="N530" t="s">
        <v>1799</v>
      </c>
      <c r="O530" s="184" t="str">
        <f>"["&amp;$C530&amp;"]["&amp;$D530&amp;"]["&amp;$F530&amp;"]"</f>
        <v>[S05_CategoryCHighestTierNotApplied][4][HighestTierRequired]</v>
      </c>
    </row>
    <row r="531" spans="1:15" x14ac:dyDescent="0.3">
      <c r="A531" t="s">
        <v>1793</v>
      </c>
      <c r="B531" t="s">
        <v>1985</v>
      </c>
      <c r="C531" t="s">
        <v>1986</v>
      </c>
      <c r="D531">
        <v>5</v>
      </c>
      <c r="E531" t="s">
        <v>1447</v>
      </c>
      <c r="F531" t="s">
        <v>2002</v>
      </c>
      <c r="G531" t="s">
        <v>1737</v>
      </c>
      <c r="H531" t="s">
        <v>1799</v>
      </c>
      <c r="I531" t="s">
        <v>1799</v>
      </c>
      <c r="J531" t="s">
        <v>1799</v>
      </c>
      <c r="K531" t="s">
        <v>1799</v>
      </c>
      <c r="L531" t="s">
        <v>1534</v>
      </c>
      <c r="M531" t="s">
        <v>1799</v>
      </c>
      <c r="N531" t="s">
        <v>1799</v>
      </c>
      <c r="O531" s="184" t="str">
        <f>"["&amp;$C531&amp;"]["&amp;$D531&amp;"]["&amp;$F531&amp;"]"</f>
        <v>[S05_CategoryCHighestTierNotApplied][5][HighestTierRequired]</v>
      </c>
    </row>
    <row r="532" spans="1:15" x14ac:dyDescent="0.3">
      <c r="A532" t="s">
        <v>1793</v>
      </c>
      <c r="B532" t="s">
        <v>1985</v>
      </c>
      <c r="C532" t="s">
        <v>1986</v>
      </c>
      <c r="D532">
        <v>6</v>
      </c>
      <c r="E532" t="s">
        <v>1447</v>
      </c>
      <c r="F532" t="s">
        <v>2002</v>
      </c>
      <c r="G532" t="s">
        <v>1737</v>
      </c>
      <c r="H532" t="s">
        <v>1799</v>
      </c>
      <c r="I532" t="s">
        <v>1799</v>
      </c>
      <c r="J532" t="s">
        <v>1799</v>
      </c>
      <c r="K532" t="s">
        <v>1799</v>
      </c>
      <c r="L532" t="s">
        <v>1534</v>
      </c>
      <c r="M532" t="s">
        <v>1799</v>
      </c>
      <c r="N532" t="s">
        <v>1799</v>
      </c>
      <c r="O532" s="184" t="str">
        <f>"["&amp;$C532&amp;"]["&amp;$D532&amp;"]["&amp;$F532&amp;"]"</f>
        <v>[S05_CategoryCHighestTierNotApplied][6][HighestTierRequired]</v>
      </c>
    </row>
    <row r="533" spans="1:15" x14ac:dyDescent="0.3">
      <c r="A533" t="s">
        <v>1793</v>
      </c>
      <c r="B533" t="s">
        <v>1985</v>
      </c>
      <c r="C533" t="s">
        <v>1986</v>
      </c>
      <c r="D533">
        <v>7</v>
      </c>
      <c r="E533" t="s">
        <v>1447</v>
      </c>
      <c r="F533" t="s">
        <v>2002</v>
      </c>
      <c r="G533" t="s">
        <v>1737</v>
      </c>
      <c r="H533" t="s">
        <v>1799</v>
      </c>
      <c r="I533" t="s">
        <v>1799</v>
      </c>
      <c r="J533" t="s">
        <v>1799</v>
      </c>
      <c r="K533" t="s">
        <v>1799</v>
      </c>
      <c r="L533" t="s">
        <v>1534</v>
      </c>
      <c r="M533" t="s">
        <v>1799</v>
      </c>
      <c r="N533" t="s">
        <v>1799</v>
      </c>
      <c r="O533" s="184" t="str">
        <f>"["&amp;$C533&amp;"]["&amp;$D533&amp;"]["&amp;$F533&amp;"]"</f>
        <v>[S05_CategoryCHighestTierNotApplied][7][HighestTierRequired]</v>
      </c>
    </row>
    <row r="534" spans="1:15" x14ac:dyDescent="0.3">
      <c r="A534" t="s">
        <v>1793</v>
      </c>
      <c r="B534" t="s">
        <v>1985</v>
      </c>
      <c r="C534" t="s">
        <v>1986</v>
      </c>
      <c r="D534">
        <v>8</v>
      </c>
      <c r="E534" t="s">
        <v>1447</v>
      </c>
      <c r="F534" t="s">
        <v>2002</v>
      </c>
      <c r="G534" t="s">
        <v>1737</v>
      </c>
      <c r="H534" t="s">
        <v>1799</v>
      </c>
      <c r="I534" t="s">
        <v>1799</v>
      </c>
      <c r="J534" t="s">
        <v>1799</v>
      </c>
      <c r="K534" t="s">
        <v>1799</v>
      </c>
      <c r="L534" t="s">
        <v>1534</v>
      </c>
      <c r="M534" t="s">
        <v>1799</v>
      </c>
      <c r="N534" t="s">
        <v>1799</v>
      </c>
      <c r="O534" s="184" t="str">
        <f>"["&amp;$C534&amp;"]["&amp;$D534&amp;"]["&amp;$F534&amp;"]"</f>
        <v>[S05_CategoryCHighestTierNotApplied][8][HighestTierRequired]</v>
      </c>
    </row>
    <row r="535" spans="1:15" x14ac:dyDescent="0.3">
      <c r="A535" t="s">
        <v>1793</v>
      </c>
      <c r="B535" t="s">
        <v>1985</v>
      </c>
      <c r="C535" t="s">
        <v>1986</v>
      </c>
      <c r="D535">
        <v>9</v>
      </c>
      <c r="E535" t="s">
        <v>1447</v>
      </c>
      <c r="F535" t="s">
        <v>2002</v>
      </c>
      <c r="G535" t="s">
        <v>1737</v>
      </c>
      <c r="H535" t="s">
        <v>1799</v>
      </c>
      <c r="I535" t="s">
        <v>1799</v>
      </c>
      <c r="J535" t="s">
        <v>1799</v>
      </c>
      <c r="K535" t="s">
        <v>1799</v>
      </c>
      <c r="L535" t="s">
        <v>1534</v>
      </c>
      <c r="M535" t="s">
        <v>1799</v>
      </c>
      <c r="N535" t="s">
        <v>1799</v>
      </c>
      <c r="O535" s="184" t="str">
        <f>"["&amp;$C535&amp;"]["&amp;$D535&amp;"]["&amp;$F535&amp;"]"</f>
        <v>[S05_CategoryCHighestTierNotApplied][9][HighestTierRequired]</v>
      </c>
    </row>
    <row r="536" spans="1:15" x14ac:dyDescent="0.3">
      <c r="A536" t="s">
        <v>1793</v>
      </c>
      <c r="B536" t="s">
        <v>1985</v>
      </c>
      <c r="C536" t="s">
        <v>1986</v>
      </c>
      <c r="D536">
        <v>10</v>
      </c>
      <c r="E536" t="s">
        <v>1447</v>
      </c>
      <c r="F536" t="s">
        <v>2002</v>
      </c>
      <c r="G536" t="s">
        <v>1737</v>
      </c>
      <c r="H536" t="s">
        <v>1799</v>
      </c>
      <c r="I536" t="s">
        <v>1799</v>
      </c>
      <c r="J536" t="s">
        <v>1799</v>
      </c>
      <c r="K536" t="s">
        <v>1799</v>
      </c>
      <c r="L536" t="s">
        <v>1534</v>
      </c>
      <c r="M536" t="s">
        <v>1799</v>
      </c>
      <c r="N536" t="s">
        <v>1799</v>
      </c>
      <c r="O536" s="184" t="str">
        <f>"["&amp;$C536&amp;"]["&amp;$D536&amp;"]["&amp;$F536&amp;"]"</f>
        <v>[S05_CategoryCHighestTierNotApplied][10][HighestTierRequired]</v>
      </c>
    </row>
    <row r="537" spans="1:15" x14ac:dyDescent="0.3">
      <c r="A537" t="s">
        <v>1793</v>
      </c>
      <c r="B537" t="s">
        <v>1985</v>
      </c>
      <c r="C537" t="s">
        <v>1986</v>
      </c>
      <c r="D537">
        <v>11</v>
      </c>
      <c r="E537" t="s">
        <v>1447</v>
      </c>
      <c r="F537" t="s">
        <v>2002</v>
      </c>
      <c r="G537" t="s">
        <v>1737</v>
      </c>
      <c r="H537" t="s">
        <v>1799</v>
      </c>
      <c r="I537" t="s">
        <v>1799</v>
      </c>
      <c r="J537" t="s">
        <v>1799</v>
      </c>
      <c r="K537" t="s">
        <v>1799</v>
      </c>
      <c r="L537" t="s">
        <v>1534</v>
      </c>
      <c r="M537" t="s">
        <v>1799</v>
      </c>
      <c r="N537" t="s">
        <v>1799</v>
      </c>
      <c r="O537" s="184" t="str">
        <f>"["&amp;$C537&amp;"]["&amp;$D537&amp;"]["&amp;$F537&amp;"]"</f>
        <v>[S05_CategoryCHighestTierNotApplied][11][HighestTierRequired]</v>
      </c>
    </row>
    <row r="538" spans="1:15" x14ac:dyDescent="0.3">
      <c r="A538" t="s">
        <v>1793</v>
      </c>
      <c r="B538" t="s">
        <v>1985</v>
      </c>
      <c r="C538" t="s">
        <v>1986</v>
      </c>
      <c r="D538">
        <v>12</v>
      </c>
      <c r="E538" t="s">
        <v>1447</v>
      </c>
      <c r="F538" t="s">
        <v>2002</v>
      </c>
      <c r="G538" t="s">
        <v>1737</v>
      </c>
      <c r="H538" t="s">
        <v>1799</v>
      </c>
      <c r="I538" t="s">
        <v>1799</v>
      </c>
      <c r="J538" t="s">
        <v>1799</v>
      </c>
      <c r="K538" t="s">
        <v>1799</v>
      </c>
      <c r="L538" t="s">
        <v>1534</v>
      </c>
      <c r="M538" t="s">
        <v>1799</v>
      </c>
      <c r="N538" t="s">
        <v>1799</v>
      </c>
      <c r="O538" s="184" t="str">
        <f>"["&amp;$C538&amp;"]["&amp;$D538&amp;"]["&amp;$F538&amp;"]"</f>
        <v>[S05_CategoryCHighestTierNotApplied][12][HighestTierRequired]</v>
      </c>
    </row>
    <row r="539" spans="1:15" x14ac:dyDescent="0.3">
      <c r="A539" t="s">
        <v>1793</v>
      </c>
      <c r="B539" t="s">
        <v>1985</v>
      </c>
      <c r="C539" t="s">
        <v>1986</v>
      </c>
      <c r="D539">
        <v>13</v>
      </c>
      <c r="E539" t="s">
        <v>1447</v>
      </c>
      <c r="F539" t="s">
        <v>2002</v>
      </c>
      <c r="G539" t="s">
        <v>1737</v>
      </c>
      <c r="H539" t="s">
        <v>1799</v>
      </c>
      <c r="I539" t="s">
        <v>1799</v>
      </c>
      <c r="J539" t="s">
        <v>1799</v>
      </c>
      <c r="K539" t="s">
        <v>1799</v>
      </c>
      <c r="L539" t="s">
        <v>1534</v>
      </c>
      <c r="M539" t="s">
        <v>1799</v>
      </c>
      <c r="N539" t="s">
        <v>1799</v>
      </c>
      <c r="O539" s="184" t="str">
        <f>"["&amp;$C539&amp;"]["&amp;$D539&amp;"]["&amp;$F539&amp;"]"</f>
        <v>[S05_CategoryCHighestTierNotApplied][13][HighestTierRequired]</v>
      </c>
    </row>
    <row r="540" spans="1:15" x14ac:dyDescent="0.3">
      <c r="A540" t="s">
        <v>1793</v>
      </c>
      <c r="B540" t="s">
        <v>1985</v>
      </c>
      <c r="C540" t="s">
        <v>1986</v>
      </c>
      <c r="D540">
        <v>14</v>
      </c>
      <c r="E540" t="s">
        <v>1447</v>
      </c>
      <c r="F540" t="s">
        <v>2002</v>
      </c>
      <c r="G540" t="s">
        <v>1737</v>
      </c>
      <c r="H540" t="s">
        <v>1799</v>
      </c>
      <c r="I540" t="s">
        <v>1799</v>
      </c>
      <c r="J540" t="s">
        <v>1799</v>
      </c>
      <c r="K540" t="s">
        <v>1799</v>
      </c>
      <c r="L540" t="s">
        <v>1534</v>
      </c>
      <c r="M540" t="s">
        <v>1799</v>
      </c>
      <c r="N540" t="s">
        <v>1799</v>
      </c>
      <c r="O540" s="184" t="str">
        <f>"["&amp;$C540&amp;"]["&amp;$D540&amp;"]["&amp;$F540&amp;"]"</f>
        <v>[S05_CategoryCHighestTierNotApplied][14][HighestTierRequired]</v>
      </c>
    </row>
    <row r="541" spans="1:15" x14ac:dyDescent="0.3">
      <c r="A541" t="s">
        <v>1793</v>
      </c>
      <c r="B541" t="s">
        <v>1985</v>
      </c>
      <c r="C541" t="s">
        <v>1986</v>
      </c>
      <c r="D541">
        <v>15</v>
      </c>
      <c r="E541" t="s">
        <v>1447</v>
      </c>
      <c r="F541" t="s">
        <v>2002</v>
      </c>
      <c r="G541" t="s">
        <v>1737</v>
      </c>
      <c r="H541" t="s">
        <v>1799</v>
      </c>
      <c r="I541" t="s">
        <v>1799</v>
      </c>
      <c r="J541" t="s">
        <v>1799</v>
      </c>
      <c r="K541" t="s">
        <v>1799</v>
      </c>
      <c r="L541" t="s">
        <v>1534</v>
      </c>
      <c r="M541" t="s">
        <v>1799</v>
      </c>
      <c r="N541" t="s">
        <v>1799</v>
      </c>
      <c r="O541" s="184" t="str">
        <f>"["&amp;$C541&amp;"]["&amp;$D541&amp;"]["&amp;$F541&amp;"]"</f>
        <v>[S05_CategoryCHighestTierNotApplied][15][HighestTierRequired]</v>
      </c>
    </row>
    <row r="542" spans="1:15" x14ac:dyDescent="0.3">
      <c r="A542" t="s">
        <v>1793</v>
      </c>
      <c r="B542" t="s">
        <v>1985</v>
      </c>
      <c r="C542" t="s">
        <v>1986</v>
      </c>
      <c r="D542">
        <v>16</v>
      </c>
      <c r="E542" t="s">
        <v>1447</v>
      </c>
      <c r="F542" t="s">
        <v>2002</v>
      </c>
      <c r="G542" t="s">
        <v>1737</v>
      </c>
      <c r="H542" t="s">
        <v>1799</v>
      </c>
      <c r="I542" t="s">
        <v>1799</v>
      </c>
      <c r="J542" t="s">
        <v>1799</v>
      </c>
      <c r="K542" t="s">
        <v>1799</v>
      </c>
      <c r="L542" t="s">
        <v>1534</v>
      </c>
      <c r="M542" t="s">
        <v>1799</v>
      </c>
      <c r="N542" t="s">
        <v>1799</v>
      </c>
      <c r="O542" s="184" t="str">
        <f>"["&amp;$C542&amp;"]["&amp;$D542&amp;"]["&amp;$F542&amp;"]"</f>
        <v>[S05_CategoryCHighestTierNotApplied][16][HighestTierRequired]</v>
      </c>
    </row>
    <row r="543" spans="1:15" x14ac:dyDescent="0.3">
      <c r="A543" t="s">
        <v>1793</v>
      </c>
      <c r="B543" t="s">
        <v>1985</v>
      </c>
      <c r="C543" t="s">
        <v>1986</v>
      </c>
      <c r="D543">
        <v>17</v>
      </c>
      <c r="E543" t="s">
        <v>1447</v>
      </c>
      <c r="F543" t="s">
        <v>2002</v>
      </c>
      <c r="G543" t="s">
        <v>1737</v>
      </c>
      <c r="H543" t="s">
        <v>1799</v>
      </c>
      <c r="I543" t="s">
        <v>1799</v>
      </c>
      <c r="J543" t="s">
        <v>1799</v>
      </c>
      <c r="K543" t="s">
        <v>1799</v>
      </c>
      <c r="L543" t="s">
        <v>1534</v>
      </c>
      <c r="M543" t="s">
        <v>1799</v>
      </c>
      <c r="N543" t="s">
        <v>1799</v>
      </c>
      <c r="O543" s="184" t="str">
        <f>"["&amp;$C543&amp;"]["&amp;$D543&amp;"]["&amp;$F543&amp;"]"</f>
        <v>[S05_CategoryCHighestTierNotApplied][17][HighestTierRequired]</v>
      </c>
    </row>
    <row r="544" spans="1:15" x14ac:dyDescent="0.3">
      <c r="A544" t="s">
        <v>1793</v>
      </c>
      <c r="B544" t="s">
        <v>1985</v>
      </c>
      <c r="C544" t="s">
        <v>1986</v>
      </c>
      <c r="D544">
        <v>18</v>
      </c>
      <c r="E544" t="s">
        <v>1447</v>
      </c>
      <c r="F544" t="s">
        <v>2002</v>
      </c>
      <c r="G544" t="s">
        <v>1737</v>
      </c>
      <c r="H544" t="s">
        <v>1799</v>
      </c>
      <c r="I544" t="s">
        <v>1799</v>
      </c>
      <c r="J544" t="s">
        <v>1799</v>
      </c>
      <c r="K544" t="s">
        <v>1799</v>
      </c>
      <c r="L544" t="s">
        <v>1534</v>
      </c>
      <c r="M544" t="s">
        <v>1799</v>
      </c>
      <c r="N544" t="s">
        <v>1799</v>
      </c>
      <c r="O544" s="184" t="str">
        <f>"["&amp;$C544&amp;"]["&amp;$D544&amp;"]["&amp;$F544&amp;"]"</f>
        <v>[S05_CategoryCHighestTierNotApplied][18][HighestTierRequired]</v>
      </c>
    </row>
    <row r="545" spans="1:15" x14ac:dyDescent="0.3">
      <c r="A545" t="s">
        <v>1793</v>
      </c>
      <c r="B545" t="s">
        <v>1985</v>
      </c>
      <c r="C545" t="s">
        <v>1986</v>
      </c>
      <c r="D545">
        <v>19</v>
      </c>
      <c r="E545" t="s">
        <v>1447</v>
      </c>
      <c r="F545" t="s">
        <v>2002</v>
      </c>
      <c r="G545" t="s">
        <v>1737</v>
      </c>
      <c r="H545" t="s">
        <v>1799</v>
      </c>
      <c r="I545" t="s">
        <v>1799</v>
      </c>
      <c r="J545" t="s">
        <v>1799</v>
      </c>
      <c r="K545" t="s">
        <v>1799</v>
      </c>
      <c r="L545" t="s">
        <v>1534</v>
      </c>
      <c r="M545" t="s">
        <v>1799</v>
      </c>
      <c r="N545" t="s">
        <v>1799</v>
      </c>
      <c r="O545" s="184" t="str">
        <f>"["&amp;$C545&amp;"]["&amp;$D545&amp;"]["&amp;$F545&amp;"]"</f>
        <v>[S05_CategoryCHighestTierNotApplied][19][HighestTierRequired]</v>
      </c>
    </row>
    <row r="546" spans="1:15" x14ac:dyDescent="0.3">
      <c r="A546" t="s">
        <v>1793</v>
      </c>
      <c r="B546" t="s">
        <v>1985</v>
      </c>
      <c r="C546" t="s">
        <v>1986</v>
      </c>
      <c r="D546">
        <v>20</v>
      </c>
      <c r="E546" t="s">
        <v>1447</v>
      </c>
      <c r="F546" t="s">
        <v>2002</v>
      </c>
      <c r="G546" t="s">
        <v>1737</v>
      </c>
      <c r="H546" t="s">
        <v>1799</v>
      </c>
      <c r="I546" t="s">
        <v>1799</v>
      </c>
      <c r="J546" t="s">
        <v>1799</v>
      </c>
      <c r="K546" t="s">
        <v>1799</v>
      </c>
      <c r="L546" t="s">
        <v>1534</v>
      </c>
      <c r="M546" t="s">
        <v>1799</v>
      </c>
      <c r="N546" t="s">
        <v>1799</v>
      </c>
      <c r="O546" s="184" t="str">
        <f>"["&amp;$C546&amp;"]["&amp;$D546&amp;"]["&amp;$F546&amp;"]"</f>
        <v>[S05_CategoryCHighestTierNotApplied][20][HighestTierRequired]</v>
      </c>
    </row>
    <row r="547" spans="1:15" x14ac:dyDescent="0.3">
      <c r="A547" t="s">
        <v>1793</v>
      </c>
      <c r="B547" t="s">
        <v>1985</v>
      </c>
      <c r="C547" t="s">
        <v>1986</v>
      </c>
      <c r="D547">
        <v>21</v>
      </c>
      <c r="E547" t="s">
        <v>1447</v>
      </c>
      <c r="F547" t="s">
        <v>2002</v>
      </c>
      <c r="G547" t="s">
        <v>1737</v>
      </c>
      <c r="H547" t="s">
        <v>1799</v>
      </c>
      <c r="I547" t="s">
        <v>1799</v>
      </c>
      <c r="J547" t="s">
        <v>1799</v>
      </c>
      <c r="K547" t="s">
        <v>1799</v>
      </c>
      <c r="L547" t="s">
        <v>1534</v>
      </c>
      <c r="M547" t="s">
        <v>1799</v>
      </c>
      <c r="N547" t="s">
        <v>1799</v>
      </c>
      <c r="O547" s="184" t="str">
        <f>"["&amp;$C547&amp;"]["&amp;$D547&amp;"]["&amp;$F547&amp;"]"</f>
        <v>[S05_CategoryCHighestTierNotApplied][21][HighestTierRequired]</v>
      </c>
    </row>
    <row r="548" spans="1:15" x14ac:dyDescent="0.3">
      <c r="A548" t="s">
        <v>1793</v>
      </c>
      <c r="B548" t="s">
        <v>1985</v>
      </c>
      <c r="C548" t="s">
        <v>1986</v>
      </c>
      <c r="D548">
        <v>22</v>
      </c>
      <c r="E548" t="s">
        <v>1447</v>
      </c>
      <c r="F548" t="s">
        <v>2002</v>
      </c>
      <c r="G548" t="s">
        <v>1737</v>
      </c>
      <c r="H548" t="s">
        <v>1799</v>
      </c>
      <c r="I548" t="s">
        <v>1799</v>
      </c>
      <c r="J548" t="s">
        <v>1799</v>
      </c>
      <c r="K548" t="s">
        <v>1799</v>
      </c>
      <c r="L548" t="s">
        <v>1534</v>
      </c>
      <c r="M548" t="s">
        <v>1799</v>
      </c>
      <c r="N548" t="s">
        <v>1799</v>
      </c>
      <c r="O548" s="184" t="str">
        <f>"["&amp;$C548&amp;"]["&amp;$D548&amp;"]["&amp;$F548&amp;"]"</f>
        <v>[S05_CategoryCHighestTierNotApplied][22][HighestTierRequired]</v>
      </c>
    </row>
    <row r="549" spans="1:15" x14ac:dyDescent="0.3">
      <c r="A549" t="s">
        <v>1793</v>
      </c>
      <c r="B549" t="s">
        <v>1985</v>
      </c>
      <c r="C549" t="s">
        <v>1986</v>
      </c>
      <c r="D549">
        <v>23</v>
      </c>
      <c r="E549" t="s">
        <v>1447</v>
      </c>
      <c r="F549" t="s">
        <v>2002</v>
      </c>
      <c r="G549" t="s">
        <v>1737</v>
      </c>
      <c r="H549" t="s">
        <v>1799</v>
      </c>
      <c r="I549" t="s">
        <v>1799</v>
      </c>
      <c r="J549" t="s">
        <v>1799</v>
      </c>
      <c r="K549" t="s">
        <v>1799</v>
      </c>
      <c r="L549" t="s">
        <v>1544</v>
      </c>
      <c r="M549" t="s">
        <v>1799</v>
      </c>
      <c r="N549" t="s">
        <v>1799</v>
      </c>
      <c r="O549" s="184" t="str">
        <f>"["&amp;$C549&amp;"]["&amp;$D549&amp;"]["&amp;$F549&amp;"]"</f>
        <v>[S05_CategoryCHighestTierNotApplied][23][HighestTierRequired]</v>
      </c>
    </row>
    <row r="550" spans="1:15" x14ac:dyDescent="0.3">
      <c r="A550" t="s">
        <v>1793</v>
      </c>
      <c r="B550" t="s">
        <v>1985</v>
      </c>
      <c r="C550" t="s">
        <v>1986</v>
      </c>
      <c r="D550">
        <v>24</v>
      </c>
      <c r="E550" t="s">
        <v>1447</v>
      </c>
      <c r="F550" t="s">
        <v>2002</v>
      </c>
      <c r="G550" t="s">
        <v>1737</v>
      </c>
      <c r="H550" t="s">
        <v>1799</v>
      </c>
      <c r="I550" t="s">
        <v>1799</v>
      </c>
      <c r="J550" t="s">
        <v>1799</v>
      </c>
      <c r="K550" t="s">
        <v>1799</v>
      </c>
      <c r="L550" t="s">
        <v>1534</v>
      </c>
      <c r="M550" t="s">
        <v>1799</v>
      </c>
      <c r="N550" t="s">
        <v>1799</v>
      </c>
      <c r="O550" s="184" t="str">
        <f>"["&amp;$C550&amp;"]["&amp;$D550&amp;"]["&amp;$F550&amp;"]"</f>
        <v>[S05_CategoryCHighestTierNotApplied][24][HighestTierRequired]</v>
      </c>
    </row>
    <row r="551" spans="1:15" x14ac:dyDescent="0.3">
      <c r="A551" t="s">
        <v>1793</v>
      </c>
      <c r="B551" t="s">
        <v>1985</v>
      </c>
      <c r="C551" t="s">
        <v>1986</v>
      </c>
      <c r="D551">
        <v>25</v>
      </c>
      <c r="E551" t="s">
        <v>1447</v>
      </c>
      <c r="F551" t="s">
        <v>2002</v>
      </c>
      <c r="G551" t="s">
        <v>1737</v>
      </c>
      <c r="H551" t="s">
        <v>1799</v>
      </c>
      <c r="I551" t="s">
        <v>1799</v>
      </c>
      <c r="J551" t="s">
        <v>1799</v>
      </c>
      <c r="K551" t="s">
        <v>1799</v>
      </c>
      <c r="L551" t="s">
        <v>1534</v>
      </c>
      <c r="M551" t="s">
        <v>1799</v>
      </c>
      <c r="N551" t="s">
        <v>1799</v>
      </c>
      <c r="O551" s="184" t="str">
        <f>"["&amp;$C551&amp;"]["&amp;$D551&amp;"]["&amp;$F551&amp;"]"</f>
        <v>[S05_CategoryCHighestTierNotApplied][25][HighestTierRequired]</v>
      </c>
    </row>
    <row r="552" spans="1:15" x14ac:dyDescent="0.3">
      <c r="A552" t="s">
        <v>1793</v>
      </c>
      <c r="B552" t="s">
        <v>1985</v>
      </c>
      <c r="C552" t="s">
        <v>1986</v>
      </c>
      <c r="D552">
        <v>26</v>
      </c>
      <c r="E552" t="s">
        <v>1447</v>
      </c>
      <c r="F552" t="s">
        <v>2002</v>
      </c>
      <c r="G552" t="s">
        <v>1737</v>
      </c>
      <c r="H552" t="s">
        <v>1799</v>
      </c>
      <c r="I552" t="s">
        <v>1799</v>
      </c>
      <c r="J552" t="s">
        <v>1799</v>
      </c>
      <c r="K552" t="s">
        <v>1799</v>
      </c>
      <c r="L552" t="s">
        <v>1534</v>
      </c>
      <c r="M552" t="s">
        <v>1799</v>
      </c>
      <c r="N552" t="s">
        <v>1799</v>
      </c>
      <c r="O552" s="184" t="str">
        <f>"["&amp;$C552&amp;"]["&amp;$D552&amp;"]["&amp;$F552&amp;"]"</f>
        <v>[S05_CategoryCHighestTierNotApplied][26][HighestTierRequired]</v>
      </c>
    </row>
    <row r="553" spans="1:15" x14ac:dyDescent="0.3">
      <c r="A553" t="s">
        <v>1793</v>
      </c>
      <c r="B553" t="s">
        <v>1985</v>
      </c>
      <c r="C553" t="s">
        <v>1986</v>
      </c>
      <c r="D553">
        <v>27</v>
      </c>
      <c r="E553" t="s">
        <v>1447</v>
      </c>
      <c r="F553" t="s">
        <v>2002</v>
      </c>
      <c r="G553" t="s">
        <v>1737</v>
      </c>
      <c r="H553" t="s">
        <v>1799</v>
      </c>
      <c r="I553" t="s">
        <v>1799</v>
      </c>
      <c r="J553" t="s">
        <v>1799</v>
      </c>
      <c r="K553" t="s">
        <v>1799</v>
      </c>
      <c r="L553" t="s">
        <v>1534</v>
      </c>
      <c r="M553" t="s">
        <v>1799</v>
      </c>
      <c r="N553" t="s">
        <v>1799</v>
      </c>
      <c r="O553" s="184" t="str">
        <f>"["&amp;$C553&amp;"]["&amp;$D553&amp;"]["&amp;$F553&amp;"]"</f>
        <v>[S05_CategoryCHighestTierNotApplied][27][HighestTierRequired]</v>
      </c>
    </row>
    <row r="554" spans="1:15" x14ac:dyDescent="0.3">
      <c r="A554" t="s">
        <v>1793</v>
      </c>
      <c r="B554" t="s">
        <v>1985</v>
      </c>
      <c r="C554" t="s">
        <v>1986</v>
      </c>
      <c r="D554">
        <v>28</v>
      </c>
      <c r="E554" t="s">
        <v>1447</v>
      </c>
      <c r="F554" t="s">
        <v>2002</v>
      </c>
      <c r="G554" t="s">
        <v>1737</v>
      </c>
      <c r="H554" t="s">
        <v>1799</v>
      </c>
      <c r="I554" t="s">
        <v>1799</v>
      </c>
      <c r="J554" t="s">
        <v>1799</v>
      </c>
      <c r="K554" t="s">
        <v>1799</v>
      </c>
      <c r="L554" t="s">
        <v>1534</v>
      </c>
      <c r="M554" t="s">
        <v>1799</v>
      </c>
      <c r="N554" t="s">
        <v>1799</v>
      </c>
      <c r="O554" s="184" t="str">
        <f>"["&amp;$C554&amp;"]["&amp;$D554&amp;"]["&amp;$F554&amp;"]"</f>
        <v>[S05_CategoryCHighestTierNotApplied][28][HighestTierRequired]</v>
      </c>
    </row>
    <row r="555" spans="1:15" x14ac:dyDescent="0.3">
      <c r="A555" t="s">
        <v>1793</v>
      </c>
      <c r="B555" t="s">
        <v>1985</v>
      </c>
      <c r="C555" t="s">
        <v>1986</v>
      </c>
      <c r="D555">
        <v>29</v>
      </c>
      <c r="E555" t="s">
        <v>1447</v>
      </c>
      <c r="F555" t="s">
        <v>2002</v>
      </c>
      <c r="G555" t="s">
        <v>1737</v>
      </c>
      <c r="H555" t="s">
        <v>1799</v>
      </c>
      <c r="I555" t="s">
        <v>1799</v>
      </c>
      <c r="J555" t="s">
        <v>1799</v>
      </c>
      <c r="K555" t="s">
        <v>1799</v>
      </c>
      <c r="L555" t="s">
        <v>1534</v>
      </c>
      <c r="M555" t="s">
        <v>1799</v>
      </c>
      <c r="N555" t="s">
        <v>1799</v>
      </c>
      <c r="O555" s="184" t="str">
        <f>"["&amp;$C555&amp;"]["&amp;$D555&amp;"]["&amp;$F555&amp;"]"</f>
        <v>[S05_CategoryCHighestTierNotApplied][29][HighestTierRequired]</v>
      </c>
    </row>
    <row r="556" spans="1:15" x14ac:dyDescent="0.3">
      <c r="A556" t="s">
        <v>1793</v>
      </c>
      <c r="B556" t="s">
        <v>1985</v>
      </c>
      <c r="C556" t="s">
        <v>1986</v>
      </c>
      <c r="D556">
        <v>30</v>
      </c>
      <c r="E556" t="s">
        <v>1447</v>
      </c>
      <c r="F556" t="s">
        <v>2002</v>
      </c>
      <c r="G556" t="s">
        <v>1737</v>
      </c>
      <c r="H556" t="s">
        <v>1799</v>
      </c>
      <c r="I556" t="s">
        <v>1799</v>
      </c>
      <c r="J556" t="s">
        <v>1799</v>
      </c>
      <c r="K556" t="s">
        <v>1799</v>
      </c>
      <c r="L556" t="s">
        <v>1534</v>
      </c>
      <c r="M556" t="s">
        <v>1799</v>
      </c>
      <c r="N556" t="s">
        <v>1799</v>
      </c>
      <c r="O556" s="184" t="str">
        <f>"["&amp;$C556&amp;"]["&amp;$D556&amp;"]["&amp;$F556&amp;"]"</f>
        <v>[S05_CategoryCHighestTierNotApplied][30][HighestTierRequired]</v>
      </c>
    </row>
    <row r="557" spans="1:15" x14ac:dyDescent="0.3">
      <c r="A557" t="s">
        <v>1793</v>
      </c>
      <c r="B557" t="s">
        <v>1985</v>
      </c>
      <c r="C557" t="s">
        <v>1986</v>
      </c>
      <c r="D557">
        <v>31</v>
      </c>
      <c r="E557" t="s">
        <v>1447</v>
      </c>
      <c r="F557" t="s">
        <v>2002</v>
      </c>
      <c r="G557" t="s">
        <v>1737</v>
      </c>
      <c r="H557" t="s">
        <v>1799</v>
      </c>
      <c r="I557" t="s">
        <v>1799</v>
      </c>
      <c r="J557" t="s">
        <v>1799</v>
      </c>
      <c r="K557" t="s">
        <v>1799</v>
      </c>
      <c r="L557" t="s">
        <v>1534</v>
      </c>
      <c r="M557" t="s">
        <v>1799</v>
      </c>
      <c r="N557" t="s">
        <v>1799</v>
      </c>
      <c r="O557" s="184" t="str">
        <f>"["&amp;$C557&amp;"]["&amp;$D557&amp;"]["&amp;$F557&amp;"]"</f>
        <v>[S05_CategoryCHighestTierNotApplied][31][HighestTierRequired]</v>
      </c>
    </row>
    <row r="558" spans="1:15" x14ac:dyDescent="0.3">
      <c r="A558" t="s">
        <v>1793</v>
      </c>
      <c r="B558" t="s">
        <v>1985</v>
      </c>
      <c r="C558" t="s">
        <v>1986</v>
      </c>
      <c r="D558">
        <v>32</v>
      </c>
      <c r="E558" t="s">
        <v>1447</v>
      </c>
      <c r="F558" t="s">
        <v>2002</v>
      </c>
      <c r="G558" t="s">
        <v>1737</v>
      </c>
      <c r="H558" t="s">
        <v>1799</v>
      </c>
      <c r="I558" t="s">
        <v>1799</v>
      </c>
      <c r="J558" t="s">
        <v>1799</v>
      </c>
      <c r="K558" t="s">
        <v>1799</v>
      </c>
      <c r="L558" t="s">
        <v>1534</v>
      </c>
      <c r="M558" t="s">
        <v>1799</v>
      </c>
      <c r="N558" t="s">
        <v>1799</v>
      </c>
      <c r="O558" s="184" t="str">
        <f>"["&amp;$C558&amp;"]["&amp;$D558&amp;"]["&amp;$F558&amp;"]"</f>
        <v>[S05_CategoryCHighestTierNotApplied][32][HighestTierRequired]</v>
      </c>
    </row>
    <row r="559" spans="1:15" x14ac:dyDescent="0.3">
      <c r="A559" t="s">
        <v>1793</v>
      </c>
      <c r="B559" t="s">
        <v>1985</v>
      </c>
      <c r="C559" t="s">
        <v>1986</v>
      </c>
      <c r="D559">
        <v>33</v>
      </c>
      <c r="E559" t="s">
        <v>1447</v>
      </c>
      <c r="F559" t="s">
        <v>2002</v>
      </c>
      <c r="G559" t="s">
        <v>1737</v>
      </c>
      <c r="H559" t="s">
        <v>1799</v>
      </c>
      <c r="I559" t="s">
        <v>1799</v>
      </c>
      <c r="J559" t="s">
        <v>1799</v>
      </c>
      <c r="K559" t="s">
        <v>1799</v>
      </c>
      <c r="L559" t="s">
        <v>1534</v>
      </c>
      <c r="M559" t="s">
        <v>1799</v>
      </c>
      <c r="N559" t="s">
        <v>1799</v>
      </c>
      <c r="O559" s="184" t="str">
        <f>"["&amp;$C559&amp;"]["&amp;$D559&amp;"]["&amp;$F559&amp;"]"</f>
        <v>[S05_CategoryCHighestTierNotApplied][33][HighestTierRequired]</v>
      </c>
    </row>
    <row r="560" spans="1:15" x14ac:dyDescent="0.3">
      <c r="A560" t="s">
        <v>1793</v>
      </c>
      <c r="B560" t="s">
        <v>1985</v>
      </c>
      <c r="C560" t="s">
        <v>1986</v>
      </c>
      <c r="D560">
        <v>34</v>
      </c>
      <c r="E560" t="s">
        <v>1447</v>
      </c>
      <c r="F560" t="s">
        <v>2002</v>
      </c>
      <c r="G560" t="s">
        <v>1737</v>
      </c>
      <c r="H560" t="s">
        <v>1799</v>
      </c>
      <c r="I560" t="s">
        <v>1799</v>
      </c>
      <c r="J560" t="s">
        <v>1799</v>
      </c>
      <c r="K560" t="s">
        <v>1799</v>
      </c>
      <c r="L560" t="s">
        <v>1534</v>
      </c>
      <c r="M560" t="s">
        <v>1799</v>
      </c>
      <c r="N560" t="s">
        <v>1799</v>
      </c>
      <c r="O560" s="184" t="str">
        <f>"["&amp;$C560&amp;"]["&amp;$D560&amp;"]["&amp;$F560&amp;"]"</f>
        <v>[S05_CategoryCHighestTierNotApplied][34][HighestTierRequired]</v>
      </c>
    </row>
    <row r="561" spans="1:15" x14ac:dyDescent="0.3">
      <c r="A561" t="s">
        <v>1793</v>
      </c>
      <c r="B561" t="s">
        <v>1985</v>
      </c>
      <c r="C561" t="s">
        <v>1986</v>
      </c>
      <c r="D561">
        <v>35</v>
      </c>
      <c r="E561" t="s">
        <v>1447</v>
      </c>
      <c r="F561" t="s">
        <v>2002</v>
      </c>
      <c r="G561" t="s">
        <v>1737</v>
      </c>
      <c r="H561" t="s">
        <v>1799</v>
      </c>
      <c r="I561" t="s">
        <v>1799</v>
      </c>
      <c r="J561" t="s">
        <v>1799</v>
      </c>
      <c r="K561" t="s">
        <v>1799</v>
      </c>
      <c r="L561" t="s">
        <v>1534</v>
      </c>
      <c r="M561" t="s">
        <v>1799</v>
      </c>
      <c r="N561" t="s">
        <v>1799</v>
      </c>
      <c r="O561" s="184" t="str">
        <f>"["&amp;$C561&amp;"]["&amp;$D561&amp;"]["&amp;$F561&amp;"]"</f>
        <v>[S05_CategoryCHighestTierNotApplied][35][HighestTierRequired]</v>
      </c>
    </row>
    <row r="562" spans="1:15" x14ac:dyDescent="0.3">
      <c r="A562" t="s">
        <v>1793</v>
      </c>
      <c r="B562" t="s">
        <v>1985</v>
      </c>
      <c r="C562" t="s">
        <v>1986</v>
      </c>
      <c r="D562">
        <v>36</v>
      </c>
      <c r="E562" t="s">
        <v>1447</v>
      </c>
      <c r="F562" t="s">
        <v>2002</v>
      </c>
      <c r="G562" t="s">
        <v>1737</v>
      </c>
      <c r="H562" t="s">
        <v>1799</v>
      </c>
      <c r="I562" t="s">
        <v>1799</v>
      </c>
      <c r="J562" t="s">
        <v>1799</v>
      </c>
      <c r="K562" t="s">
        <v>1799</v>
      </c>
      <c r="L562" t="s">
        <v>1534</v>
      </c>
      <c r="M562" t="s">
        <v>1799</v>
      </c>
      <c r="N562" t="s">
        <v>1799</v>
      </c>
      <c r="O562" s="184" t="str">
        <f>"["&amp;$C562&amp;"]["&amp;$D562&amp;"]["&amp;$F562&amp;"]"</f>
        <v>[S05_CategoryCHighestTierNotApplied][36][HighestTierRequired]</v>
      </c>
    </row>
    <row r="563" spans="1:15" x14ac:dyDescent="0.3">
      <c r="A563" t="s">
        <v>1793</v>
      </c>
      <c r="B563" t="s">
        <v>1985</v>
      </c>
      <c r="C563" t="s">
        <v>1986</v>
      </c>
      <c r="D563">
        <v>37</v>
      </c>
      <c r="E563" t="s">
        <v>1447</v>
      </c>
      <c r="F563" t="s">
        <v>2002</v>
      </c>
      <c r="G563" t="s">
        <v>1737</v>
      </c>
      <c r="H563" t="s">
        <v>1799</v>
      </c>
      <c r="I563" t="s">
        <v>1799</v>
      </c>
      <c r="J563" t="s">
        <v>1799</v>
      </c>
      <c r="K563" t="s">
        <v>1799</v>
      </c>
      <c r="L563" t="s">
        <v>1534</v>
      </c>
      <c r="M563" t="s">
        <v>1799</v>
      </c>
      <c r="N563" t="s">
        <v>1799</v>
      </c>
      <c r="O563" s="184" t="str">
        <f>"["&amp;$C563&amp;"]["&amp;$D563&amp;"]["&amp;$F563&amp;"]"</f>
        <v>[S05_CategoryCHighestTierNotApplied][37][HighestTierRequired]</v>
      </c>
    </row>
    <row r="564" spans="1:15" x14ac:dyDescent="0.3">
      <c r="A564" t="s">
        <v>1793</v>
      </c>
      <c r="B564" t="s">
        <v>1985</v>
      </c>
      <c r="C564" t="s">
        <v>1986</v>
      </c>
      <c r="D564">
        <v>38</v>
      </c>
      <c r="E564" t="s">
        <v>1447</v>
      </c>
      <c r="F564" t="s">
        <v>2002</v>
      </c>
      <c r="G564" t="s">
        <v>1737</v>
      </c>
      <c r="H564" t="s">
        <v>1799</v>
      </c>
      <c r="I564" t="s">
        <v>1799</v>
      </c>
      <c r="J564" t="s">
        <v>1799</v>
      </c>
      <c r="K564" t="s">
        <v>1799</v>
      </c>
      <c r="L564" t="s">
        <v>1534</v>
      </c>
      <c r="M564" t="s">
        <v>1799</v>
      </c>
      <c r="N564" t="s">
        <v>1799</v>
      </c>
      <c r="O564" s="184" t="str">
        <f>"["&amp;$C564&amp;"]["&amp;$D564&amp;"]["&amp;$F564&amp;"]"</f>
        <v>[S05_CategoryCHighestTierNotApplied][38][HighestTierRequired]</v>
      </c>
    </row>
    <row r="565" spans="1:15" x14ac:dyDescent="0.3">
      <c r="A565" t="s">
        <v>1793</v>
      </c>
      <c r="B565" t="s">
        <v>1985</v>
      </c>
      <c r="C565" t="s">
        <v>1986</v>
      </c>
      <c r="D565">
        <v>39</v>
      </c>
      <c r="E565" t="s">
        <v>1447</v>
      </c>
      <c r="F565" t="s">
        <v>2002</v>
      </c>
      <c r="G565" t="s">
        <v>1737</v>
      </c>
      <c r="H565" t="s">
        <v>1799</v>
      </c>
      <c r="I565" t="s">
        <v>1799</v>
      </c>
      <c r="J565" t="s">
        <v>1799</v>
      </c>
      <c r="K565" t="s">
        <v>1799</v>
      </c>
      <c r="L565" t="s">
        <v>1534</v>
      </c>
      <c r="M565" t="s">
        <v>1799</v>
      </c>
      <c r="N565" t="s">
        <v>1799</v>
      </c>
      <c r="O565" s="184" t="str">
        <f>"["&amp;$C565&amp;"]["&amp;$D565&amp;"]["&amp;$F565&amp;"]"</f>
        <v>[S05_CategoryCHighestTierNotApplied][39][HighestTierRequired]</v>
      </c>
    </row>
    <row r="566" spans="1:15" x14ac:dyDescent="0.3">
      <c r="A566" t="s">
        <v>1793</v>
      </c>
      <c r="B566" t="s">
        <v>1985</v>
      </c>
      <c r="C566" t="s">
        <v>1986</v>
      </c>
      <c r="D566">
        <v>40</v>
      </c>
      <c r="E566" t="s">
        <v>1447</v>
      </c>
      <c r="F566" t="s">
        <v>2002</v>
      </c>
      <c r="G566" t="s">
        <v>1737</v>
      </c>
      <c r="H566" t="s">
        <v>1799</v>
      </c>
      <c r="I566" t="s">
        <v>1799</v>
      </c>
      <c r="J566" t="s">
        <v>1799</v>
      </c>
      <c r="K566" t="s">
        <v>1799</v>
      </c>
      <c r="L566" t="s">
        <v>1534</v>
      </c>
      <c r="M566" t="s">
        <v>1799</v>
      </c>
      <c r="N566" t="s">
        <v>1799</v>
      </c>
      <c r="O566" s="184" t="str">
        <f>"["&amp;$C566&amp;"]["&amp;$D566&amp;"]["&amp;$F566&amp;"]"</f>
        <v>[S05_CategoryCHighestTierNotApplied][40][HighestTierRequired]</v>
      </c>
    </row>
    <row r="567" spans="1:15" x14ac:dyDescent="0.3">
      <c r="A567" t="s">
        <v>1793</v>
      </c>
      <c r="B567" t="s">
        <v>1985</v>
      </c>
      <c r="C567" t="s">
        <v>1986</v>
      </c>
      <c r="D567">
        <v>41</v>
      </c>
      <c r="E567" t="s">
        <v>1447</v>
      </c>
      <c r="F567" t="s">
        <v>2002</v>
      </c>
      <c r="G567" t="s">
        <v>1737</v>
      </c>
      <c r="H567" t="s">
        <v>1799</v>
      </c>
      <c r="I567" t="s">
        <v>1799</v>
      </c>
      <c r="J567" t="s">
        <v>1799</v>
      </c>
      <c r="K567" t="s">
        <v>1799</v>
      </c>
      <c r="L567" t="s">
        <v>1534</v>
      </c>
      <c r="M567" t="s">
        <v>1799</v>
      </c>
      <c r="N567" t="s">
        <v>1799</v>
      </c>
      <c r="O567" s="184" t="str">
        <f>"["&amp;$C567&amp;"]["&amp;$D567&amp;"]["&amp;$F567&amp;"]"</f>
        <v>[S05_CategoryCHighestTierNotApplied][41][HighestTierRequired]</v>
      </c>
    </row>
    <row r="568" spans="1:15" x14ac:dyDescent="0.3">
      <c r="A568" t="s">
        <v>1793</v>
      </c>
      <c r="B568" t="s">
        <v>1985</v>
      </c>
      <c r="C568" t="s">
        <v>1986</v>
      </c>
      <c r="D568">
        <v>42</v>
      </c>
      <c r="E568" t="s">
        <v>1447</v>
      </c>
      <c r="F568" t="s">
        <v>2002</v>
      </c>
      <c r="G568" t="s">
        <v>1737</v>
      </c>
      <c r="H568" t="s">
        <v>1799</v>
      </c>
      <c r="I568" t="s">
        <v>1799</v>
      </c>
      <c r="J568" t="s">
        <v>1799</v>
      </c>
      <c r="K568" t="s">
        <v>1799</v>
      </c>
      <c r="L568" t="s">
        <v>1534</v>
      </c>
      <c r="M568" t="s">
        <v>1799</v>
      </c>
      <c r="N568" t="s">
        <v>1799</v>
      </c>
      <c r="O568" s="184" t="str">
        <f>"["&amp;$C568&amp;"]["&amp;$D568&amp;"]["&amp;$F568&amp;"]"</f>
        <v>[S05_CategoryCHighestTierNotApplied][42][HighestTierRequired]</v>
      </c>
    </row>
    <row r="569" spans="1:15" x14ac:dyDescent="0.3">
      <c r="A569" t="s">
        <v>1793</v>
      </c>
      <c r="B569" t="s">
        <v>1985</v>
      </c>
      <c r="C569" t="s">
        <v>1986</v>
      </c>
      <c r="D569">
        <v>43</v>
      </c>
      <c r="E569" t="s">
        <v>1447</v>
      </c>
      <c r="F569" t="s">
        <v>2002</v>
      </c>
      <c r="G569" t="s">
        <v>1737</v>
      </c>
      <c r="H569" t="s">
        <v>1799</v>
      </c>
      <c r="I569" t="s">
        <v>1799</v>
      </c>
      <c r="J569" t="s">
        <v>1799</v>
      </c>
      <c r="K569" t="s">
        <v>1799</v>
      </c>
      <c r="L569" t="s">
        <v>1534</v>
      </c>
      <c r="M569" t="s">
        <v>1799</v>
      </c>
      <c r="N569" t="s">
        <v>1799</v>
      </c>
      <c r="O569" s="184" t="str">
        <f>"["&amp;$C569&amp;"]["&amp;$D569&amp;"]["&amp;$F569&amp;"]"</f>
        <v>[S05_CategoryCHighestTierNotApplied][43][HighestTierRequired]</v>
      </c>
    </row>
    <row r="570" spans="1:15" x14ac:dyDescent="0.3">
      <c r="A570" t="s">
        <v>1793</v>
      </c>
      <c r="B570" t="s">
        <v>1985</v>
      </c>
      <c r="C570" t="s">
        <v>1986</v>
      </c>
      <c r="D570">
        <v>44</v>
      </c>
      <c r="E570" t="s">
        <v>1447</v>
      </c>
      <c r="F570" t="s">
        <v>2002</v>
      </c>
      <c r="G570" t="s">
        <v>1737</v>
      </c>
      <c r="H570" t="s">
        <v>1799</v>
      </c>
      <c r="I570" t="s">
        <v>1799</v>
      </c>
      <c r="J570" t="s">
        <v>1799</v>
      </c>
      <c r="K570" t="s">
        <v>1799</v>
      </c>
      <c r="L570" t="s">
        <v>1534</v>
      </c>
      <c r="M570" t="s">
        <v>1799</v>
      </c>
      <c r="N570" t="s">
        <v>1799</v>
      </c>
      <c r="O570" s="184" t="str">
        <f>"["&amp;$C570&amp;"]["&amp;$D570&amp;"]["&amp;$F570&amp;"]"</f>
        <v>[S05_CategoryCHighestTierNotApplied][44][HighestTierRequired]</v>
      </c>
    </row>
    <row r="571" spans="1:15" x14ac:dyDescent="0.3">
      <c r="A571" t="s">
        <v>1793</v>
      </c>
      <c r="B571" t="s">
        <v>1985</v>
      </c>
      <c r="C571" t="s">
        <v>1986</v>
      </c>
      <c r="D571">
        <v>45</v>
      </c>
      <c r="E571" t="s">
        <v>1447</v>
      </c>
      <c r="F571" t="s">
        <v>2002</v>
      </c>
      <c r="G571" t="s">
        <v>1737</v>
      </c>
      <c r="H571" t="s">
        <v>1799</v>
      </c>
      <c r="I571" t="s">
        <v>1799</v>
      </c>
      <c r="J571" t="s">
        <v>1799</v>
      </c>
      <c r="K571" t="s">
        <v>1799</v>
      </c>
      <c r="L571" t="s">
        <v>1534</v>
      </c>
      <c r="M571" t="s">
        <v>1799</v>
      </c>
      <c r="N571" t="s">
        <v>1799</v>
      </c>
      <c r="O571" s="184" t="str">
        <f>"["&amp;$C571&amp;"]["&amp;$D571&amp;"]["&amp;$F571&amp;"]"</f>
        <v>[S05_CategoryCHighestTierNotApplied][45][HighestTierRequired]</v>
      </c>
    </row>
    <row r="572" spans="1:15" x14ac:dyDescent="0.3">
      <c r="A572" t="s">
        <v>1793</v>
      </c>
      <c r="B572" t="s">
        <v>1985</v>
      </c>
      <c r="C572" t="s">
        <v>1986</v>
      </c>
      <c r="D572">
        <v>46</v>
      </c>
      <c r="E572" t="s">
        <v>1447</v>
      </c>
      <c r="F572" t="s">
        <v>2002</v>
      </c>
      <c r="G572" t="s">
        <v>1737</v>
      </c>
      <c r="H572" t="s">
        <v>1799</v>
      </c>
      <c r="I572" t="s">
        <v>1799</v>
      </c>
      <c r="J572" t="s">
        <v>1799</v>
      </c>
      <c r="K572" t="s">
        <v>1799</v>
      </c>
      <c r="L572" t="s">
        <v>1534</v>
      </c>
      <c r="M572" t="s">
        <v>1799</v>
      </c>
      <c r="N572" t="s">
        <v>1799</v>
      </c>
      <c r="O572" s="184" t="str">
        <f>"["&amp;$C572&amp;"]["&amp;$D572&amp;"]["&amp;$F572&amp;"]"</f>
        <v>[S05_CategoryCHighestTierNotApplied][46][HighestTierRequired]</v>
      </c>
    </row>
    <row r="573" spans="1:15" x14ac:dyDescent="0.3">
      <c r="A573" t="s">
        <v>1793</v>
      </c>
      <c r="B573" t="s">
        <v>1985</v>
      </c>
      <c r="C573" t="s">
        <v>1986</v>
      </c>
      <c r="D573">
        <v>47</v>
      </c>
      <c r="E573" t="s">
        <v>1447</v>
      </c>
      <c r="F573" t="s">
        <v>2002</v>
      </c>
      <c r="G573" t="s">
        <v>1737</v>
      </c>
      <c r="H573" t="s">
        <v>1799</v>
      </c>
      <c r="I573" t="s">
        <v>1799</v>
      </c>
      <c r="J573" t="s">
        <v>1799</v>
      </c>
      <c r="K573" t="s">
        <v>1799</v>
      </c>
      <c r="L573" t="s">
        <v>1534</v>
      </c>
      <c r="M573" t="s">
        <v>1799</v>
      </c>
      <c r="N573" t="s">
        <v>1799</v>
      </c>
      <c r="O573" s="184" t="str">
        <f>"["&amp;$C573&amp;"]["&amp;$D573&amp;"]["&amp;$F573&amp;"]"</f>
        <v>[S05_CategoryCHighestTierNotApplied][47][HighestTierRequired]</v>
      </c>
    </row>
    <row r="574" spans="1:15" x14ac:dyDescent="0.3">
      <c r="A574" t="s">
        <v>1793</v>
      </c>
      <c r="B574" t="s">
        <v>1985</v>
      </c>
      <c r="C574" t="s">
        <v>1986</v>
      </c>
      <c r="D574">
        <v>48</v>
      </c>
      <c r="E574" t="s">
        <v>1447</v>
      </c>
      <c r="F574" t="s">
        <v>2002</v>
      </c>
      <c r="G574" t="s">
        <v>1737</v>
      </c>
      <c r="H574" t="s">
        <v>1799</v>
      </c>
      <c r="I574" t="s">
        <v>1799</v>
      </c>
      <c r="J574" t="s">
        <v>1799</v>
      </c>
      <c r="K574" t="s">
        <v>1799</v>
      </c>
      <c r="L574" t="s">
        <v>1534</v>
      </c>
      <c r="M574" t="s">
        <v>1799</v>
      </c>
      <c r="N574" t="s">
        <v>1799</v>
      </c>
      <c r="O574" s="184" t="str">
        <f>"["&amp;$C574&amp;"]["&amp;$D574&amp;"]["&amp;$F574&amp;"]"</f>
        <v>[S05_CategoryCHighestTierNotApplied][48][HighestTierRequired]</v>
      </c>
    </row>
    <row r="575" spans="1:15" x14ac:dyDescent="0.3">
      <c r="A575" t="s">
        <v>1793</v>
      </c>
      <c r="B575" t="s">
        <v>1985</v>
      </c>
      <c r="C575" t="s">
        <v>1986</v>
      </c>
      <c r="D575">
        <v>49</v>
      </c>
      <c r="E575" t="s">
        <v>1447</v>
      </c>
      <c r="F575" t="s">
        <v>2002</v>
      </c>
      <c r="G575" t="s">
        <v>1737</v>
      </c>
      <c r="H575" t="s">
        <v>1799</v>
      </c>
      <c r="I575" t="s">
        <v>1799</v>
      </c>
      <c r="J575" t="s">
        <v>1799</v>
      </c>
      <c r="K575" t="s">
        <v>1799</v>
      </c>
      <c r="L575" t="s">
        <v>1534</v>
      </c>
      <c r="M575" t="s">
        <v>1799</v>
      </c>
      <c r="N575" t="s">
        <v>1799</v>
      </c>
      <c r="O575" s="184" t="str">
        <f>"["&amp;$C575&amp;"]["&amp;$D575&amp;"]["&amp;$F575&amp;"]"</f>
        <v>[S05_CategoryCHighestTierNotApplied][49][HighestTierRequired]</v>
      </c>
    </row>
    <row r="576" spans="1:15" x14ac:dyDescent="0.3">
      <c r="A576" t="s">
        <v>1793</v>
      </c>
      <c r="B576" t="s">
        <v>1985</v>
      </c>
      <c r="C576" t="s">
        <v>1986</v>
      </c>
      <c r="D576">
        <v>50</v>
      </c>
      <c r="E576" t="s">
        <v>1447</v>
      </c>
      <c r="F576" t="s">
        <v>2002</v>
      </c>
      <c r="G576" t="s">
        <v>1737</v>
      </c>
      <c r="H576" t="s">
        <v>1799</v>
      </c>
      <c r="I576" t="s">
        <v>1799</v>
      </c>
      <c r="J576" t="s">
        <v>1799</v>
      </c>
      <c r="K576" t="s">
        <v>1799</v>
      </c>
      <c r="L576" t="s">
        <v>1534</v>
      </c>
      <c r="M576" t="s">
        <v>1799</v>
      </c>
      <c r="N576" t="s">
        <v>1799</v>
      </c>
      <c r="O576" s="184" t="str">
        <f>"["&amp;$C576&amp;"]["&amp;$D576&amp;"]["&amp;$F576&amp;"]"</f>
        <v>[S05_CategoryCHighestTierNotApplied][50][HighestTierRequired]</v>
      </c>
    </row>
    <row r="577" spans="1:15" x14ac:dyDescent="0.3">
      <c r="A577" t="s">
        <v>1793</v>
      </c>
      <c r="B577" t="s">
        <v>1985</v>
      </c>
      <c r="C577" t="s">
        <v>1986</v>
      </c>
      <c r="D577">
        <v>51</v>
      </c>
      <c r="E577" t="s">
        <v>1447</v>
      </c>
      <c r="F577" t="s">
        <v>2002</v>
      </c>
      <c r="G577" t="s">
        <v>1737</v>
      </c>
      <c r="H577" t="s">
        <v>1799</v>
      </c>
      <c r="I577" t="s">
        <v>1799</v>
      </c>
      <c r="J577" t="s">
        <v>1799</v>
      </c>
      <c r="K577" t="s">
        <v>1799</v>
      </c>
      <c r="L577" t="s">
        <v>1534</v>
      </c>
      <c r="M577" t="s">
        <v>1799</v>
      </c>
      <c r="N577" t="s">
        <v>1799</v>
      </c>
      <c r="O577" s="184" t="str">
        <f>"["&amp;$C577&amp;"]["&amp;$D577&amp;"]["&amp;$F577&amp;"]"</f>
        <v>[S05_CategoryCHighestTierNotApplied][51][HighestTierRequired]</v>
      </c>
    </row>
    <row r="578" spans="1:15" x14ac:dyDescent="0.3">
      <c r="A578" t="s">
        <v>1793</v>
      </c>
      <c r="B578" t="s">
        <v>1985</v>
      </c>
      <c r="C578" t="s">
        <v>1986</v>
      </c>
      <c r="D578">
        <v>52</v>
      </c>
      <c r="E578" t="s">
        <v>1447</v>
      </c>
      <c r="F578" t="s">
        <v>2002</v>
      </c>
      <c r="G578" t="s">
        <v>1737</v>
      </c>
      <c r="H578" t="s">
        <v>1799</v>
      </c>
      <c r="I578" t="s">
        <v>1799</v>
      </c>
      <c r="J578" t="s">
        <v>1799</v>
      </c>
      <c r="K578" t="s">
        <v>1799</v>
      </c>
      <c r="L578" t="s">
        <v>1534</v>
      </c>
      <c r="M578" t="s">
        <v>1799</v>
      </c>
      <c r="N578" t="s">
        <v>1799</v>
      </c>
      <c r="O578" s="184" t="str">
        <f>"["&amp;$C578&amp;"]["&amp;$D578&amp;"]["&amp;$F578&amp;"]"</f>
        <v>[S05_CategoryCHighestTierNotApplied][52][HighestTierRequired]</v>
      </c>
    </row>
    <row r="579" spans="1:15" x14ac:dyDescent="0.3">
      <c r="A579" t="s">
        <v>1793</v>
      </c>
      <c r="B579" t="s">
        <v>1985</v>
      </c>
      <c r="C579" t="s">
        <v>1986</v>
      </c>
      <c r="D579">
        <v>53</v>
      </c>
      <c r="E579" t="s">
        <v>1447</v>
      </c>
      <c r="F579" t="s">
        <v>2002</v>
      </c>
      <c r="G579" t="s">
        <v>1737</v>
      </c>
      <c r="H579" t="s">
        <v>1799</v>
      </c>
      <c r="I579" t="s">
        <v>1799</v>
      </c>
      <c r="J579" t="s">
        <v>1799</v>
      </c>
      <c r="K579" t="s">
        <v>1799</v>
      </c>
      <c r="L579" t="s">
        <v>1534</v>
      </c>
      <c r="M579" t="s">
        <v>1799</v>
      </c>
      <c r="N579" t="s">
        <v>1799</v>
      </c>
      <c r="O579" s="184" t="str">
        <f>"["&amp;$C579&amp;"]["&amp;$D579&amp;"]["&amp;$F579&amp;"]"</f>
        <v>[S05_CategoryCHighestTierNotApplied][53][HighestTierRequired]</v>
      </c>
    </row>
    <row r="580" spans="1:15" x14ac:dyDescent="0.3">
      <c r="A580" t="s">
        <v>1793</v>
      </c>
      <c r="B580" t="s">
        <v>1985</v>
      </c>
      <c r="C580" t="s">
        <v>1986</v>
      </c>
      <c r="D580">
        <v>54</v>
      </c>
      <c r="E580" t="s">
        <v>1447</v>
      </c>
      <c r="F580" t="s">
        <v>2002</v>
      </c>
      <c r="G580" t="s">
        <v>1737</v>
      </c>
      <c r="H580" t="s">
        <v>1799</v>
      </c>
      <c r="I580" t="s">
        <v>1799</v>
      </c>
      <c r="J580" t="s">
        <v>1799</v>
      </c>
      <c r="K580" t="s">
        <v>1799</v>
      </c>
      <c r="L580" t="s">
        <v>1534</v>
      </c>
      <c r="M580" t="s">
        <v>1799</v>
      </c>
      <c r="N580" t="s">
        <v>1799</v>
      </c>
      <c r="O580" s="184" t="str">
        <f>"["&amp;$C580&amp;"]["&amp;$D580&amp;"]["&amp;$F580&amp;"]"</f>
        <v>[S05_CategoryCHighestTierNotApplied][54][HighestTierRequired]</v>
      </c>
    </row>
    <row r="581" spans="1:15" x14ac:dyDescent="0.3">
      <c r="A581" t="s">
        <v>1793</v>
      </c>
      <c r="B581" t="s">
        <v>1985</v>
      </c>
      <c r="C581" t="s">
        <v>1986</v>
      </c>
      <c r="D581">
        <v>55</v>
      </c>
      <c r="E581" t="s">
        <v>1447</v>
      </c>
      <c r="F581" t="s">
        <v>2002</v>
      </c>
      <c r="G581" t="s">
        <v>1737</v>
      </c>
      <c r="H581" t="s">
        <v>1799</v>
      </c>
      <c r="I581" t="s">
        <v>1799</v>
      </c>
      <c r="J581" t="s">
        <v>1799</v>
      </c>
      <c r="K581" t="s">
        <v>1799</v>
      </c>
      <c r="L581" t="s">
        <v>1534</v>
      </c>
      <c r="M581" t="s">
        <v>1799</v>
      </c>
      <c r="N581" t="s">
        <v>1799</v>
      </c>
      <c r="O581" s="184" t="str">
        <f>"["&amp;$C581&amp;"]["&amp;$D581&amp;"]["&amp;$F581&amp;"]"</f>
        <v>[S05_CategoryCHighestTierNotApplied][55][HighestTierRequired]</v>
      </c>
    </row>
    <row r="582" spans="1:15" x14ac:dyDescent="0.3">
      <c r="A582" t="s">
        <v>1793</v>
      </c>
      <c r="B582" t="s">
        <v>1985</v>
      </c>
      <c r="C582" t="s">
        <v>1986</v>
      </c>
      <c r="D582">
        <v>1</v>
      </c>
      <c r="E582" t="s">
        <v>1447</v>
      </c>
      <c r="F582" t="s">
        <v>2003</v>
      </c>
      <c r="G582" t="s">
        <v>1737</v>
      </c>
      <c r="H582" t="s">
        <v>1799</v>
      </c>
      <c r="I582" t="s">
        <v>1799</v>
      </c>
      <c r="J582" t="s">
        <v>1799</v>
      </c>
      <c r="K582" t="s">
        <v>1799</v>
      </c>
      <c r="L582" t="s">
        <v>1485</v>
      </c>
      <c r="M582" t="s">
        <v>1799</v>
      </c>
      <c r="N582" t="s">
        <v>1799</v>
      </c>
      <c r="O582" s="184" t="str">
        <f>"["&amp;$C582&amp;"]["&amp;$D582&amp;"]["&amp;$F582&amp;"]"</f>
        <v>[S05_CategoryCHighestTierNotApplied][1][TierInPractice]</v>
      </c>
    </row>
    <row r="583" spans="1:15" x14ac:dyDescent="0.3">
      <c r="A583" t="s">
        <v>1793</v>
      </c>
      <c r="B583" t="s">
        <v>1985</v>
      </c>
      <c r="C583" t="s">
        <v>1986</v>
      </c>
      <c r="D583">
        <v>2</v>
      </c>
      <c r="E583" t="s">
        <v>1447</v>
      </c>
      <c r="F583" t="s">
        <v>2003</v>
      </c>
      <c r="G583" t="s">
        <v>1737</v>
      </c>
      <c r="H583" t="s">
        <v>1799</v>
      </c>
      <c r="I583" t="s">
        <v>1799</v>
      </c>
      <c r="J583" t="s">
        <v>1799</v>
      </c>
      <c r="K583" t="s">
        <v>1799</v>
      </c>
      <c r="L583" t="s">
        <v>1507</v>
      </c>
      <c r="M583" t="s">
        <v>1799</v>
      </c>
      <c r="N583" t="s">
        <v>1799</v>
      </c>
      <c r="O583" s="184" t="str">
        <f>"["&amp;$C583&amp;"]["&amp;$D583&amp;"]["&amp;$F583&amp;"]"</f>
        <v>[S05_CategoryCHighestTierNotApplied][2][TierInPractice]</v>
      </c>
    </row>
    <row r="584" spans="1:15" x14ac:dyDescent="0.3">
      <c r="A584" t="s">
        <v>1793</v>
      </c>
      <c r="B584" t="s">
        <v>1985</v>
      </c>
      <c r="C584" t="s">
        <v>1986</v>
      </c>
      <c r="D584">
        <v>3</v>
      </c>
      <c r="E584" t="s">
        <v>1447</v>
      </c>
      <c r="F584" t="s">
        <v>2003</v>
      </c>
      <c r="G584" t="s">
        <v>1737</v>
      </c>
      <c r="H584" t="s">
        <v>1799</v>
      </c>
      <c r="I584" t="s">
        <v>1799</v>
      </c>
      <c r="J584" t="s">
        <v>1799</v>
      </c>
      <c r="K584" t="s">
        <v>1799</v>
      </c>
      <c r="L584" t="s">
        <v>1522</v>
      </c>
      <c r="M584" t="s">
        <v>1799</v>
      </c>
      <c r="N584" t="s">
        <v>1799</v>
      </c>
      <c r="O584" s="184" t="str">
        <f>"["&amp;$C584&amp;"]["&amp;$D584&amp;"]["&amp;$F584&amp;"]"</f>
        <v>[S05_CategoryCHighestTierNotApplied][3][TierInPractice]</v>
      </c>
    </row>
    <row r="585" spans="1:15" x14ac:dyDescent="0.3">
      <c r="A585" t="s">
        <v>1793</v>
      </c>
      <c r="B585" t="s">
        <v>1985</v>
      </c>
      <c r="C585" t="s">
        <v>1986</v>
      </c>
      <c r="D585">
        <v>4</v>
      </c>
      <c r="E585" t="s">
        <v>1447</v>
      </c>
      <c r="F585" t="s">
        <v>2003</v>
      </c>
      <c r="G585" t="s">
        <v>1737</v>
      </c>
      <c r="H585" t="s">
        <v>1799</v>
      </c>
      <c r="I585" t="s">
        <v>1799</v>
      </c>
      <c r="J585" t="s">
        <v>1799</v>
      </c>
      <c r="K585" t="s">
        <v>1799</v>
      </c>
      <c r="L585" t="s">
        <v>1507</v>
      </c>
      <c r="M585" t="s">
        <v>1799</v>
      </c>
      <c r="N585" t="s">
        <v>1799</v>
      </c>
      <c r="O585" s="184" t="str">
        <f>"["&amp;$C585&amp;"]["&amp;$D585&amp;"]["&amp;$F585&amp;"]"</f>
        <v>[S05_CategoryCHighestTierNotApplied][4][TierInPractice]</v>
      </c>
    </row>
    <row r="586" spans="1:15" x14ac:dyDescent="0.3">
      <c r="A586" t="s">
        <v>1793</v>
      </c>
      <c r="B586" t="s">
        <v>1985</v>
      </c>
      <c r="C586" t="s">
        <v>1986</v>
      </c>
      <c r="D586">
        <v>5</v>
      </c>
      <c r="E586" t="s">
        <v>1447</v>
      </c>
      <c r="F586" t="s">
        <v>2003</v>
      </c>
      <c r="G586" t="s">
        <v>1737</v>
      </c>
      <c r="H586" t="s">
        <v>1799</v>
      </c>
      <c r="I586" t="s">
        <v>1799</v>
      </c>
      <c r="J586" t="s">
        <v>1799</v>
      </c>
      <c r="K586" t="s">
        <v>1799</v>
      </c>
      <c r="L586" t="s">
        <v>1522</v>
      </c>
      <c r="M586" t="s">
        <v>1799</v>
      </c>
      <c r="N586" t="s">
        <v>1799</v>
      </c>
      <c r="O586" s="184" t="str">
        <f>"["&amp;$C586&amp;"]["&amp;$D586&amp;"]["&amp;$F586&amp;"]"</f>
        <v>[S05_CategoryCHighestTierNotApplied][5][TierInPractice]</v>
      </c>
    </row>
    <row r="587" spans="1:15" x14ac:dyDescent="0.3">
      <c r="A587" t="s">
        <v>1793</v>
      </c>
      <c r="B587" t="s">
        <v>1985</v>
      </c>
      <c r="C587" t="s">
        <v>1986</v>
      </c>
      <c r="D587">
        <v>6</v>
      </c>
      <c r="E587" t="s">
        <v>1447</v>
      </c>
      <c r="F587" t="s">
        <v>2003</v>
      </c>
      <c r="G587" t="s">
        <v>1737</v>
      </c>
      <c r="H587" t="s">
        <v>1799</v>
      </c>
      <c r="I587" t="s">
        <v>1799</v>
      </c>
      <c r="J587" t="s">
        <v>1799</v>
      </c>
      <c r="K587" t="s">
        <v>1799</v>
      </c>
      <c r="L587" t="s">
        <v>1457</v>
      </c>
      <c r="M587" t="s">
        <v>1799</v>
      </c>
      <c r="N587" t="s">
        <v>1799</v>
      </c>
      <c r="O587" s="184" t="str">
        <f>"["&amp;$C587&amp;"]["&amp;$D587&amp;"]["&amp;$F587&amp;"]"</f>
        <v>[S05_CategoryCHighestTierNotApplied][6][TierInPractice]</v>
      </c>
    </row>
    <row r="588" spans="1:15" x14ac:dyDescent="0.3">
      <c r="A588" t="s">
        <v>1793</v>
      </c>
      <c r="B588" t="s">
        <v>1985</v>
      </c>
      <c r="C588" t="s">
        <v>1986</v>
      </c>
      <c r="D588">
        <v>7</v>
      </c>
      <c r="E588" t="s">
        <v>1447</v>
      </c>
      <c r="F588" t="s">
        <v>2003</v>
      </c>
      <c r="G588" t="s">
        <v>1737</v>
      </c>
      <c r="H588" t="s">
        <v>1799</v>
      </c>
      <c r="I588" t="s">
        <v>1799</v>
      </c>
      <c r="J588" t="s">
        <v>1799</v>
      </c>
      <c r="K588" t="s">
        <v>1799</v>
      </c>
      <c r="L588" t="s">
        <v>1507</v>
      </c>
      <c r="M588" t="s">
        <v>1799</v>
      </c>
      <c r="N588" t="s">
        <v>1799</v>
      </c>
      <c r="O588" s="184" t="str">
        <f>"["&amp;$C588&amp;"]["&amp;$D588&amp;"]["&amp;$F588&amp;"]"</f>
        <v>[S05_CategoryCHighestTierNotApplied][7][TierInPractice]</v>
      </c>
    </row>
    <row r="589" spans="1:15" x14ac:dyDescent="0.3">
      <c r="A589" t="s">
        <v>1793</v>
      </c>
      <c r="B589" t="s">
        <v>1985</v>
      </c>
      <c r="C589" t="s">
        <v>1986</v>
      </c>
      <c r="D589">
        <v>8</v>
      </c>
      <c r="E589" t="s">
        <v>1447</v>
      </c>
      <c r="F589" t="s">
        <v>2003</v>
      </c>
      <c r="G589" t="s">
        <v>1737</v>
      </c>
      <c r="H589" t="s">
        <v>1799</v>
      </c>
      <c r="I589" t="s">
        <v>1799</v>
      </c>
      <c r="J589" t="s">
        <v>1799</v>
      </c>
      <c r="K589" t="s">
        <v>1799</v>
      </c>
      <c r="L589" t="s">
        <v>1507</v>
      </c>
      <c r="M589" t="s">
        <v>1799</v>
      </c>
      <c r="N589" t="s">
        <v>1799</v>
      </c>
      <c r="O589" s="184" t="str">
        <f>"["&amp;$C589&amp;"]["&amp;$D589&amp;"]["&amp;$F589&amp;"]"</f>
        <v>[S05_CategoryCHighestTierNotApplied][8][TierInPractice]</v>
      </c>
    </row>
    <row r="590" spans="1:15" x14ac:dyDescent="0.3">
      <c r="A590" t="s">
        <v>1793</v>
      </c>
      <c r="B590" t="s">
        <v>1985</v>
      </c>
      <c r="C590" t="s">
        <v>1986</v>
      </c>
      <c r="D590">
        <v>9</v>
      </c>
      <c r="E590" t="s">
        <v>1447</v>
      </c>
      <c r="F590" t="s">
        <v>2003</v>
      </c>
      <c r="G590" t="s">
        <v>1737</v>
      </c>
      <c r="H590" t="s">
        <v>1799</v>
      </c>
      <c r="I590" t="s">
        <v>1799</v>
      </c>
      <c r="J590" t="s">
        <v>1799</v>
      </c>
      <c r="K590" t="s">
        <v>1799</v>
      </c>
      <c r="L590" t="s">
        <v>1522</v>
      </c>
      <c r="M590" t="s">
        <v>1799</v>
      </c>
      <c r="N590" t="s">
        <v>1799</v>
      </c>
      <c r="O590" s="184" t="str">
        <f>"["&amp;$C590&amp;"]["&amp;$D590&amp;"]["&amp;$F590&amp;"]"</f>
        <v>[S05_CategoryCHighestTierNotApplied][9][TierInPractice]</v>
      </c>
    </row>
    <row r="591" spans="1:15" x14ac:dyDescent="0.3">
      <c r="A591" t="s">
        <v>1793</v>
      </c>
      <c r="B591" t="s">
        <v>1985</v>
      </c>
      <c r="C591" t="s">
        <v>1986</v>
      </c>
      <c r="D591">
        <v>10</v>
      </c>
      <c r="E591" t="s">
        <v>1447</v>
      </c>
      <c r="F591" t="s">
        <v>2003</v>
      </c>
      <c r="G591" t="s">
        <v>1737</v>
      </c>
      <c r="H591" t="s">
        <v>1799</v>
      </c>
      <c r="I591" t="s">
        <v>1799</v>
      </c>
      <c r="J591" t="s">
        <v>1799</v>
      </c>
      <c r="K591" t="s">
        <v>1799</v>
      </c>
      <c r="L591" t="s">
        <v>1522</v>
      </c>
      <c r="M591" t="s">
        <v>1799</v>
      </c>
      <c r="N591" t="s">
        <v>1799</v>
      </c>
      <c r="O591" s="184" t="str">
        <f>"["&amp;$C591&amp;"]["&amp;$D591&amp;"]["&amp;$F591&amp;"]"</f>
        <v>[S05_CategoryCHighestTierNotApplied][10][TierInPractice]</v>
      </c>
    </row>
    <row r="592" spans="1:15" x14ac:dyDescent="0.3">
      <c r="A592" t="s">
        <v>1793</v>
      </c>
      <c r="B592" t="s">
        <v>1985</v>
      </c>
      <c r="C592" t="s">
        <v>1986</v>
      </c>
      <c r="D592">
        <v>11</v>
      </c>
      <c r="E592" t="s">
        <v>1447</v>
      </c>
      <c r="F592" t="s">
        <v>2003</v>
      </c>
      <c r="G592" t="s">
        <v>1737</v>
      </c>
      <c r="H592" t="s">
        <v>1799</v>
      </c>
      <c r="I592" t="s">
        <v>1799</v>
      </c>
      <c r="J592" t="s">
        <v>1799</v>
      </c>
      <c r="K592" t="s">
        <v>1799</v>
      </c>
      <c r="L592" t="s">
        <v>1522</v>
      </c>
      <c r="M592" t="s">
        <v>1799</v>
      </c>
      <c r="N592" t="s">
        <v>1799</v>
      </c>
      <c r="O592" s="184" t="str">
        <f>"["&amp;$C592&amp;"]["&amp;$D592&amp;"]["&amp;$F592&amp;"]"</f>
        <v>[S05_CategoryCHighestTierNotApplied][11][TierInPractice]</v>
      </c>
    </row>
    <row r="593" spans="1:15" x14ac:dyDescent="0.3">
      <c r="A593" t="s">
        <v>1793</v>
      </c>
      <c r="B593" t="s">
        <v>1985</v>
      </c>
      <c r="C593" t="s">
        <v>1986</v>
      </c>
      <c r="D593">
        <v>12</v>
      </c>
      <c r="E593" t="s">
        <v>1447</v>
      </c>
      <c r="F593" t="s">
        <v>2003</v>
      </c>
      <c r="G593" t="s">
        <v>1737</v>
      </c>
      <c r="H593" t="s">
        <v>1799</v>
      </c>
      <c r="I593" t="s">
        <v>1799</v>
      </c>
      <c r="J593" t="s">
        <v>1799</v>
      </c>
      <c r="K593" t="s">
        <v>1799</v>
      </c>
      <c r="L593" t="s">
        <v>1522</v>
      </c>
      <c r="M593" t="s">
        <v>1799</v>
      </c>
      <c r="N593" t="s">
        <v>1799</v>
      </c>
      <c r="O593" s="184" t="str">
        <f>"["&amp;$C593&amp;"]["&amp;$D593&amp;"]["&amp;$F593&amp;"]"</f>
        <v>[S05_CategoryCHighestTierNotApplied][12][TierInPractice]</v>
      </c>
    </row>
    <row r="594" spans="1:15" x14ac:dyDescent="0.3">
      <c r="A594" t="s">
        <v>1793</v>
      </c>
      <c r="B594" t="s">
        <v>1985</v>
      </c>
      <c r="C594" t="s">
        <v>1986</v>
      </c>
      <c r="D594">
        <v>13</v>
      </c>
      <c r="E594" t="s">
        <v>1447</v>
      </c>
      <c r="F594" t="s">
        <v>2003</v>
      </c>
      <c r="G594" t="s">
        <v>1737</v>
      </c>
      <c r="H594" t="s">
        <v>1799</v>
      </c>
      <c r="I594" t="s">
        <v>1799</v>
      </c>
      <c r="J594" t="s">
        <v>1799</v>
      </c>
      <c r="K594" t="s">
        <v>1799</v>
      </c>
      <c r="L594" t="s">
        <v>1522</v>
      </c>
      <c r="M594" t="s">
        <v>1799</v>
      </c>
      <c r="N594" t="s">
        <v>1799</v>
      </c>
      <c r="O594" s="184" t="str">
        <f>"["&amp;$C594&amp;"]["&amp;$D594&amp;"]["&amp;$F594&amp;"]"</f>
        <v>[S05_CategoryCHighestTierNotApplied][13][TierInPractice]</v>
      </c>
    </row>
    <row r="595" spans="1:15" x14ac:dyDescent="0.3">
      <c r="A595" t="s">
        <v>1793</v>
      </c>
      <c r="B595" t="s">
        <v>1985</v>
      </c>
      <c r="C595" t="s">
        <v>1986</v>
      </c>
      <c r="D595">
        <v>14</v>
      </c>
      <c r="E595" t="s">
        <v>1447</v>
      </c>
      <c r="F595" t="s">
        <v>2003</v>
      </c>
      <c r="G595" t="s">
        <v>1737</v>
      </c>
      <c r="H595" t="s">
        <v>1799</v>
      </c>
      <c r="I595" t="s">
        <v>1799</v>
      </c>
      <c r="J595" t="s">
        <v>1799</v>
      </c>
      <c r="K595" t="s">
        <v>1799</v>
      </c>
      <c r="L595" t="s">
        <v>1522</v>
      </c>
      <c r="M595" t="s">
        <v>1799</v>
      </c>
      <c r="N595" t="s">
        <v>1799</v>
      </c>
      <c r="O595" s="184" t="str">
        <f>"["&amp;$C595&amp;"]["&amp;$D595&amp;"]["&amp;$F595&amp;"]"</f>
        <v>[S05_CategoryCHighestTierNotApplied][14][TierInPractice]</v>
      </c>
    </row>
    <row r="596" spans="1:15" x14ac:dyDescent="0.3">
      <c r="A596" t="s">
        <v>1793</v>
      </c>
      <c r="B596" t="s">
        <v>1985</v>
      </c>
      <c r="C596" t="s">
        <v>1986</v>
      </c>
      <c r="D596">
        <v>15</v>
      </c>
      <c r="E596" t="s">
        <v>1447</v>
      </c>
      <c r="F596" t="s">
        <v>2003</v>
      </c>
      <c r="G596" t="s">
        <v>1737</v>
      </c>
      <c r="H596" t="s">
        <v>1799</v>
      </c>
      <c r="I596" t="s">
        <v>1799</v>
      </c>
      <c r="J596" t="s">
        <v>1799</v>
      </c>
      <c r="K596" t="s">
        <v>1799</v>
      </c>
      <c r="L596" t="s">
        <v>1522</v>
      </c>
      <c r="M596" t="s">
        <v>1799</v>
      </c>
      <c r="N596" t="s">
        <v>1799</v>
      </c>
      <c r="O596" s="184" t="str">
        <f>"["&amp;$C596&amp;"]["&amp;$D596&amp;"]["&amp;$F596&amp;"]"</f>
        <v>[S05_CategoryCHighestTierNotApplied][15][TierInPractice]</v>
      </c>
    </row>
    <row r="597" spans="1:15" x14ac:dyDescent="0.3">
      <c r="A597" t="s">
        <v>1793</v>
      </c>
      <c r="B597" t="s">
        <v>1985</v>
      </c>
      <c r="C597" t="s">
        <v>1986</v>
      </c>
      <c r="D597">
        <v>16</v>
      </c>
      <c r="E597" t="s">
        <v>1447</v>
      </c>
      <c r="F597" t="s">
        <v>2003</v>
      </c>
      <c r="G597" t="s">
        <v>1737</v>
      </c>
      <c r="H597" t="s">
        <v>1799</v>
      </c>
      <c r="I597" t="s">
        <v>1799</v>
      </c>
      <c r="J597" t="s">
        <v>1799</v>
      </c>
      <c r="K597" t="s">
        <v>1799</v>
      </c>
      <c r="L597" t="s">
        <v>1522</v>
      </c>
      <c r="M597" t="s">
        <v>1799</v>
      </c>
      <c r="N597" t="s">
        <v>1799</v>
      </c>
      <c r="O597" s="184" t="str">
        <f>"["&amp;$C597&amp;"]["&amp;$D597&amp;"]["&amp;$F597&amp;"]"</f>
        <v>[S05_CategoryCHighestTierNotApplied][16][TierInPractice]</v>
      </c>
    </row>
    <row r="598" spans="1:15" x14ac:dyDescent="0.3">
      <c r="A598" t="s">
        <v>1793</v>
      </c>
      <c r="B598" t="s">
        <v>1985</v>
      </c>
      <c r="C598" t="s">
        <v>1986</v>
      </c>
      <c r="D598">
        <v>17</v>
      </c>
      <c r="E598" t="s">
        <v>1447</v>
      </c>
      <c r="F598" t="s">
        <v>2003</v>
      </c>
      <c r="G598" t="s">
        <v>1737</v>
      </c>
      <c r="H598" t="s">
        <v>1799</v>
      </c>
      <c r="I598" t="s">
        <v>1799</v>
      </c>
      <c r="J598" t="s">
        <v>1799</v>
      </c>
      <c r="K598" t="s">
        <v>1799</v>
      </c>
      <c r="L598" t="s">
        <v>1522</v>
      </c>
      <c r="M598" t="s">
        <v>1799</v>
      </c>
      <c r="N598" t="s">
        <v>1799</v>
      </c>
      <c r="O598" s="184" t="str">
        <f>"["&amp;$C598&amp;"]["&amp;$D598&amp;"]["&amp;$F598&amp;"]"</f>
        <v>[S05_CategoryCHighestTierNotApplied][17][TierInPractice]</v>
      </c>
    </row>
    <row r="599" spans="1:15" x14ac:dyDescent="0.3">
      <c r="A599" t="s">
        <v>1793</v>
      </c>
      <c r="B599" t="s">
        <v>1985</v>
      </c>
      <c r="C599" t="s">
        <v>1986</v>
      </c>
      <c r="D599">
        <v>18</v>
      </c>
      <c r="E599" t="s">
        <v>1447</v>
      </c>
      <c r="F599" t="s">
        <v>2003</v>
      </c>
      <c r="G599" t="s">
        <v>1737</v>
      </c>
      <c r="H599" t="s">
        <v>1799</v>
      </c>
      <c r="I599" t="s">
        <v>1799</v>
      </c>
      <c r="J599" t="s">
        <v>1799</v>
      </c>
      <c r="K599" t="s">
        <v>1799</v>
      </c>
      <c r="L599" t="s">
        <v>1522</v>
      </c>
      <c r="M599" t="s">
        <v>1799</v>
      </c>
      <c r="N599" t="s">
        <v>1799</v>
      </c>
      <c r="O599" s="184" t="str">
        <f>"["&amp;$C599&amp;"]["&amp;$D599&amp;"]["&amp;$F599&amp;"]"</f>
        <v>[S05_CategoryCHighestTierNotApplied][18][TierInPractice]</v>
      </c>
    </row>
    <row r="600" spans="1:15" x14ac:dyDescent="0.3">
      <c r="A600" t="s">
        <v>1793</v>
      </c>
      <c r="B600" t="s">
        <v>1985</v>
      </c>
      <c r="C600" t="s">
        <v>1986</v>
      </c>
      <c r="D600">
        <v>19</v>
      </c>
      <c r="E600" t="s">
        <v>1447</v>
      </c>
      <c r="F600" t="s">
        <v>2003</v>
      </c>
      <c r="G600" t="s">
        <v>1737</v>
      </c>
      <c r="H600" t="s">
        <v>1799</v>
      </c>
      <c r="I600" t="s">
        <v>1799</v>
      </c>
      <c r="J600" t="s">
        <v>1799</v>
      </c>
      <c r="K600" t="s">
        <v>1799</v>
      </c>
      <c r="L600" t="s">
        <v>1522</v>
      </c>
      <c r="M600" t="s">
        <v>1799</v>
      </c>
      <c r="N600" t="s">
        <v>1799</v>
      </c>
      <c r="O600" s="184" t="str">
        <f>"["&amp;$C600&amp;"]["&amp;$D600&amp;"]["&amp;$F600&amp;"]"</f>
        <v>[S05_CategoryCHighestTierNotApplied][19][TierInPractice]</v>
      </c>
    </row>
    <row r="601" spans="1:15" x14ac:dyDescent="0.3">
      <c r="A601" t="s">
        <v>1793</v>
      </c>
      <c r="B601" t="s">
        <v>1985</v>
      </c>
      <c r="C601" t="s">
        <v>1986</v>
      </c>
      <c r="D601">
        <v>20</v>
      </c>
      <c r="E601" t="s">
        <v>1447</v>
      </c>
      <c r="F601" t="s">
        <v>2003</v>
      </c>
      <c r="G601" t="s">
        <v>1737</v>
      </c>
      <c r="H601" t="s">
        <v>1799</v>
      </c>
      <c r="I601" t="s">
        <v>1799</v>
      </c>
      <c r="J601" t="s">
        <v>1799</v>
      </c>
      <c r="K601" t="s">
        <v>1799</v>
      </c>
      <c r="L601" t="s">
        <v>1522</v>
      </c>
      <c r="M601" t="s">
        <v>1799</v>
      </c>
      <c r="N601" t="s">
        <v>1799</v>
      </c>
      <c r="O601" s="184" t="str">
        <f>"["&amp;$C601&amp;"]["&amp;$D601&amp;"]["&amp;$F601&amp;"]"</f>
        <v>[S05_CategoryCHighestTierNotApplied][20][TierInPractice]</v>
      </c>
    </row>
    <row r="602" spans="1:15" x14ac:dyDescent="0.3">
      <c r="A602" t="s">
        <v>1793</v>
      </c>
      <c r="B602" t="s">
        <v>1985</v>
      </c>
      <c r="C602" t="s">
        <v>1986</v>
      </c>
      <c r="D602">
        <v>21</v>
      </c>
      <c r="E602" t="s">
        <v>1447</v>
      </c>
      <c r="F602" t="s">
        <v>2003</v>
      </c>
      <c r="G602" t="s">
        <v>1737</v>
      </c>
      <c r="H602" t="s">
        <v>1799</v>
      </c>
      <c r="I602" t="s">
        <v>1799</v>
      </c>
      <c r="J602" t="s">
        <v>1799</v>
      </c>
      <c r="K602" t="s">
        <v>1799</v>
      </c>
      <c r="L602" t="s">
        <v>1522</v>
      </c>
      <c r="M602" t="s">
        <v>1799</v>
      </c>
      <c r="N602" t="s">
        <v>1799</v>
      </c>
      <c r="O602" s="184" t="str">
        <f>"["&amp;$C602&amp;"]["&amp;$D602&amp;"]["&amp;$F602&amp;"]"</f>
        <v>[S05_CategoryCHighestTierNotApplied][21][TierInPractice]</v>
      </c>
    </row>
    <row r="603" spans="1:15" x14ac:dyDescent="0.3">
      <c r="A603" t="s">
        <v>1793</v>
      </c>
      <c r="B603" t="s">
        <v>1985</v>
      </c>
      <c r="C603" t="s">
        <v>1986</v>
      </c>
      <c r="D603">
        <v>22</v>
      </c>
      <c r="E603" t="s">
        <v>1447</v>
      </c>
      <c r="F603" t="s">
        <v>2003</v>
      </c>
      <c r="G603" t="s">
        <v>1737</v>
      </c>
      <c r="H603" t="s">
        <v>1799</v>
      </c>
      <c r="I603" t="s">
        <v>1799</v>
      </c>
      <c r="J603" t="s">
        <v>1799</v>
      </c>
      <c r="K603" t="s">
        <v>1799</v>
      </c>
      <c r="L603" t="s">
        <v>1522</v>
      </c>
      <c r="M603" t="s">
        <v>1799</v>
      </c>
      <c r="N603" t="s">
        <v>1799</v>
      </c>
      <c r="O603" s="184" t="str">
        <f>"["&amp;$C603&amp;"]["&amp;$D603&amp;"]["&amp;$F603&amp;"]"</f>
        <v>[S05_CategoryCHighestTierNotApplied][22][TierInPractice]</v>
      </c>
    </row>
    <row r="604" spans="1:15" x14ac:dyDescent="0.3">
      <c r="A604" t="s">
        <v>1793</v>
      </c>
      <c r="B604" t="s">
        <v>1985</v>
      </c>
      <c r="C604" t="s">
        <v>1986</v>
      </c>
      <c r="D604">
        <v>23</v>
      </c>
      <c r="E604" t="s">
        <v>1447</v>
      </c>
      <c r="F604" t="s">
        <v>2003</v>
      </c>
      <c r="G604" t="s">
        <v>1737</v>
      </c>
      <c r="H604" t="s">
        <v>1799</v>
      </c>
      <c r="I604" t="s">
        <v>1799</v>
      </c>
      <c r="J604" t="s">
        <v>1799</v>
      </c>
      <c r="K604" t="s">
        <v>1799</v>
      </c>
      <c r="L604" t="s">
        <v>1485</v>
      </c>
      <c r="M604" t="s">
        <v>1799</v>
      </c>
      <c r="N604" t="s">
        <v>1799</v>
      </c>
      <c r="O604" s="184" t="str">
        <f>"["&amp;$C604&amp;"]["&amp;$D604&amp;"]["&amp;$F604&amp;"]"</f>
        <v>[S05_CategoryCHighestTierNotApplied][23][TierInPractice]</v>
      </c>
    </row>
    <row r="605" spans="1:15" x14ac:dyDescent="0.3">
      <c r="A605" t="s">
        <v>1793</v>
      </c>
      <c r="B605" t="s">
        <v>1985</v>
      </c>
      <c r="C605" t="s">
        <v>1986</v>
      </c>
      <c r="D605">
        <v>24</v>
      </c>
      <c r="E605" t="s">
        <v>1447</v>
      </c>
      <c r="F605" t="s">
        <v>2003</v>
      </c>
      <c r="G605" t="s">
        <v>1737</v>
      </c>
      <c r="H605" t="s">
        <v>1799</v>
      </c>
      <c r="I605" t="s">
        <v>1799</v>
      </c>
      <c r="J605" t="s">
        <v>1799</v>
      </c>
      <c r="K605" t="s">
        <v>1799</v>
      </c>
      <c r="L605" t="s">
        <v>1522</v>
      </c>
      <c r="M605" t="s">
        <v>1799</v>
      </c>
      <c r="N605" t="s">
        <v>1799</v>
      </c>
      <c r="O605" s="184" t="str">
        <f>"["&amp;$C605&amp;"]["&amp;$D605&amp;"]["&amp;$F605&amp;"]"</f>
        <v>[S05_CategoryCHighestTierNotApplied][24][TierInPractice]</v>
      </c>
    </row>
    <row r="606" spans="1:15" x14ac:dyDescent="0.3">
      <c r="A606" t="s">
        <v>1793</v>
      </c>
      <c r="B606" t="s">
        <v>1985</v>
      </c>
      <c r="C606" t="s">
        <v>1986</v>
      </c>
      <c r="D606">
        <v>25</v>
      </c>
      <c r="E606" t="s">
        <v>1447</v>
      </c>
      <c r="F606" t="s">
        <v>2003</v>
      </c>
      <c r="G606" t="s">
        <v>1737</v>
      </c>
      <c r="H606" t="s">
        <v>1799</v>
      </c>
      <c r="I606" t="s">
        <v>1799</v>
      </c>
      <c r="J606" t="s">
        <v>1799</v>
      </c>
      <c r="K606" t="s">
        <v>1799</v>
      </c>
      <c r="L606" t="s">
        <v>1522</v>
      </c>
      <c r="M606" t="s">
        <v>1799</v>
      </c>
      <c r="N606" t="s">
        <v>1799</v>
      </c>
      <c r="O606" s="184" t="str">
        <f>"["&amp;$C606&amp;"]["&amp;$D606&amp;"]["&amp;$F606&amp;"]"</f>
        <v>[S05_CategoryCHighestTierNotApplied][25][TierInPractice]</v>
      </c>
    </row>
    <row r="607" spans="1:15" x14ac:dyDescent="0.3">
      <c r="A607" t="s">
        <v>1793</v>
      </c>
      <c r="B607" t="s">
        <v>1985</v>
      </c>
      <c r="C607" t="s">
        <v>1986</v>
      </c>
      <c r="D607">
        <v>26</v>
      </c>
      <c r="E607" t="s">
        <v>1447</v>
      </c>
      <c r="F607" t="s">
        <v>2003</v>
      </c>
      <c r="G607" t="s">
        <v>1737</v>
      </c>
      <c r="H607" t="s">
        <v>1799</v>
      </c>
      <c r="I607" t="s">
        <v>1799</v>
      </c>
      <c r="J607" t="s">
        <v>1799</v>
      </c>
      <c r="K607" t="s">
        <v>1799</v>
      </c>
      <c r="L607" t="s">
        <v>1522</v>
      </c>
      <c r="M607" t="s">
        <v>1799</v>
      </c>
      <c r="N607" t="s">
        <v>1799</v>
      </c>
      <c r="O607" s="184" t="str">
        <f>"["&amp;$C607&amp;"]["&amp;$D607&amp;"]["&amp;$F607&amp;"]"</f>
        <v>[S05_CategoryCHighestTierNotApplied][26][TierInPractice]</v>
      </c>
    </row>
    <row r="608" spans="1:15" x14ac:dyDescent="0.3">
      <c r="A608" t="s">
        <v>1793</v>
      </c>
      <c r="B608" t="s">
        <v>1985</v>
      </c>
      <c r="C608" t="s">
        <v>1986</v>
      </c>
      <c r="D608">
        <v>27</v>
      </c>
      <c r="E608" t="s">
        <v>1447</v>
      </c>
      <c r="F608" t="s">
        <v>2003</v>
      </c>
      <c r="G608" t="s">
        <v>1737</v>
      </c>
      <c r="H608" t="s">
        <v>1799</v>
      </c>
      <c r="I608" t="s">
        <v>1799</v>
      </c>
      <c r="J608" t="s">
        <v>1799</v>
      </c>
      <c r="K608" t="s">
        <v>1799</v>
      </c>
      <c r="L608" t="s">
        <v>1522</v>
      </c>
      <c r="M608" t="s">
        <v>1799</v>
      </c>
      <c r="N608" t="s">
        <v>1799</v>
      </c>
      <c r="O608" s="184" t="str">
        <f>"["&amp;$C608&amp;"]["&amp;$D608&amp;"]["&amp;$F608&amp;"]"</f>
        <v>[S05_CategoryCHighestTierNotApplied][27][TierInPractice]</v>
      </c>
    </row>
    <row r="609" spans="1:15" x14ac:dyDescent="0.3">
      <c r="A609" t="s">
        <v>1793</v>
      </c>
      <c r="B609" t="s">
        <v>1985</v>
      </c>
      <c r="C609" t="s">
        <v>1986</v>
      </c>
      <c r="D609">
        <v>28</v>
      </c>
      <c r="E609" t="s">
        <v>1447</v>
      </c>
      <c r="F609" t="s">
        <v>2003</v>
      </c>
      <c r="G609" t="s">
        <v>1737</v>
      </c>
      <c r="H609" t="s">
        <v>1799</v>
      </c>
      <c r="I609" t="s">
        <v>1799</v>
      </c>
      <c r="J609" t="s">
        <v>1799</v>
      </c>
      <c r="K609" t="s">
        <v>1799</v>
      </c>
      <c r="L609" t="s">
        <v>1522</v>
      </c>
      <c r="M609" t="s">
        <v>1799</v>
      </c>
      <c r="N609" t="s">
        <v>1799</v>
      </c>
      <c r="O609" s="184" t="str">
        <f>"["&amp;$C609&amp;"]["&amp;$D609&amp;"]["&amp;$F609&amp;"]"</f>
        <v>[S05_CategoryCHighestTierNotApplied][28][TierInPractice]</v>
      </c>
    </row>
    <row r="610" spans="1:15" x14ac:dyDescent="0.3">
      <c r="A610" t="s">
        <v>1793</v>
      </c>
      <c r="B610" t="s">
        <v>1985</v>
      </c>
      <c r="C610" t="s">
        <v>1986</v>
      </c>
      <c r="D610">
        <v>29</v>
      </c>
      <c r="E610" t="s">
        <v>1447</v>
      </c>
      <c r="F610" t="s">
        <v>2003</v>
      </c>
      <c r="G610" t="s">
        <v>1737</v>
      </c>
      <c r="H610" t="s">
        <v>1799</v>
      </c>
      <c r="I610" t="s">
        <v>1799</v>
      </c>
      <c r="J610" t="s">
        <v>1799</v>
      </c>
      <c r="K610" t="s">
        <v>1799</v>
      </c>
      <c r="L610" t="s">
        <v>1522</v>
      </c>
      <c r="M610" t="s">
        <v>1799</v>
      </c>
      <c r="N610" t="s">
        <v>1799</v>
      </c>
      <c r="O610" s="184" t="str">
        <f>"["&amp;$C610&amp;"]["&amp;$D610&amp;"]["&amp;$F610&amp;"]"</f>
        <v>[S05_CategoryCHighestTierNotApplied][29][TierInPractice]</v>
      </c>
    </row>
    <row r="611" spans="1:15" x14ac:dyDescent="0.3">
      <c r="A611" t="s">
        <v>1793</v>
      </c>
      <c r="B611" t="s">
        <v>1985</v>
      </c>
      <c r="C611" t="s">
        <v>1986</v>
      </c>
      <c r="D611">
        <v>30</v>
      </c>
      <c r="E611" t="s">
        <v>1447</v>
      </c>
      <c r="F611" t="s">
        <v>2003</v>
      </c>
      <c r="G611" t="s">
        <v>1737</v>
      </c>
      <c r="H611" t="s">
        <v>1799</v>
      </c>
      <c r="I611" t="s">
        <v>1799</v>
      </c>
      <c r="J611" t="s">
        <v>1799</v>
      </c>
      <c r="K611" t="s">
        <v>1799</v>
      </c>
      <c r="L611" t="s">
        <v>1522</v>
      </c>
      <c r="M611" t="s">
        <v>1799</v>
      </c>
      <c r="N611" t="s">
        <v>1799</v>
      </c>
      <c r="O611" s="184" t="str">
        <f>"["&amp;$C611&amp;"]["&amp;$D611&amp;"]["&amp;$F611&amp;"]"</f>
        <v>[S05_CategoryCHighestTierNotApplied][30][TierInPractice]</v>
      </c>
    </row>
    <row r="612" spans="1:15" x14ac:dyDescent="0.3">
      <c r="A612" t="s">
        <v>1793</v>
      </c>
      <c r="B612" t="s">
        <v>1985</v>
      </c>
      <c r="C612" t="s">
        <v>1986</v>
      </c>
      <c r="D612">
        <v>31</v>
      </c>
      <c r="E612" t="s">
        <v>1447</v>
      </c>
      <c r="F612" t="s">
        <v>2003</v>
      </c>
      <c r="G612" t="s">
        <v>1737</v>
      </c>
      <c r="H612" t="s">
        <v>1799</v>
      </c>
      <c r="I612" t="s">
        <v>1799</v>
      </c>
      <c r="J612" t="s">
        <v>1799</v>
      </c>
      <c r="K612" t="s">
        <v>1799</v>
      </c>
      <c r="L612" t="s">
        <v>1522</v>
      </c>
      <c r="M612" t="s">
        <v>1799</v>
      </c>
      <c r="N612" t="s">
        <v>1799</v>
      </c>
      <c r="O612" s="184" t="str">
        <f>"["&amp;$C612&amp;"]["&amp;$D612&amp;"]["&amp;$F612&amp;"]"</f>
        <v>[S05_CategoryCHighestTierNotApplied][31][TierInPractice]</v>
      </c>
    </row>
    <row r="613" spans="1:15" x14ac:dyDescent="0.3">
      <c r="A613" t="s">
        <v>1793</v>
      </c>
      <c r="B613" t="s">
        <v>1985</v>
      </c>
      <c r="C613" t="s">
        <v>1986</v>
      </c>
      <c r="D613">
        <v>32</v>
      </c>
      <c r="E613" t="s">
        <v>1447</v>
      </c>
      <c r="F613" t="s">
        <v>2003</v>
      </c>
      <c r="G613" t="s">
        <v>1737</v>
      </c>
      <c r="H613" t="s">
        <v>1799</v>
      </c>
      <c r="I613" t="s">
        <v>1799</v>
      </c>
      <c r="J613" t="s">
        <v>1799</v>
      </c>
      <c r="K613" t="s">
        <v>1799</v>
      </c>
      <c r="L613" t="s">
        <v>1522</v>
      </c>
      <c r="M613" t="s">
        <v>1799</v>
      </c>
      <c r="N613" t="s">
        <v>1799</v>
      </c>
      <c r="O613" s="184" t="str">
        <f>"["&amp;$C613&amp;"]["&amp;$D613&amp;"]["&amp;$F613&amp;"]"</f>
        <v>[S05_CategoryCHighestTierNotApplied][32][TierInPractice]</v>
      </c>
    </row>
    <row r="614" spans="1:15" x14ac:dyDescent="0.3">
      <c r="A614" t="s">
        <v>1793</v>
      </c>
      <c r="B614" t="s">
        <v>1985</v>
      </c>
      <c r="C614" t="s">
        <v>1986</v>
      </c>
      <c r="D614">
        <v>33</v>
      </c>
      <c r="E614" t="s">
        <v>1447</v>
      </c>
      <c r="F614" t="s">
        <v>2003</v>
      </c>
      <c r="G614" t="s">
        <v>1737</v>
      </c>
      <c r="H614" t="s">
        <v>1799</v>
      </c>
      <c r="I614" t="s">
        <v>1799</v>
      </c>
      <c r="J614" t="s">
        <v>1799</v>
      </c>
      <c r="K614" t="s">
        <v>1799</v>
      </c>
      <c r="L614" t="s">
        <v>1522</v>
      </c>
      <c r="M614" t="s">
        <v>1799</v>
      </c>
      <c r="N614" t="s">
        <v>1799</v>
      </c>
      <c r="O614" s="184" t="str">
        <f>"["&amp;$C614&amp;"]["&amp;$D614&amp;"]["&amp;$F614&amp;"]"</f>
        <v>[S05_CategoryCHighestTierNotApplied][33][TierInPractice]</v>
      </c>
    </row>
    <row r="615" spans="1:15" x14ac:dyDescent="0.3">
      <c r="A615" t="s">
        <v>1793</v>
      </c>
      <c r="B615" t="s">
        <v>1985</v>
      </c>
      <c r="C615" t="s">
        <v>1986</v>
      </c>
      <c r="D615">
        <v>34</v>
      </c>
      <c r="E615" t="s">
        <v>1447</v>
      </c>
      <c r="F615" t="s">
        <v>2003</v>
      </c>
      <c r="G615" t="s">
        <v>1737</v>
      </c>
      <c r="H615" t="s">
        <v>1799</v>
      </c>
      <c r="I615" t="s">
        <v>1799</v>
      </c>
      <c r="J615" t="s">
        <v>1799</v>
      </c>
      <c r="K615" t="s">
        <v>1799</v>
      </c>
      <c r="L615" t="s">
        <v>1522</v>
      </c>
      <c r="M615" t="s">
        <v>1799</v>
      </c>
      <c r="N615" t="s">
        <v>1799</v>
      </c>
      <c r="O615" s="184" t="str">
        <f>"["&amp;$C615&amp;"]["&amp;$D615&amp;"]["&amp;$F615&amp;"]"</f>
        <v>[S05_CategoryCHighestTierNotApplied][34][TierInPractice]</v>
      </c>
    </row>
    <row r="616" spans="1:15" x14ac:dyDescent="0.3">
      <c r="A616" t="s">
        <v>1793</v>
      </c>
      <c r="B616" t="s">
        <v>1985</v>
      </c>
      <c r="C616" t="s">
        <v>1986</v>
      </c>
      <c r="D616">
        <v>35</v>
      </c>
      <c r="E616" t="s">
        <v>1447</v>
      </c>
      <c r="F616" t="s">
        <v>2003</v>
      </c>
      <c r="G616" t="s">
        <v>1737</v>
      </c>
      <c r="H616" t="s">
        <v>1799</v>
      </c>
      <c r="I616" t="s">
        <v>1799</v>
      </c>
      <c r="J616" t="s">
        <v>1799</v>
      </c>
      <c r="K616" t="s">
        <v>1799</v>
      </c>
      <c r="L616" t="s">
        <v>1522</v>
      </c>
      <c r="M616" t="s">
        <v>1799</v>
      </c>
      <c r="N616" t="s">
        <v>1799</v>
      </c>
      <c r="O616" s="184" t="str">
        <f>"["&amp;$C616&amp;"]["&amp;$D616&amp;"]["&amp;$F616&amp;"]"</f>
        <v>[S05_CategoryCHighestTierNotApplied][35][TierInPractice]</v>
      </c>
    </row>
    <row r="617" spans="1:15" x14ac:dyDescent="0.3">
      <c r="A617" t="s">
        <v>1793</v>
      </c>
      <c r="B617" t="s">
        <v>1985</v>
      </c>
      <c r="C617" t="s">
        <v>1986</v>
      </c>
      <c r="D617">
        <v>36</v>
      </c>
      <c r="E617" t="s">
        <v>1447</v>
      </c>
      <c r="F617" t="s">
        <v>2003</v>
      </c>
      <c r="G617" t="s">
        <v>1737</v>
      </c>
      <c r="H617" t="s">
        <v>1799</v>
      </c>
      <c r="I617" t="s">
        <v>1799</v>
      </c>
      <c r="J617" t="s">
        <v>1799</v>
      </c>
      <c r="K617" t="s">
        <v>1799</v>
      </c>
      <c r="L617" t="s">
        <v>1522</v>
      </c>
      <c r="M617" t="s">
        <v>1799</v>
      </c>
      <c r="N617" t="s">
        <v>1799</v>
      </c>
      <c r="O617" s="184" t="str">
        <f>"["&amp;$C617&amp;"]["&amp;$D617&amp;"]["&amp;$F617&amp;"]"</f>
        <v>[S05_CategoryCHighestTierNotApplied][36][TierInPractice]</v>
      </c>
    </row>
    <row r="618" spans="1:15" x14ac:dyDescent="0.3">
      <c r="A618" t="s">
        <v>1793</v>
      </c>
      <c r="B618" t="s">
        <v>1985</v>
      </c>
      <c r="C618" t="s">
        <v>1986</v>
      </c>
      <c r="D618">
        <v>37</v>
      </c>
      <c r="E618" t="s">
        <v>1447</v>
      </c>
      <c r="F618" t="s">
        <v>2003</v>
      </c>
      <c r="G618" t="s">
        <v>1737</v>
      </c>
      <c r="H618" t="s">
        <v>1799</v>
      </c>
      <c r="I618" t="s">
        <v>1799</v>
      </c>
      <c r="J618" t="s">
        <v>1799</v>
      </c>
      <c r="K618" t="s">
        <v>1799</v>
      </c>
      <c r="L618" t="s">
        <v>1522</v>
      </c>
      <c r="M618" t="s">
        <v>1799</v>
      </c>
      <c r="N618" t="s">
        <v>1799</v>
      </c>
      <c r="O618" s="184" t="str">
        <f>"["&amp;$C618&amp;"]["&amp;$D618&amp;"]["&amp;$F618&amp;"]"</f>
        <v>[S05_CategoryCHighestTierNotApplied][37][TierInPractice]</v>
      </c>
    </row>
    <row r="619" spans="1:15" x14ac:dyDescent="0.3">
      <c r="A619" t="s">
        <v>1793</v>
      </c>
      <c r="B619" t="s">
        <v>1985</v>
      </c>
      <c r="C619" t="s">
        <v>1986</v>
      </c>
      <c r="D619">
        <v>38</v>
      </c>
      <c r="E619" t="s">
        <v>1447</v>
      </c>
      <c r="F619" t="s">
        <v>2003</v>
      </c>
      <c r="G619" t="s">
        <v>1737</v>
      </c>
      <c r="H619" t="s">
        <v>1799</v>
      </c>
      <c r="I619" t="s">
        <v>1799</v>
      </c>
      <c r="J619" t="s">
        <v>1799</v>
      </c>
      <c r="K619" t="s">
        <v>1799</v>
      </c>
      <c r="L619" t="s">
        <v>1522</v>
      </c>
      <c r="M619" t="s">
        <v>1799</v>
      </c>
      <c r="N619" t="s">
        <v>1799</v>
      </c>
      <c r="O619" s="184" t="str">
        <f>"["&amp;$C619&amp;"]["&amp;$D619&amp;"]["&amp;$F619&amp;"]"</f>
        <v>[S05_CategoryCHighestTierNotApplied][38][TierInPractice]</v>
      </c>
    </row>
    <row r="620" spans="1:15" x14ac:dyDescent="0.3">
      <c r="A620" t="s">
        <v>1793</v>
      </c>
      <c r="B620" t="s">
        <v>1985</v>
      </c>
      <c r="C620" t="s">
        <v>1986</v>
      </c>
      <c r="D620">
        <v>39</v>
      </c>
      <c r="E620" t="s">
        <v>1447</v>
      </c>
      <c r="F620" t="s">
        <v>2003</v>
      </c>
      <c r="G620" t="s">
        <v>1737</v>
      </c>
      <c r="H620" t="s">
        <v>1799</v>
      </c>
      <c r="I620" t="s">
        <v>1799</v>
      </c>
      <c r="J620" t="s">
        <v>1799</v>
      </c>
      <c r="K620" t="s">
        <v>1799</v>
      </c>
      <c r="L620" t="s">
        <v>1522</v>
      </c>
      <c r="M620" t="s">
        <v>1799</v>
      </c>
      <c r="N620" t="s">
        <v>1799</v>
      </c>
      <c r="O620" s="184" t="str">
        <f>"["&amp;$C620&amp;"]["&amp;$D620&amp;"]["&amp;$F620&amp;"]"</f>
        <v>[S05_CategoryCHighestTierNotApplied][39][TierInPractice]</v>
      </c>
    </row>
    <row r="621" spans="1:15" x14ac:dyDescent="0.3">
      <c r="A621" t="s">
        <v>1793</v>
      </c>
      <c r="B621" t="s">
        <v>1985</v>
      </c>
      <c r="C621" t="s">
        <v>1986</v>
      </c>
      <c r="D621">
        <v>40</v>
      </c>
      <c r="E621" t="s">
        <v>1447</v>
      </c>
      <c r="F621" t="s">
        <v>2003</v>
      </c>
      <c r="G621" t="s">
        <v>1737</v>
      </c>
      <c r="H621" t="s">
        <v>1799</v>
      </c>
      <c r="I621" t="s">
        <v>1799</v>
      </c>
      <c r="J621" t="s">
        <v>1799</v>
      </c>
      <c r="K621" t="s">
        <v>1799</v>
      </c>
      <c r="L621" t="s">
        <v>1522</v>
      </c>
      <c r="M621" t="s">
        <v>1799</v>
      </c>
      <c r="N621" t="s">
        <v>1799</v>
      </c>
      <c r="O621" s="184" t="str">
        <f>"["&amp;$C621&amp;"]["&amp;$D621&amp;"]["&amp;$F621&amp;"]"</f>
        <v>[S05_CategoryCHighestTierNotApplied][40][TierInPractice]</v>
      </c>
    </row>
    <row r="622" spans="1:15" x14ac:dyDescent="0.3">
      <c r="A622" t="s">
        <v>1793</v>
      </c>
      <c r="B622" t="s">
        <v>1985</v>
      </c>
      <c r="C622" t="s">
        <v>1986</v>
      </c>
      <c r="D622">
        <v>41</v>
      </c>
      <c r="E622" t="s">
        <v>1447</v>
      </c>
      <c r="F622" t="s">
        <v>2003</v>
      </c>
      <c r="G622" t="s">
        <v>1737</v>
      </c>
      <c r="H622" t="s">
        <v>1799</v>
      </c>
      <c r="I622" t="s">
        <v>1799</v>
      </c>
      <c r="J622" t="s">
        <v>1799</v>
      </c>
      <c r="K622" t="s">
        <v>1799</v>
      </c>
      <c r="L622" t="s">
        <v>1522</v>
      </c>
      <c r="M622" t="s">
        <v>1799</v>
      </c>
      <c r="N622" t="s">
        <v>1799</v>
      </c>
      <c r="O622" s="184" t="str">
        <f>"["&amp;$C622&amp;"]["&amp;$D622&amp;"]["&amp;$F622&amp;"]"</f>
        <v>[S05_CategoryCHighestTierNotApplied][41][TierInPractice]</v>
      </c>
    </row>
    <row r="623" spans="1:15" x14ac:dyDescent="0.3">
      <c r="A623" t="s">
        <v>1793</v>
      </c>
      <c r="B623" t="s">
        <v>1985</v>
      </c>
      <c r="C623" t="s">
        <v>1986</v>
      </c>
      <c r="D623">
        <v>42</v>
      </c>
      <c r="E623" t="s">
        <v>1447</v>
      </c>
      <c r="F623" t="s">
        <v>2003</v>
      </c>
      <c r="G623" t="s">
        <v>1737</v>
      </c>
      <c r="H623" t="s">
        <v>1799</v>
      </c>
      <c r="I623" t="s">
        <v>1799</v>
      </c>
      <c r="J623" t="s">
        <v>1799</v>
      </c>
      <c r="K623" t="s">
        <v>1799</v>
      </c>
      <c r="L623" t="s">
        <v>1522</v>
      </c>
      <c r="M623" t="s">
        <v>1799</v>
      </c>
      <c r="N623" t="s">
        <v>1799</v>
      </c>
      <c r="O623" s="184" t="str">
        <f>"["&amp;$C623&amp;"]["&amp;$D623&amp;"]["&amp;$F623&amp;"]"</f>
        <v>[S05_CategoryCHighestTierNotApplied][42][TierInPractice]</v>
      </c>
    </row>
    <row r="624" spans="1:15" x14ac:dyDescent="0.3">
      <c r="A624" t="s">
        <v>1793</v>
      </c>
      <c r="B624" t="s">
        <v>1985</v>
      </c>
      <c r="C624" t="s">
        <v>1986</v>
      </c>
      <c r="D624">
        <v>43</v>
      </c>
      <c r="E624" t="s">
        <v>1447</v>
      </c>
      <c r="F624" t="s">
        <v>2003</v>
      </c>
      <c r="G624" t="s">
        <v>1737</v>
      </c>
      <c r="H624" t="s">
        <v>1799</v>
      </c>
      <c r="I624" t="s">
        <v>1799</v>
      </c>
      <c r="J624" t="s">
        <v>1799</v>
      </c>
      <c r="K624" t="s">
        <v>1799</v>
      </c>
      <c r="L624" t="s">
        <v>1522</v>
      </c>
      <c r="M624" t="s">
        <v>1799</v>
      </c>
      <c r="N624" t="s">
        <v>1799</v>
      </c>
      <c r="O624" s="184" t="str">
        <f>"["&amp;$C624&amp;"]["&amp;$D624&amp;"]["&amp;$F624&amp;"]"</f>
        <v>[S05_CategoryCHighestTierNotApplied][43][TierInPractice]</v>
      </c>
    </row>
    <row r="625" spans="1:15" x14ac:dyDescent="0.3">
      <c r="A625" t="s">
        <v>1793</v>
      </c>
      <c r="B625" t="s">
        <v>1985</v>
      </c>
      <c r="C625" t="s">
        <v>1986</v>
      </c>
      <c r="D625">
        <v>44</v>
      </c>
      <c r="E625" t="s">
        <v>1447</v>
      </c>
      <c r="F625" t="s">
        <v>2003</v>
      </c>
      <c r="G625" t="s">
        <v>1737</v>
      </c>
      <c r="H625" t="s">
        <v>1799</v>
      </c>
      <c r="I625" t="s">
        <v>1799</v>
      </c>
      <c r="J625" t="s">
        <v>1799</v>
      </c>
      <c r="K625" t="s">
        <v>1799</v>
      </c>
      <c r="L625" t="s">
        <v>1522</v>
      </c>
      <c r="M625" t="s">
        <v>1799</v>
      </c>
      <c r="N625" t="s">
        <v>1799</v>
      </c>
      <c r="O625" s="184" t="str">
        <f>"["&amp;$C625&amp;"]["&amp;$D625&amp;"]["&amp;$F625&amp;"]"</f>
        <v>[S05_CategoryCHighestTierNotApplied][44][TierInPractice]</v>
      </c>
    </row>
    <row r="626" spans="1:15" x14ac:dyDescent="0.3">
      <c r="A626" t="s">
        <v>1793</v>
      </c>
      <c r="B626" t="s">
        <v>1985</v>
      </c>
      <c r="C626" t="s">
        <v>1986</v>
      </c>
      <c r="D626">
        <v>45</v>
      </c>
      <c r="E626" t="s">
        <v>1447</v>
      </c>
      <c r="F626" t="s">
        <v>2003</v>
      </c>
      <c r="G626" t="s">
        <v>1737</v>
      </c>
      <c r="H626" t="s">
        <v>1799</v>
      </c>
      <c r="I626" t="s">
        <v>1799</v>
      </c>
      <c r="J626" t="s">
        <v>1799</v>
      </c>
      <c r="K626" t="s">
        <v>1799</v>
      </c>
      <c r="L626" t="s">
        <v>1522</v>
      </c>
      <c r="M626" t="s">
        <v>1799</v>
      </c>
      <c r="N626" t="s">
        <v>1799</v>
      </c>
      <c r="O626" s="184" t="str">
        <f>"["&amp;$C626&amp;"]["&amp;$D626&amp;"]["&amp;$F626&amp;"]"</f>
        <v>[S05_CategoryCHighestTierNotApplied][45][TierInPractice]</v>
      </c>
    </row>
    <row r="627" spans="1:15" x14ac:dyDescent="0.3">
      <c r="A627" t="s">
        <v>1793</v>
      </c>
      <c r="B627" t="s">
        <v>1985</v>
      </c>
      <c r="C627" t="s">
        <v>1986</v>
      </c>
      <c r="D627">
        <v>46</v>
      </c>
      <c r="E627" t="s">
        <v>1447</v>
      </c>
      <c r="F627" t="s">
        <v>2003</v>
      </c>
      <c r="G627" t="s">
        <v>1737</v>
      </c>
      <c r="H627" t="s">
        <v>1799</v>
      </c>
      <c r="I627" t="s">
        <v>1799</v>
      </c>
      <c r="J627" t="s">
        <v>1799</v>
      </c>
      <c r="K627" t="s">
        <v>1799</v>
      </c>
      <c r="L627" t="s">
        <v>1507</v>
      </c>
      <c r="M627" t="s">
        <v>1799</v>
      </c>
      <c r="N627" t="s">
        <v>1799</v>
      </c>
      <c r="O627" s="184" t="str">
        <f>"["&amp;$C627&amp;"]["&amp;$D627&amp;"]["&amp;$F627&amp;"]"</f>
        <v>[S05_CategoryCHighestTierNotApplied][46][TierInPractice]</v>
      </c>
    </row>
    <row r="628" spans="1:15" x14ac:dyDescent="0.3">
      <c r="A628" t="s">
        <v>1793</v>
      </c>
      <c r="B628" t="s">
        <v>1985</v>
      </c>
      <c r="C628" t="s">
        <v>1986</v>
      </c>
      <c r="D628">
        <v>47</v>
      </c>
      <c r="E628" t="s">
        <v>1447</v>
      </c>
      <c r="F628" t="s">
        <v>2003</v>
      </c>
      <c r="G628" t="s">
        <v>1737</v>
      </c>
      <c r="H628" t="s">
        <v>1799</v>
      </c>
      <c r="I628" t="s">
        <v>1799</v>
      </c>
      <c r="J628" t="s">
        <v>1799</v>
      </c>
      <c r="K628" t="s">
        <v>1799</v>
      </c>
      <c r="L628" t="s">
        <v>1507</v>
      </c>
      <c r="M628" t="s">
        <v>1799</v>
      </c>
      <c r="N628" t="s">
        <v>1799</v>
      </c>
      <c r="O628" s="184" t="str">
        <f>"["&amp;$C628&amp;"]["&amp;$D628&amp;"]["&amp;$F628&amp;"]"</f>
        <v>[S05_CategoryCHighestTierNotApplied][47][TierInPractice]</v>
      </c>
    </row>
    <row r="629" spans="1:15" x14ac:dyDescent="0.3">
      <c r="A629" t="s">
        <v>1793</v>
      </c>
      <c r="B629" t="s">
        <v>1985</v>
      </c>
      <c r="C629" t="s">
        <v>1986</v>
      </c>
      <c r="D629">
        <v>48</v>
      </c>
      <c r="E629" t="s">
        <v>1447</v>
      </c>
      <c r="F629" t="s">
        <v>2003</v>
      </c>
      <c r="G629" t="s">
        <v>1737</v>
      </c>
      <c r="H629" t="s">
        <v>1799</v>
      </c>
      <c r="I629" t="s">
        <v>1799</v>
      </c>
      <c r="J629" t="s">
        <v>1799</v>
      </c>
      <c r="K629" t="s">
        <v>1799</v>
      </c>
      <c r="L629" t="s">
        <v>1485</v>
      </c>
      <c r="M629" t="s">
        <v>1799</v>
      </c>
      <c r="N629" t="s">
        <v>1799</v>
      </c>
      <c r="O629" s="184" t="str">
        <f>"["&amp;$C629&amp;"]["&amp;$D629&amp;"]["&amp;$F629&amp;"]"</f>
        <v>[S05_CategoryCHighestTierNotApplied][48][TierInPractice]</v>
      </c>
    </row>
    <row r="630" spans="1:15" x14ac:dyDescent="0.3">
      <c r="A630" t="s">
        <v>1793</v>
      </c>
      <c r="B630" t="s">
        <v>1985</v>
      </c>
      <c r="C630" t="s">
        <v>1986</v>
      </c>
      <c r="D630">
        <v>49</v>
      </c>
      <c r="E630" t="s">
        <v>1447</v>
      </c>
      <c r="F630" t="s">
        <v>2003</v>
      </c>
      <c r="G630" t="s">
        <v>1737</v>
      </c>
      <c r="H630" t="s">
        <v>1799</v>
      </c>
      <c r="I630" t="s">
        <v>1799</v>
      </c>
      <c r="J630" t="s">
        <v>1799</v>
      </c>
      <c r="K630" t="s">
        <v>1799</v>
      </c>
      <c r="L630" t="s">
        <v>1522</v>
      </c>
      <c r="M630" t="s">
        <v>1799</v>
      </c>
      <c r="N630" t="s">
        <v>1799</v>
      </c>
      <c r="O630" s="184" t="str">
        <f>"["&amp;$C630&amp;"]["&amp;$D630&amp;"]["&amp;$F630&amp;"]"</f>
        <v>[S05_CategoryCHighestTierNotApplied][49][TierInPractice]</v>
      </c>
    </row>
    <row r="631" spans="1:15" x14ac:dyDescent="0.3">
      <c r="A631" t="s">
        <v>1793</v>
      </c>
      <c r="B631" t="s">
        <v>1985</v>
      </c>
      <c r="C631" t="s">
        <v>1986</v>
      </c>
      <c r="D631">
        <v>50</v>
      </c>
      <c r="E631" t="s">
        <v>1447</v>
      </c>
      <c r="F631" t="s">
        <v>2003</v>
      </c>
      <c r="G631" t="s">
        <v>1737</v>
      </c>
      <c r="H631" t="s">
        <v>1799</v>
      </c>
      <c r="I631" t="s">
        <v>1799</v>
      </c>
      <c r="J631" t="s">
        <v>1799</v>
      </c>
      <c r="K631" t="s">
        <v>1799</v>
      </c>
      <c r="L631" t="s">
        <v>1522</v>
      </c>
      <c r="M631" t="s">
        <v>1799</v>
      </c>
      <c r="N631" t="s">
        <v>1799</v>
      </c>
      <c r="O631" s="184" t="str">
        <f>"["&amp;$C631&amp;"]["&amp;$D631&amp;"]["&amp;$F631&amp;"]"</f>
        <v>[S05_CategoryCHighestTierNotApplied][50][TierInPractice]</v>
      </c>
    </row>
    <row r="632" spans="1:15" x14ac:dyDescent="0.3">
      <c r="A632" t="s">
        <v>1793</v>
      </c>
      <c r="B632" t="s">
        <v>1985</v>
      </c>
      <c r="C632" t="s">
        <v>1986</v>
      </c>
      <c r="D632">
        <v>51</v>
      </c>
      <c r="E632" t="s">
        <v>1447</v>
      </c>
      <c r="F632" t="s">
        <v>2003</v>
      </c>
      <c r="G632" t="s">
        <v>1737</v>
      </c>
      <c r="H632" t="s">
        <v>1799</v>
      </c>
      <c r="I632" t="s">
        <v>1799</v>
      </c>
      <c r="J632" t="s">
        <v>1799</v>
      </c>
      <c r="K632" t="s">
        <v>1799</v>
      </c>
      <c r="L632" t="s">
        <v>1522</v>
      </c>
      <c r="M632" t="s">
        <v>1799</v>
      </c>
      <c r="N632" t="s">
        <v>1799</v>
      </c>
      <c r="O632" s="184" t="str">
        <f>"["&amp;$C632&amp;"]["&amp;$D632&amp;"]["&amp;$F632&amp;"]"</f>
        <v>[S05_CategoryCHighestTierNotApplied][51][TierInPractice]</v>
      </c>
    </row>
    <row r="633" spans="1:15" x14ac:dyDescent="0.3">
      <c r="A633" t="s">
        <v>1793</v>
      </c>
      <c r="B633" t="s">
        <v>1985</v>
      </c>
      <c r="C633" t="s">
        <v>1986</v>
      </c>
      <c r="D633">
        <v>52</v>
      </c>
      <c r="E633" t="s">
        <v>1447</v>
      </c>
      <c r="F633" t="s">
        <v>2003</v>
      </c>
      <c r="G633" t="s">
        <v>1737</v>
      </c>
      <c r="H633" t="s">
        <v>1799</v>
      </c>
      <c r="I633" t="s">
        <v>1799</v>
      </c>
      <c r="J633" t="s">
        <v>1799</v>
      </c>
      <c r="K633" t="s">
        <v>1799</v>
      </c>
      <c r="L633" t="s">
        <v>1522</v>
      </c>
      <c r="M633" t="s">
        <v>1799</v>
      </c>
      <c r="N633" t="s">
        <v>1799</v>
      </c>
      <c r="O633" s="184" t="str">
        <f>"["&amp;$C633&amp;"]["&amp;$D633&amp;"]["&amp;$F633&amp;"]"</f>
        <v>[S05_CategoryCHighestTierNotApplied][52][TierInPractice]</v>
      </c>
    </row>
    <row r="634" spans="1:15" x14ac:dyDescent="0.3">
      <c r="A634" t="s">
        <v>1793</v>
      </c>
      <c r="B634" t="s">
        <v>1985</v>
      </c>
      <c r="C634" t="s">
        <v>1986</v>
      </c>
      <c r="D634">
        <v>53</v>
      </c>
      <c r="E634" t="s">
        <v>1447</v>
      </c>
      <c r="F634" t="s">
        <v>2003</v>
      </c>
      <c r="G634" t="s">
        <v>1737</v>
      </c>
      <c r="H634" t="s">
        <v>1799</v>
      </c>
      <c r="I634" t="s">
        <v>1799</v>
      </c>
      <c r="J634" t="s">
        <v>1799</v>
      </c>
      <c r="K634" t="s">
        <v>1799</v>
      </c>
      <c r="L634" t="s">
        <v>1522</v>
      </c>
      <c r="M634" t="s">
        <v>1799</v>
      </c>
      <c r="N634" t="s">
        <v>1799</v>
      </c>
      <c r="O634" s="184" t="str">
        <f>"["&amp;$C634&amp;"]["&amp;$D634&amp;"]["&amp;$F634&amp;"]"</f>
        <v>[S05_CategoryCHighestTierNotApplied][53][TierInPractice]</v>
      </c>
    </row>
    <row r="635" spans="1:15" x14ac:dyDescent="0.3">
      <c r="A635" t="s">
        <v>1793</v>
      </c>
      <c r="B635" t="s">
        <v>1985</v>
      </c>
      <c r="C635" t="s">
        <v>1986</v>
      </c>
      <c r="D635">
        <v>54</v>
      </c>
      <c r="E635" t="s">
        <v>1447</v>
      </c>
      <c r="F635" t="s">
        <v>2003</v>
      </c>
      <c r="G635" t="s">
        <v>1737</v>
      </c>
      <c r="H635" t="s">
        <v>1799</v>
      </c>
      <c r="I635" t="s">
        <v>1799</v>
      </c>
      <c r="J635" t="s">
        <v>1799</v>
      </c>
      <c r="K635" t="s">
        <v>1799</v>
      </c>
      <c r="L635" t="s">
        <v>1522</v>
      </c>
      <c r="M635" t="s">
        <v>1799</v>
      </c>
      <c r="N635" t="s">
        <v>1799</v>
      </c>
      <c r="O635" s="184" t="str">
        <f>"["&amp;$C635&amp;"]["&amp;$D635&amp;"]["&amp;$F635&amp;"]"</f>
        <v>[S05_CategoryCHighestTierNotApplied][54][TierInPractice]</v>
      </c>
    </row>
    <row r="636" spans="1:15" x14ac:dyDescent="0.3">
      <c r="A636" t="s">
        <v>1793</v>
      </c>
      <c r="B636" t="s">
        <v>1985</v>
      </c>
      <c r="C636" t="s">
        <v>1986</v>
      </c>
      <c r="D636">
        <v>55</v>
      </c>
      <c r="E636" t="s">
        <v>1447</v>
      </c>
      <c r="F636" t="s">
        <v>2003</v>
      </c>
      <c r="G636" t="s">
        <v>1737</v>
      </c>
      <c r="H636" t="s">
        <v>1799</v>
      </c>
      <c r="I636" t="s">
        <v>1799</v>
      </c>
      <c r="J636" t="s">
        <v>1799</v>
      </c>
      <c r="K636" t="s">
        <v>1799</v>
      </c>
      <c r="L636" t="s">
        <v>1507</v>
      </c>
      <c r="M636" t="s">
        <v>1799</v>
      </c>
      <c r="N636" t="s">
        <v>1799</v>
      </c>
      <c r="O636" s="184" t="str">
        <f>"["&amp;$C636&amp;"]["&amp;$D636&amp;"]["&amp;$F636&amp;"]"</f>
        <v>[S05_CategoryCHighestTierNotApplied][55][TierInPractice]</v>
      </c>
    </row>
    <row r="637" spans="1:15" x14ac:dyDescent="0.3">
      <c r="A637" t="s">
        <v>1793</v>
      </c>
      <c r="B637" t="s">
        <v>2004</v>
      </c>
      <c r="C637" t="s">
        <v>2005</v>
      </c>
      <c r="D637">
        <v>1</v>
      </c>
      <c r="E637" t="s">
        <v>1447</v>
      </c>
      <c r="F637" t="s">
        <v>2006</v>
      </c>
      <c r="G637" t="s">
        <v>1737</v>
      </c>
      <c r="H637" t="s">
        <v>1799</v>
      </c>
      <c r="I637" t="s">
        <v>1799</v>
      </c>
      <c r="J637" t="s">
        <v>1799</v>
      </c>
      <c r="K637" t="s">
        <v>1799</v>
      </c>
      <c r="L637" t="s">
        <v>1458</v>
      </c>
      <c r="M637" t="s">
        <v>1799</v>
      </c>
      <c r="N637" t="s">
        <v>1799</v>
      </c>
      <c r="O637" s="184" t="str">
        <f>"["&amp;$C637&amp;"]["&amp;$D637&amp;"]["&amp;$F637&amp;"]"</f>
        <v>[S05_CategoryBHighestTierNotApplied][1][MonitoringMethodology]</v>
      </c>
    </row>
    <row r="638" spans="1:15" x14ac:dyDescent="0.3">
      <c r="A638" t="s">
        <v>1793</v>
      </c>
      <c r="B638" t="s">
        <v>2004</v>
      </c>
      <c r="C638" t="s">
        <v>2005</v>
      </c>
      <c r="D638">
        <v>2</v>
      </c>
      <c r="E638" t="s">
        <v>1447</v>
      </c>
      <c r="F638" t="s">
        <v>2006</v>
      </c>
      <c r="G638" t="s">
        <v>1737</v>
      </c>
      <c r="H638" t="s">
        <v>1799</v>
      </c>
      <c r="I638" t="s">
        <v>1799</v>
      </c>
      <c r="J638" t="s">
        <v>1799</v>
      </c>
      <c r="K638" t="s">
        <v>1799</v>
      </c>
      <c r="L638" t="s">
        <v>1430</v>
      </c>
      <c r="M638" t="s">
        <v>1799</v>
      </c>
      <c r="N638" t="s">
        <v>1799</v>
      </c>
      <c r="O638" s="184" t="str">
        <f>"["&amp;$C638&amp;"]["&amp;$D638&amp;"]["&amp;$F638&amp;"]"</f>
        <v>[S05_CategoryBHighestTierNotApplied][2][MonitoringMethodology]</v>
      </c>
    </row>
    <row r="639" spans="1:15" x14ac:dyDescent="0.3">
      <c r="A639" t="s">
        <v>1793</v>
      </c>
      <c r="B639" t="s">
        <v>2004</v>
      </c>
      <c r="C639" t="s">
        <v>2005</v>
      </c>
      <c r="D639">
        <v>3</v>
      </c>
      <c r="E639" t="s">
        <v>1447</v>
      </c>
      <c r="F639" t="s">
        <v>2006</v>
      </c>
      <c r="G639" t="s">
        <v>1737</v>
      </c>
      <c r="H639" t="s">
        <v>1799</v>
      </c>
      <c r="I639" t="s">
        <v>1799</v>
      </c>
      <c r="J639" t="s">
        <v>1799</v>
      </c>
      <c r="K639" t="s">
        <v>1799</v>
      </c>
      <c r="L639" t="s">
        <v>1430</v>
      </c>
      <c r="M639" t="s">
        <v>1799</v>
      </c>
      <c r="N639" t="s">
        <v>1799</v>
      </c>
      <c r="O639" s="184" t="str">
        <f>"["&amp;$C639&amp;"]["&amp;$D639&amp;"]["&amp;$F639&amp;"]"</f>
        <v>[S05_CategoryBHighestTierNotApplied][3][MonitoringMethodology]</v>
      </c>
    </row>
    <row r="640" spans="1:15" x14ac:dyDescent="0.3">
      <c r="A640" t="s">
        <v>1793</v>
      </c>
      <c r="B640" t="s">
        <v>2004</v>
      </c>
      <c r="C640" t="s">
        <v>2005</v>
      </c>
      <c r="D640">
        <v>4</v>
      </c>
      <c r="E640" t="s">
        <v>1447</v>
      </c>
      <c r="F640" t="s">
        <v>2006</v>
      </c>
      <c r="G640" t="s">
        <v>1737</v>
      </c>
      <c r="H640" t="s">
        <v>1799</v>
      </c>
      <c r="I640" t="s">
        <v>1799</v>
      </c>
      <c r="J640" t="s">
        <v>1799</v>
      </c>
      <c r="K640" t="s">
        <v>1799</v>
      </c>
      <c r="L640" t="s">
        <v>1430</v>
      </c>
      <c r="M640" t="s">
        <v>1799</v>
      </c>
      <c r="N640" t="s">
        <v>1799</v>
      </c>
      <c r="O640" s="184" t="str">
        <f>"["&amp;$C640&amp;"]["&amp;$D640&amp;"]["&amp;$F640&amp;"]"</f>
        <v>[S05_CategoryBHighestTierNotApplied][4][MonitoringMethodology]</v>
      </c>
    </row>
    <row r="641" spans="1:15" x14ac:dyDescent="0.3">
      <c r="A641" t="s">
        <v>1793</v>
      </c>
      <c r="B641" t="s">
        <v>2004</v>
      </c>
      <c r="C641" t="s">
        <v>2005</v>
      </c>
      <c r="D641">
        <v>5</v>
      </c>
      <c r="E641" t="s">
        <v>1447</v>
      </c>
      <c r="F641" t="s">
        <v>2006</v>
      </c>
      <c r="G641" t="s">
        <v>1737</v>
      </c>
      <c r="H641" t="s">
        <v>1799</v>
      </c>
      <c r="I641" t="s">
        <v>1799</v>
      </c>
      <c r="J641" t="s">
        <v>1799</v>
      </c>
      <c r="K641" t="s">
        <v>1799</v>
      </c>
      <c r="L641" t="s">
        <v>1430</v>
      </c>
      <c r="M641" t="s">
        <v>1799</v>
      </c>
      <c r="N641" t="s">
        <v>1799</v>
      </c>
      <c r="O641" s="184" t="str">
        <f>"["&amp;$C641&amp;"]["&amp;$D641&amp;"]["&amp;$F641&amp;"]"</f>
        <v>[S05_CategoryBHighestTierNotApplied][5][MonitoringMethodology]</v>
      </c>
    </row>
    <row r="642" spans="1:15" x14ac:dyDescent="0.3">
      <c r="A642" t="s">
        <v>1793</v>
      </c>
      <c r="B642" t="s">
        <v>2004</v>
      </c>
      <c r="C642" t="s">
        <v>2005</v>
      </c>
      <c r="D642">
        <v>6</v>
      </c>
      <c r="E642" t="s">
        <v>1447</v>
      </c>
      <c r="F642" t="s">
        <v>2006</v>
      </c>
      <c r="G642" t="s">
        <v>1737</v>
      </c>
      <c r="H642" t="s">
        <v>1799</v>
      </c>
      <c r="I642" t="s">
        <v>1799</v>
      </c>
      <c r="J642" t="s">
        <v>1799</v>
      </c>
      <c r="K642" t="s">
        <v>1799</v>
      </c>
      <c r="L642" t="s">
        <v>1430</v>
      </c>
      <c r="M642" t="s">
        <v>1799</v>
      </c>
      <c r="N642" t="s">
        <v>1799</v>
      </c>
      <c r="O642" s="184" t="str">
        <f>"["&amp;$C642&amp;"]["&amp;$D642&amp;"]["&amp;$F642&amp;"]"</f>
        <v>[S05_CategoryBHighestTierNotApplied][6][MonitoringMethodology]</v>
      </c>
    </row>
    <row r="643" spans="1:15" x14ac:dyDescent="0.3">
      <c r="A643" t="s">
        <v>1793</v>
      </c>
      <c r="B643" t="s">
        <v>2004</v>
      </c>
      <c r="C643" t="s">
        <v>2005</v>
      </c>
      <c r="D643">
        <v>7</v>
      </c>
      <c r="E643" t="s">
        <v>1447</v>
      </c>
      <c r="F643" t="s">
        <v>2006</v>
      </c>
      <c r="G643" t="s">
        <v>1737</v>
      </c>
      <c r="H643" t="s">
        <v>1799</v>
      </c>
      <c r="I643" t="s">
        <v>1799</v>
      </c>
      <c r="J643" t="s">
        <v>1799</v>
      </c>
      <c r="K643" t="s">
        <v>1799</v>
      </c>
      <c r="L643" t="s">
        <v>1430</v>
      </c>
      <c r="M643" t="s">
        <v>1799</v>
      </c>
      <c r="N643" t="s">
        <v>1799</v>
      </c>
      <c r="O643" s="184" t="str">
        <f>"["&amp;$C643&amp;"]["&amp;$D643&amp;"]["&amp;$F643&amp;"]"</f>
        <v>[S05_CategoryBHighestTierNotApplied][7][MonitoringMethodology]</v>
      </c>
    </row>
    <row r="644" spans="1:15" x14ac:dyDescent="0.3">
      <c r="A644" t="s">
        <v>1793</v>
      </c>
      <c r="B644" t="s">
        <v>2004</v>
      </c>
      <c r="C644" t="s">
        <v>2005</v>
      </c>
      <c r="D644">
        <v>8</v>
      </c>
      <c r="E644" t="s">
        <v>1447</v>
      </c>
      <c r="F644" t="s">
        <v>2006</v>
      </c>
      <c r="G644" t="s">
        <v>1737</v>
      </c>
      <c r="H644" t="s">
        <v>1799</v>
      </c>
      <c r="I644" t="s">
        <v>1799</v>
      </c>
      <c r="J644" t="s">
        <v>1799</v>
      </c>
      <c r="K644" t="s">
        <v>1799</v>
      </c>
      <c r="L644" t="s">
        <v>1430</v>
      </c>
      <c r="M644" t="s">
        <v>1799</v>
      </c>
      <c r="N644" t="s">
        <v>1799</v>
      </c>
      <c r="O644" s="184" t="str">
        <f>"["&amp;$C644&amp;"]["&amp;$D644&amp;"]["&amp;$F644&amp;"]"</f>
        <v>[S05_CategoryBHighestTierNotApplied][8][MonitoringMethodology]</v>
      </c>
    </row>
    <row r="645" spans="1:15" x14ac:dyDescent="0.3">
      <c r="A645" t="s">
        <v>1793</v>
      </c>
      <c r="B645" t="s">
        <v>2004</v>
      </c>
      <c r="C645" t="s">
        <v>2005</v>
      </c>
      <c r="D645">
        <v>9</v>
      </c>
      <c r="E645" t="s">
        <v>1447</v>
      </c>
      <c r="F645" t="s">
        <v>2006</v>
      </c>
      <c r="G645" t="s">
        <v>1737</v>
      </c>
      <c r="H645" t="s">
        <v>1799</v>
      </c>
      <c r="I645" t="s">
        <v>1799</v>
      </c>
      <c r="J645" t="s">
        <v>1799</v>
      </c>
      <c r="K645" t="s">
        <v>1799</v>
      </c>
      <c r="L645" t="s">
        <v>1430</v>
      </c>
      <c r="M645" t="s">
        <v>1799</v>
      </c>
      <c r="N645" t="s">
        <v>1799</v>
      </c>
      <c r="O645" s="184" t="str">
        <f>"["&amp;$C645&amp;"]["&amp;$D645&amp;"]["&amp;$F645&amp;"]"</f>
        <v>[S05_CategoryBHighestTierNotApplied][9][MonitoringMethodology]</v>
      </c>
    </row>
    <row r="646" spans="1:15" x14ac:dyDescent="0.3">
      <c r="A646" t="s">
        <v>1793</v>
      </c>
      <c r="B646" t="s">
        <v>2004</v>
      </c>
      <c r="C646" t="s">
        <v>2005</v>
      </c>
      <c r="D646">
        <v>10</v>
      </c>
      <c r="E646" t="s">
        <v>1447</v>
      </c>
      <c r="F646" t="s">
        <v>2006</v>
      </c>
      <c r="G646" t="s">
        <v>1737</v>
      </c>
      <c r="H646" t="s">
        <v>1799</v>
      </c>
      <c r="I646" t="s">
        <v>1799</v>
      </c>
      <c r="J646" t="s">
        <v>1799</v>
      </c>
      <c r="K646" t="s">
        <v>1799</v>
      </c>
      <c r="L646" t="s">
        <v>1430</v>
      </c>
      <c r="M646" t="s">
        <v>1799</v>
      </c>
      <c r="N646" t="s">
        <v>1799</v>
      </c>
      <c r="O646" s="184" t="str">
        <f>"["&amp;$C646&amp;"]["&amp;$D646&amp;"]["&amp;$F646&amp;"]"</f>
        <v>[S05_CategoryBHighestTierNotApplied][10][MonitoringMethodology]</v>
      </c>
    </row>
    <row r="647" spans="1:15" x14ac:dyDescent="0.3">
      <c r="A647" t="s">
        <v>1793</v>
      </c>
      <c r="B647" t="s">
        <v>2004</v>
      </c>
      <c r="C647" t="s">
        <v>2005</v>
      </c>
      <c r="D647">
        <v>11</v>
      </c>
      <c r="E647" t="s">
        <v>1447</v>
      </c>
      <c r="F647" t="s">
        <v>2006</v>
      </c>
      <c r="G647" t="s">
        <v>1737</v>
      </c>
      <c r="H647" t="s">
        <v>1799</v>
      </c>
      <c r="I647" t="s">
        <v>1799</v>
      </c>
      <c r="J647" t="s">
        <v>1799</v>
      </c>
      <c r="K647" t="s">
        <v>1799</v>
      </c>
      <c r="L647" t="s">
        <v>1430</v>
      </c>
      <c r="M647" t="s">
        <v>1799</v>
      </c>
      <c r="N647" t="s">
        <v>1799</v>
      </c>
      <c r="O647" s="184" t="str">
        <f>"["&amp;$C647&amp;"]["&amp;$D647&amp;"]["&amp;$F647&amp;"]"</f>
        <v>[S05_CategoryBHighestTierNotApplied][11][MonitoringMethodology]</v>
      </c>
    </row>
    <row r="648" spans="1:15" x14ac:dyDescent="0.3">
      <c r="A648" t="s">
        <v>1793</v>
      </c>
      <c r="B648" t="s">
        <v>2004</v>
      </c>
      <c r="C648" t="s">
        <v>2005</v>
      </c>
      <c r="D648">
        <v>1</v>
      </c>
      <c r="E648" t="s">
        <v>1447</v>
      </c>
      <c r="F648" t="s">
        <v>2007</v>
      </c>
      <c r="G648" t="s">
        <v>1737</v>
      </c>
      <c r="H648" t="s">
        <v>1799</v>
      </c>
      <c r="I648" t="s">
        <v>1799</v>
      </c>
      <c r="J648" t="s">
        <v>1799</v>
      </c>
      <c r="K648" t="s">
        <v>1799</v>
      </c>
      <c r="L648" t="s">
        <v>1607</v>
      </c>
      <c r="M648" t="s">
        <v>1799</v>
      </c>
      <c r="N648" t="s">
        <v>1799</v>
      </c>
      <c r="O648" s="184" t="str">
        <f>"["&amp;$C648&amp;"]["&amp;$D648&amp;"]["&amp;$F648&amp;"]"</f>
        <v>[S05_CategoryBHighestTierNotApplied][1][CategoryBMainActivity]</v>
      </c>
    </row>
    <row r="649" spans="1:15" x14ac:dyDescent="0.3">
      <c r="A649" t="s">
        <v>1793</v>
      </c>
      <c r="B649" t="s">
        <v>2004</v>
      </c>
      <c r="C649" t="s">
        <v>2005</v>
      </c>
      <c r="D649">
        <v>2</v>
      </c>
      <c r="E649" t="s">
        <v>1447</v>
      </c>
      <c r="F649" t="s">
        <v>2007</v>
      </c>
      <c r="G649" t="s">
        <v>1737</v>
      </c>
      <c r="H649" t="s">
        <v>1799</v>
      </c>
      <c r="I649" t="s">
        <v>1799</v>
      </c>
      <c r="J649" t="s">
        <v>1799</v>
      </c>
      <c r="K649" t="s">
        <v>1799</v>
      </c>
      <c r="L649" t="s">
        <v>1420</v>
      </c>
      <c r="M649" t="s">
        <v>1799</v>
      </c>
      <c r="N649" t="s">
        <v>1799</v>
      </c>
      <c r="O649" s="184" t="str">
        <f>"["&amp;$C649&amp;"]["&amp;$D649&amp;"]["&amp;$F649&amp;"]"</f>
        <v>[S05_CategoryBHighestTierNotApplied][2][CategoryBMainActivity]</v>
      </c>
    </row>
    <row r="650" spans="1:15" x14ac:dyDescent="0.3">
      <c r="A650" t="s">
        <v>1793</v>
      </c>
      <c r="B650" t="s">
        <v>2004</v>
      </c>
      <c r="C650" t="s">
        <v>2005</v>
      </c>
      <c r="D650">
        <v>3</v>
      </c>
      <c r="E650" t="s">
        <v>1447</v>
      </c>
      <c r="F650" t="s">
        <v>2007</v>
      </c>
      <c r="G650" t="s">
        <v>1737</v>
      </c>
      <c r="H650" t="s">
        <v>1799</v>
      </c>
      <c r="I650" t="s">
        <v>1799</v>
      </c>
      <c r="J650" t="s">
        <v>1799</v>
      </c>
      <c r="K650" t="s">
        <v>1799</v>
      </c>
      <c r="L650" t="s">
        <v>1626</v>
      </c>
      <c r="M650" t="s">
        <v>1799</v>
      </c>
      <c r="N650" t="s">
        <v>1799</v>
      </c>
      <c r="O650" s="184" t="str">
        <f>"["&amp;$C650&amp;"]["&amp;$D650&amp;"]["&amp;$F650&amp;"]"</f>
        <v>[S05_CategoryBHighestTierNotApplied][3][CategoryBMainActivity]</v>
      </c>
    </row>
    <row r="651" spans="1:15" x14ac:dyDescent="0.3">
      <c r="A651" t="s">
        <v>1793</v>
      </c>
      <c r="B651" t="s">
        <v>2004</v>
      </c>
      <c r="C651" t="s">
        <v>2005</v>
      </c>
      <c r="D651">
        <v>4</v>
      </c>
      <c r="E651" t="s">
        <v>1447</v>
      </c>
      <c r="F651" t="s">
        <v>2007</v>
      </c>
      <c r="G651" t="s">
        <v>1737</v>
      </c>
      <c r="H651" t="s">
        <v>1799</v>
      </c>
      <c r="I651" t="s">
        <v>1799</v>
      </c>
      <c r="J651" t="s">
        <v>1799</v>
      </c>
      <c r="K651" t="s">
        <v>1799</v>
      </c>
      <c r="L651" t="s">
        <v>1562</v>
      </c>
      <c r="M651" t="s">
        <v>1799</v>
      </c>
      <c r="N651" t="s">
        <v>1799</v>
      </c>
      <c r="O651" s="184" t="str">
        <f>"["&amp;$C651&amp;"]["&amp;$D651&amp;"]["&amp;$F651&amp;"]"</f>
        <v>[S05_CategoryBHighestTierNotApplied][4][CategoryBMainActivity]</v>
      </c>
    </row>
    <row r="652" spans="1:15" x14ac:dyDescent="0.3">
      <c r="A652" t="s">
        <v>1793</v>
      </c>
      <c r="B652" t="s">
        <v>2004</v>
      </c>
      <c r="C652" t="s">
        <v>2005</v>
      </c>
      <c r="D652">
        <v>5</v>
      </c>
      <c r="E652" t="s">
        <v>1447</v>
      </c>
      <c r="F652" t="s">
        <v>2007</v>
      </c>
      <c r="G652" t="s">
        <v>1737</v>
      </c>
      <c r="H652" t="s">
        <v>1799</v>
      </c>
      <c r="I652" t="s">
        <v>1799</v>
      </c>
      <c r="J652" t="s">
        <v>1799</v>
      </c>
      <c r="K652" t="s">
        <v>1799</v>
      </c>
      <c r="L652" t="s">
        <v>1568</v>
      </c>
      <c r="M652" t="s">
        <v>1799</v>
      </c>
      <c r="N652" t="s">
        <v>1799</v>
      </c>
      <c r="O652" s="184" t="str">
        <f>"["&amp;$C652&amp;"]["&amp;$D652&amp;"]["&amp;$F652&amp;"]"</f>
        <v>[S05_CategoryBHighestTierNotApplied][5][CategoryBMainActivity]</v>
      </c>
    </row>
    <row r="653" spans="1:15" x14ac:dyDescent="0.3">
      <c r="A653" t="s">
        <v>1793</v>
      </c>
      <c r="B653" t="s">
        <v>2004</v>
      </c>
      <c r="C653" t="s">
        <v>2005</v>
      </c>
      <c r="D653">
        <v>6</v>
      </c>
      <c r="E653" t="s">
        <v>1447</v>
      </c>
      <c r="F653" t="s">
        <v>2007</v>
      </c>
      <c r="G653" t="s">
        <v>1737</v>
      </c>
      <c r="H653" t="s">
        <v>1799</v>
      </c>
      <c r="I653" t="s">
        <v>1799</v>
      </c>
      <c r="J653" t="s">
        <v>1799</v>
      </c>
      <c r="K653" t="s">
        <v>1799</v>
      </c>
      <c r="L653" t="s">
        <v>1518</v>
      </c>
      <c r="M653" t="s">
        <v>1799</v>
      </c>
      <c r="N653" t="s">
        <v>1799</v>
      </c>
      <c r="O653" s="184" t="str">
        <f>"["&amp;$C653&amp;"]["&amp;$D653&amp;"]["&amp;$F653&amp;"]"</f>
        <v>[S05_CategoryBHighestTierNotApplied][6][CategoryBMainActivity]</v>
      </c>
    </row>
    <row r="654" spans="1:15" x14ac:dyDescent="0.3">
      <c r="A654" t="s">
        <v>1793</v>
      </c>
      <c r="B654" t="s">
        <v>2004</v>
      </c>
      <c r="C654" t="s">
        <v>2005</v>
      </c>
      <c r="D654">
        <v>7</v>
      </c>
      <c r="E654" t="s">
        <v>1447</v>
      </c>
      <c r="F654" t="s">
        <v>2007</v>
      </c>
      <c r="G654" t="s">
        <v>1737</v>
      </c>
      <c r="H654" t="s">
        <v>1799</v>
      </c>
      <c r="I654" t="s">
        <v>1799</v>
      </c>
      <c r="J654" t="s">
        <v>1799</v>
      </c>
      <c r="K654" t="s">
        <v>1799</v>
      </c>
      <c r="L654" t="s">
        <v>1540</v>
      </c>
      <c r="M654" t="s">
        <v>1799</v>
      </c>
      <c r="N654" t="s">
        <v>1799</v>
      </c>
      <c r="O654" s="184" t="str">
        <f>"["&amp;$C654&amp;"]["&amp;$D654&amp;"]["&amp;$F654&amp;"]"</f>
        <v>[S05_CategoryBHighestTierNotApplied][7][CategoryBMainActivity]</v>
      </c>
    </row>
    <row r="655" spans="1:15" x14ac:dyDescent="0.3">
      <c r="A655" t="s">
        <v>1793</v>
      </c>
      <c r="B655" t="s">
        <v>2004</v>
      </c>
      <c r="C655" t="s">
        <v>2005</v>
      </c>
      <c r="D655">
        <v>8</v>
      </c>
      <c r="E655" t="s">
        <v>1447</v>
      </c>
      <c r="F655" t="s">
        <v>2007</v>
      </c>
      <c r="G655" t="s">
        <v>1737</v>
      </c>
      <c r="H655" t="s">
        <v>1799</v>
      </c>
      <c r="I655" t="s">
        <v>1799</v>
      </c>
      <c r="J655" t="s">
        <v>1799</v>
      </c>
      <c r="K655" t="s">
        <v>1799</v>
      </c>
      <c r="L655" t="s">
        <v>1592</v>
      </c>
      <c r="M655" t="s">
        <v>1799</v>
      </c>
      <c r="N655" t="s">
        <v>1799</v>
      </c>
      <c r="O655" s="184" t="str">
        <f>"["&amp;$C655&amp;"]["&amp;$D655&amp;"]["&amp;$F655&amp;"]"</f>
        <v>[S05_CategoryBHighestTierNotApplied][8][CategoryBMainActivity]</v>
      </c>
    </row>
    <row r="656" spans="1:15" x14ac:dyDescent="0.3">
      <c r="A656" t="s">
        <v>1793</v>
      </c>
      <c r="B656" t="s">
        <v>2004</v>
      </c>
      <c r="C656" t="s">
        <v>2005</v>
      </c>
      <c r="D656">
        <v>9</v>
      </c>
      <c r="E656" t="s">
        <v>1447</v>
      </c>
      <c r="F656" t="s">
        <v>2007</v>
      </c>
      <c r="G656" t="s">
        <v>1737</v>
      </c>
      <c r="H656" t="s">
        <v>1799</v>
      </c>
      <c r="I656" t="s">
        <v>1799</v>
      </c>
      <c r="J656" t="s">
        <v>1799</v>
      </c>
      <c r="K656" t="s">
        <v>1799</v>
      </c>
      <c r="L656" t="s">
        <v>1530</v>
      </c>
      <c r="M656" t="s">
        <v>1799</v>
      </c>
      <c r="N656" t="s">
        <v>1799</v>
      </c>
      <c r="O656" s="184" t="str">
        <f>"["&amp;$C656&amp;"]["&amp;$D656&amp;"]["&amp;$F656&amp;"]"</f>
        <v>[S05_CategoryBHighestTierNotApplied][9][CategoryBMainActivity]</v>
      </c>
    </row>
    <row r="657" spans="1:15" x14ac:dyDescent="0.3">
      <c r="A657" t="s">
        <v>1793</v>
      </c>
      <c r="B657" t="s">
        <v>2004</v>
      </c>
      <c r="C657" t="s">
        <v>2005</v>
      </c>
      <c r="D657">
        <v>10</v>
      </c>
      <c r="E657" t="s">
        <v>1447</v>
      </c>
      <c r="F657" t="s">
        <v>2007</v>
      </c>
      <c r="G657" t="s">
        <v>1737</v>
      </c>
      <c r="H657" t="s">
        <v>1799</v>
      </c>
      <c r="I657" t="s">
        <v>1799</v>
      </c>
      <c r="J657" t="s">
        <v>1799</v>
      </c>
      <c r="K657" t="s">
        <v>1799</v>
      </c>
      <c r="L657" t="s">
        <v>1557</v>
      </c>
      <c r="M657" t="s">
        <v>1799</v>
      </c>
      <c r="N657" t="s">
        <v>1799</v>
      </c>
      <c r="O657" s="184" t="str">
        <f>"["&amp;$C657&amp;"]["&amp;$D657&amp;"]["&amp;$F657&amp;"]"</f>
        <v>[S05_CategoryBHighestTierNotApplied][10][CategoryBMainActivity]</v>
      </c>
    </row>
    <row r="658" spans="1:15" x14ac:dyDescent="0.3">
      <c r="A658" t="s">
        <v>1793</v>
      </c>
      <c r="B658" t="s">
        <v>2004</v>
      </c>
      <c r="C658" t="s">
        <v>2005</v>
      </c>
      <c r="D658">
        <v>11</v>
      </c>
      <c r="E658" t="s">
        <v>1447</v>
      </c>
      <c r="F658" t="s">
        <v>2007</v>
      </c>
      <c r="G658" t="s">
        <v>1737</v>
      </c>
      <c r="H658" t="s">
        <v>1799</v>
      </c>
      <c r="I658" t="s">
        <v>1799</v>
      </c>
      <c r="J658" t="s">
        <v>1799</v>
      </c>
      <c r="K658" t="s">
        <v>1799</v>
      </c>
      <c r="L658" t="s">
        <v>1448</v>
      </c>
      <c r="M658" t="s">
        <v>1799</v>
      </c>
      <c r="N658" t="s">
        <v>1799</v>
      </c>
      <c r="O658" s="184" t="str">
        <f>"["&amp;$C658&amp;"]["&amp;$D658&amp;"]["&amp;$F658&amp;"]"</f>
        <v>[S05_CategoryBHighestTierNotApplied][11][CategoryBMainActivity]</v>
      </c>
    </row>
    <row r="659" spans="1:15" x14ac:dyDescent="0.3">
      <c r="A659" t="s">
        <v>1793</v>
      </c>
      <c r="B659" t="s">
        <v>2004</v>
      </c>
      <c r="C659" t="s">
        <v>2005</v>
      </c>
      <c r="D659">
        <v>1</v>
      </c>
      <c r="E659" t="s">
        <v>1447</v>
      </c>
      <c r="F659" t="s">
        <v>2008</v>
      </c>
      <c r="G659" t="s">
        <v>1811</v>
      </c>
      <c r="H659" t="s">
        <v>1799</v>
      </c>
      <c r="I659">
        <v>0</v>
      </c>
      <c r="J659" t="s">
        <v>1799</v>
      </c>
      <c r="K659" t="s">
        <v>1799</v>
      </c>
      <c r="L659" t="s">
        <v>1799</v>
      </c>
      <c r="M659" t="s">
        <v>1799</v>
      </c>
      <c r="N659" t="s">
        <v>1799</v>
      </c>
      <c r="O659" s="184" t="str">
        <f>"["&amp;$C659&amp;"]["&amp;$D659&amp;"]["&amp;$F659&amp;"]"</f>
        <v>[S05_CategoryBHighestTierNotApplied][1][CategoryBInstallationsAffected]</v>
      </c>
    </row>
    <row r="660" spans="1:15" x14ac:dyDescent="0.3">
      <c r="A660" t="s">
        <v>1793</v>
      </c>
      <c r="B660" t="s">
        <v>2004</v>
      </c>
      <c r="C660" t="s">
        <v>2005</v>
      </c>
      <c r="D660">
        <v>2</v>
      </c>
      <c r="E660" t="s">
        <v>1447</v>
      </c>
      <c r="F660" t="s">
        <v>2008</v>
      </c>
      <c r="G660" t="s">
        <v>1811</v>
      </c>
      <c r="H660" t="s">
        <v>1799</v>
      </c>
      <c r="I660">
        <v>32</v>
      </c>
      <c r="J660" t="s">
        <v>1799</v>
      </c>
      <c r="K660" t="s">
        <v>1799</v>
      </c>
      <c r="L660" t="s">
        <v>1799</v>
      </c>
      <c r="M660" t="s">
        <v>1799</v>
      </c>
      <c r="N660" t="s">
        <v>1799</v>
      </c>
      <c r="O660" s="184" t="str">
        <f>"["&amp;$C660&amp;"]["&amp;$D660&amp;"]["&amp;$F660&amp;"]"</f>
        <v>[S05_CategoryBHighestTierNotApplied][2][CategoryBInstallationsAffected]</v>
      </c>
    </row>
    <row r="661" spans="1:15" x14ac:dyDescent="0.3">
      <c r="A661" t="s">
        <v>1793</v>
      </c>
      <c r="B661" t="s">
        <v>2004</v>
      </c>
      <c r="C661" t="s">
        <v>2005</v>
      </c>
      <c r="D661">
        <v>3</v>
      </c>
      <c r="E661" t="s">
        <v>1447</v>
      </c>
      <c r="F661" t="s">
        <v>2008</v>
      </c>
      <c r="G661" t="s">
        <v>1811</v>
      </c>
      <c r="H661" t="s">
        <v>1799</v>
      </c>
      <c r="I661">
        <v>1</v>
      </c>
      <c r="J661" t="s">
        <v>1799</v>
      </c>
      <c r="K661" t="s">
        <v>1799</v>
      </c>
      <c r="L661" t="s">
        <v>1799</v>
      </c>
      <c r="M661" t="s">
        <v>1799</v>
      </c>
      <c r="N661" t="s">
        <v>1799</v>
      </c>
      <c r="O661" s="184" t="str">
        <f>"["&amp;$C661&amp;"]["&amp;$D661&amp;"]["&amp;$F661&amp;"]"</f>
        <v>[S05_CategoryBHighestTierNotApplied][3][CategoryBInstallationsAffected]</v>
      </c>
    </row>
    <row r="662" spans="1:15" x14ac:dyDescent="0.3">
      <c r="A662" t="s">
        <v>1793</v>
      </c>
      <c r="B662" t="s">
        <v>2004</v>
      </c>
      <c r="C662" t="s">
        <v>2005</v>
      </c>
      <c r="D662">
        <v>4</v>
      </c>
      <c r="E662" t="s">
        <v>1447</v>
      </c>
      <c r="F662" t="s">
        <v>2008</v>
      </c>
      <c r="G662" t="s">
        <v>1811</v>
      </c>
      <c r="H662" t="s">
        <v>1799</v>
      </c>
      <c r="I662">
        <v>0</v>
      </c>
      <c r="J662" t="s">
        <v>1799</v>
      </c>
      <c r="K662" t="s">
        <v>1799</v>
      </c>
      <c r="L662" t="s">
        <v>1799</v>
      </c>
      <c r="M662" t="s">
        <v>1799</v>
      </c>
      <c r="N662" t="s">
        <v>1799</v>
      </c>
      <c r="O662" s="184" t="str">
        <f>"["&amp;$C662&amp;"]["&amp;$D662&amp;"]["&amp;$F662&amp;"]"</f>
        <v>[S05_CategoryBHighestTierNotApplied][4][CategoryBInstallationsAffected]</v>
      </c>
    </row>
    <row r="663" spans="1:15" x14ac:dyDescent="0.3">
      <c r="A663" t="s">
        <v>1793</v>
      </c>
      <c r="B663" t="s">
        <v>2004</v>
      </c>
      <c r="C663" t="s">
        <v>2005</v>
      </c>
      <c r="D663">
        <v>5</v>
      </c>
      <c r="E663" t="s">
        <v>1447</v>
      </c>
      <c r="F663" t="s">
        <v>2008</v>
      </c>
      <c r="G663" t="s">
        <v>1811</v>
      </c>
      <c r="H663" t="s">
        <v>1799</v>
      </c>
      <c r="I663">
        <v>2</v>
      </c>
      <c r="J663" t="s">
        <v>1799</v>
      </c>
      <c r="K663" t="s">
        <v>1799</v>
      </c>
      <c r="L663" t="s">
        <v>1799</v>
      </c>
      <c r="M663" t="s">
        <v>1799</v>
      </c>
      <c r="N663" t="s">
        <v>1799</v>
      </c>
      <c r="O663" s="184" t="str">
        <f>"["&amp;$C663&amp;"]["&amp;$D663&amp;"]["&amp;$F663&amp;"]"</f>
        <v>[S05_CategoryBHighestTierNotApplied][5][CategoryBInstallationsAffected]</v>
      </c>
    </row>
    <row r="664" spans="1:15" x14ac:dyDescent="0.3">
      <c r="A664" t="s">
        <v>1793</v>
      </c>
      <c r="B664" t="s">
        <v>2004</v>
      </c>
      <c r="C664" t="s">
        <v>2005</v>
      </c>
      <c r="D664">
        <v>6</v>
      </c>
      <c r="E664" t="s">
        <v>1447</v>
      </c>
      <c r="F664" t="s">
        <v>2008</v>
      </c>
      <c r="G664" t="s">
        <v>1811</v>
      </c>
      <c r="H664" t="s">
        <v>1799</v>
      </c>
      <c r="I664">
        <v>1</v>
      </c>
      <c r="J664" t="s">
        <v>1799</v>
      </c>
      <c r="K664" t="s">
        <v>1799</v>
      </c>
      <c r="L664" t="s">
        <v>1799</v>
      </c>
      <c r="M664" t="s">
        <v>1799</v>
      </c>
      <c r="N664" t="s">
        <v>1799</v>
      </c>
      <c r="O664" s="184" t="str">
        <f>"["&amp;$C664&amp;"]["&amp;$D664&amp;"]["&amp;$F664&amp;"]"</f>
        <v>[S05_CategoryBHighestTierNotApplied][6][CategoryBInstallationsAffected]</v>
      </c>
    </row>
    <row r="665" spans="1:15" x14ac:dyDescent="0.3">
      <c r="A665" t="s">
        <v>1793</v>
      </c>
      <c r="B665" t="s">
        <v>2004</v>
      </c>
      <c r="C665" t="s">
        <v>2005</v>
      </c>
      <c r="D665">
        <v>7</v>
      </c>
      <c r="E665" t="s">
        <v>1447</v>
      </c>
      <c r="F665" t="s">
        <v>2008</v>
      </c>
      <c r="G665" t="s">
        <v>1811</v>
      </c>
      <c r="H665" t="s">
        <v>1799</v>
      </c>
      <c r="I665">
        <v>3</v>
      </c>
      <c r="J665" t="s">
        <v>1799</v>
      </c>
      <c r="K665" t="s">
        <v>1799</v>
      </c>
      <c r="L665" t="s">
        <v>1799</v>
      </c>
      <c r="M665" t="s">
        <v>1799</v>
      </c>
      <c r="N665" t="s">
        <v>1799</v>
      </c>
      <c r="O665" s="184" t="str">
        <f>"["&amp;$C665&amp;"]["&amp;$D665&amp;"]["&amp;$F665&amp;"]"</f>
        <v>[S05_CategoryBHighestTierNotApplied][7][CategoryBInstallationsAffected]</v>
      </c>
    </row>
    <row r="666" spans="1:15" x14ac:dyDescent="0.3">
      <c r="A666" t="s">
        <v>1793</v>
      </c>
      <c r="B666" t="s">
        <v>2004</v>
      </c>
      <c r="C666" t="s">
        <v>2005</v>
      </c>
      <c r="D666">
        <v>8</v>
      </c>
      <c r="E666" t="s">
        <v>1447</v>
      </c>
      <c r="F666" t="s">
        <v>2008</v>
      </c>
      <c r="G666" t="s">
        <v>1811</v>
      </c>
      <c r="H666" t="s">
        <v>1799</v>
      </c>
      <c r="I666">
        <v>1</v>
      </c>
      <c r="J666" t="s">
        <v>1799</v>
      </c>
      <c r="K666" t="s">
        <v>1799</v>
      </c>
      <c r="L666" t="s">
        <v>1799</v>
      </c>
      <c r="M666" t="s">
        <v>1799</v>
      </c>
      <c r="N666" t="s">
        <v>1799</v>
      </c>
      <c r="O666" s="184" t="str">
        <f>"["&amp;$C666&amp;"]["&amp;$D666&amp;"]["&amp;$F666&amp;"]"</f>
        <v>[S05_CategoryBHighestTierNotApplied][8][CategoryBInstallationsAffected]</v>
      </c>
    </row>
    <row r="667" spans="1:15" x14ac:dyDescent="0.3">
      <c r="A667" t="s">
        <v>1793</v>
      </c>
      <c r="B667" t="s">
        <v>2004</v>
      </c>
      <c r="C667" t="s">
        <v>2005</v>
      </c>
      <c r="D667">
        <v>9</v>
      </c>
      <c r="E667" t="s">
        <v>1447</v>
      </c>
      <c r="F667" t="s">
        <v>2008</v>
      </c>
      <c r="G667" t="s">
        <v>1811</v>
      </c>
      <c r="H667" t="s">
        <v>1799</v>
      </c>
      <c r="I667">
        <v>2</v>
      </c>
      <c r="J667" t="s">
        <v>1799</v>
      </c>
      <c r="K667" t="s">
        <v>1799</v>
      </c>
      <c r="L667" t="s">
        <v>1799</v>
      </c>
      <c r="M667" t="s">
        <v>1799</v>
      </c>
      <c r="N667" t="s">
        <v>1799</v>
      </c>
      <c r="O667" s="184" t="str">
        <f>"["&amp;$C667&amp;"]["&amp;$D667&amp;"]["&amp;$F667&amp;"]"</f>
        <v>[S05_CategoryBHighestTierNotApplied][9][CategoryBInstallationsAffected]</v>
      </c>
    </row>
    <row r="668" spans="1:15" x14ac:dyDescent="0.3">
      <c r="A668" t="s">
        <v>1793</v>
      </c>
      <c r="B668" t="s">
        <v>2004</v>
      </c>
      <c r="C668" t="s">
        <v>2005</v>
      </c>
      <c r="D668">
        <v>10</v>
      </c>
      <c r="E668" t="s">
        <v>1447</v>
      </c>
      <c r="F668" t="s">
        <v>2008</v>
      </c>
      <c r="G668" t="s">
        <v>1811</v>
      </c>
      <c r="H668" t="s">
        <v>1799</v>
      </c>
      <c r="I668">
        <v>0</v>
      </c>
      <c r="J668" t="s">
        <v>1799</v>
      </c>
      <c r="K668" t="s">
        <v>1799</v>
      </c>
      <c r="L668" t="s">
        <v>1799</v>
      </c>
      <c r="M668" t="s">
        <v>1799</v>
      </c>
      <c r="N668" t="s">
        <v>1799</v>
      </c>
      <c r="O668" s="184" t="str">
        <f>"["&amp;$C668&amp;"]["&amp;$D668&amp;"]["&amp;$F668&amp;"]"</f>
        <v>[S05_CategoryBHighestTierNotApplied][10][CategoryBInstallationsAffected]</v>
      </c>
    </row>
    <row r="669" spans="1:15" x14ac:dyDescent="0.3">
      <c r="A669" t="s">
        <v>1793</v>
      </c>
      <c r="B669" t="s">
        <v>2004</v>
      </c>
      <c r="C669" t="s">
        <v>2005</v>
      </c>
      <c r="D669">
        <v>11</v>
      </c>
      <c r="E669" t="s">
        <v>1447</v>
      </c>
      <c r="F669" t="s">
        <v>2008</v>
      </c>
      <c r="G669" t="s">
        <v>1811</v>
      </c>
      <c r="H669" t="s">
        <v>1799</v>
      </c>
      <c r="I669">
        <v>0</v>
      </c>
      <c r="J669" t="s">
        <v>1799</v>
      </c>
      <c r="K669" t="s">
        <v>1799</v>
      </c>
      <c r="L669" t="s">
        <v>1799</v>
      </c>
      <c r="M669" t="s">
        <v>1799</v>
      </c>
      <c r="N669" t="s">
        <v>1799</v>
      </c>
      <c r="O669" s="184" t="str">
        <f>"["&amp;$C669&amp;"]["&amp;$D669&amp;"]["&amp;$F669&amp;"]"</f>
        <v>[S05_CategoryBHighestTierNotApplied][11][CategoryBInstallationsAffected]</v>
      </c>
    </row>
    <row r="670" spans="1:15" x14ac:dyDescent="0.3">
      <c r="A670" t="s">
        <v>1793</v>
      </c>
      <c r="B670" t="s">
        <v>2009</v>
      </c>
      <c r="C670" t="s">
        <v>2010</v>
      </c>
      <c r="D670">
        <v>0</v>
      </c>
      <c r="E670" t="s">
        <v>1447</v>
      </c>
      <c r="F670" t="s">
        <v>2010</v>
      </c>
      <c r="G670" t="s">
        <v>1833</v>
      </c>
      <c r="H670" t="s">
        <v>1799</v>
      </c>
      <c r="I670" t="s">
        <v>1799</v>
      </c>
      <c r="J670" t="s">
        <v>1799</v>
      </c>
      <c r="K670" t="s">
        <v>1799</v>
      </c>
      <c r="L670" t="s">
        <v>1447</v>
      </c>
      <c r="M670" t="s">
        <v>1799</v>
      </c>
      <c r="N670" t="s">
        <v>1799</v>
      </c>
      <c r="O670" s="184" t="str">
        <f>"["&amp;$C670&amp;"]["&amp;$D670&amp;"]["&amp;$F670&amp;"]"</f>
        <v>[FallBackApproachApplied][0][FallBackApproachApplied]</v>
      </c>
    </row>
    <row r="671" spans="1:15" x14ac:dyDescent="0.3">
      <c r="A671" t="s">
        <v>1793</v>
      </c>
      <c r="B671" t="s">
        <v>2011</v>
      </c>
      <c r="C671" t="s">
        <v>2012</v>
      </c>
      <c r="D671">
        <v>1</v>
      </c>
      <c r="E671" t="s">
        <v>1447</v>
      </c>
      <c r="F671" t="s">
        <v>1933</v>
      </c>
      <c r="G671" t="s">
        <v>1737</v>
      </c>
      <c r="H671" t="s">
        <v>1799</v>
      </c>
      <c r="I671" t="s">
        <v>1799</v>
      </c>
      <c r="J671" t="s">
        <v>1799</v>
      </c>
      <c r="K671" t="s">
        <v>1799</v>
      </c>
      <c r="L671" t="s">
        <v>1432</v>
      </c>
      <c r="M671" t="s">
        <v>1799</v>
      </c>
      <c r="N671" t="s">
        <v>1799</v>
      </c>
      <c r="O671" s="184" t="str">
        <f>"["&amp;$C671&amp;"]["&amp;$D671&amp;"]["&amp;$F671&amp;"]"</f>
        <v>[S05_ImprovementReportArt69][1][InstallationCategory]</v>
      </c>
    </row>
    <row r="672" spans="1:15" x14ac:dyDescent="0.3">
      <c r="A672" t="s">
        <v>1793</v>
      </c>
      <c r="B672" t="s">
        <v>2011</v>
      </c>
      <c r="C672" t="s">
        <v>2012</v>
      </c>
      <c r="D672">
        <v>2</v>
      </c>
      <c r="E672" t="s">
        <v>1447</v>
      </c>
      <c r="F672" t="s">
        <v>1933</v>
      </c>
      <c r="G672" t="s">
        <v>1737</v>
      </c>
      <c r="H672" t="s">
        <v>1799</v>
      </c>
      <c r="I672" t="s">
        <v>1799</v>
      </c>
      <c r="J672" t="s">
        <v>1799</v>
      </c>
      <c r="K672" t="s">
        <v>1799</v>
      </c>
      <c r="L672" t="s">
        <v>1432</v>
      </c>
      <c r="M672" t="s">
        <v>1799</v>
      </c>
      <c r="N672" t="s">
        <v>1799</v>
      </c>
      <c r="O672" s="184" t="str">
        <f>"["&amp;$C672&amp;"]["&amp;$D672&amp;"]["&amp;$F672&amp;"]"</f>
        <v>[S05_ImprovementReportArt69][2][InstallationCategory]</v>
      </c>
    </row>
    <row r="673" spans="1:15" x14ac:dyDescent="0.3">
      <c r="A673" t="s">
        <v>1793</v>
      </c>
      <c r="B673" t="s">
        <v>2011</v>
      </c>
      <c r="C673" t="s">
        <v>2012</v>
      </c>
      <c r="D673">
        <v>3</v>
      </c>
      <c r="E673" t="s">
        <v>1447</v>
      </c>
      <c r="F673" t="s">
        <v>1933</v>
      </c>
      <c r="G673" t="s">
        <v>1737</v>
      </c>
      <c r="H673" t="s">
        <v>1799</v>
      </c>
      <c r="I673" t="s">
        <v>1799</v>
      </c>
      <c r="J673" t="s">
        <v>1799</v>
      </c>
      <c r="K673" t="s">
        <v>1799</v>
      </c>
      <c r="L673" t="s">
        <v>1432</v>
      </c>
      <c r="M673" t="s">
        <v>1799</v>
      </c>
      <c r="N673" t="s">
        <v>1799</v>
      </c>
      <c r="O673" s="184" t="str">
        <f>"["&amp;$C673&amp;"]["&amp;$D673&amp;"]["&amp;$F673&amp;"]"</f>
        <v>[S05_ImprovementReportArt69][3][InstallationCategory]</v>
      </c>
    </row>
    <row r="674" spans="1:15" x14ac:dyDescent="0.3">
      <c r="A674" t="s">
        <v>1793</v>
      </c>
      <c r="B674" t="s">
        <v>2011</v>
      </c>
      <c r="C674" t="s">
        <v>2012</v>
      </c>
      <c r="D674">
        <v>4</v>
      </c>
      <c r="E674" t="s">
        <v>1447</v>
      </c>
      <c r="F674" t="s">
        <v>1933</v>
      </c>
      <c r="G674" t="s">
        <v>1737</v>
      </c>
      <c r="H674" t="s">
        <v>1799</v>
      </c>
      <c r="I674" t="s">
        <v>1799</v>
      </c>
      <c r="J674" t="s">
        <v>1799</v>
      </c>
      <c r="K674" t="s">
        <v>1799</v>
      </c>
      <c r="L674" t="s">
        <v>1432</v>
      </c>
      <c r="M674" t="s">
        <v>1799</v>
      </c>
      <c r="N674" t="s">
        <v>1799</v>
      </c>
      <c r="O674" s="184" t="str">
        <f>"["&amp;$C674&amp;"]["&amp;$D674&amp;"]["&amp;$F674&amp;"]"</f>
        <v>[S05_ImprovementReportArt69][4][InstallationCategory]</v>
      </c>
    </row>
    <row r="675" spans="1:15" x14ac:dyDescent="0.3">
      <c r="A675" t="s">
        <v>1793</v>
      </c>
      <c r="B675" t="s">
        <v>2011</v>
      </c>
      <c r="C675" t="s">
        <v>2012</v>
      </c>
      <c r="D675">
        <v>5</v>
      </c>
      <c r="E675" t="s">
        <v>1447</v>
      </c>
      <c r="F675" t="s">
        <v>1933</v>
      </c>
      <c r="G675" t="s">
        <v>1737</v>
      </c>
      <c r="H675" t="s">
        <v>1799</v>
      </c>
      <c r="I675" t="s">
        <v>1799</v>
      </c>
      <c r="J675" t="s">
        <v>1799</v>
      </c>
      <c r="K675" t="s">
        <v>1799</v>
      </c>
      <c r="L675" t="s">
        <v>1432</v>
      </c>
      <c r="M675" t="s">
        <v>1799</v>
      </c>
      <c r="N675" t="s">
        <v>1799</v>
      </c>
      <c r="O675" s="184" t="str">
        <f>"["&amp;$C675&amp;"]["&amp;$D675&amp;"]["&amp;$F675&amp;"]"</f>
        <v>[S05_ImprovementReportArt69][5][InstallationCategory]</v>
      </c>
    </row>
    <row r="676" spans="1:15" x14ac:dyDescent="0.3">
      <c r="A676" t="s">
        <v>1793</v>
      </c>
      <c r="B676" t="s">
        <v>2011</v>
      </c>
      <c r="C676" t="s">
        <v>2012</v>
      </c>
      <c r="D676">
        <v>6</v>
      </c>
      <c r="E676" t="s">
        <v>1447</v>
      </c>
      <c r="F676" t="s">
        <v>1933</v>
      </c>
      <c r="G676" t="s">
        <v>1737</v>
      </c>
      <c r="H676" t="s">
        <v>1799</v>
      </c>
      <c r="I676" t="s">
        <v>1799</v>
      </c>
      <c r="J676" t="s">
        <v>1799</v>
      </c>
      <c r="K676" t="s">
        <v>1799</v>
      </c>
      <c r="L676" t="s">
        <v>1432</v>
      </c>
      <c r="M676" t="s">
        <v>1799</v>
      </c>
      <c r="N676" t="s">
        <v>1799</v>
      </c>
      <c r="O676" s="184" t="str">
        <f>"["&amp;$C676&amp;"]["&amp;$D676&amp;"]["&amp;$F676&amp;"]"</f>
        <v>[S05_ImprovementReportArt69][6][InstallationCategory]</v>
      </c>
    </row>
    <row r="677" spans="1:15" x14ac:dyDescent="0.3">
      <c r="A677" t="s">
        <v>1793</v>
      </c>
      <c r="B677" t="s">
        <v>2011</v>
      </c>
      <c r="C677" t="s">
        <v>2012</v>
      </c>
      <c r="D677">
        <v>7</v>
      </c>
      <c r="E677" t="s">
        <v>1447</v>
      </c>
      <c r="F677" t="s">
        <v>1933</v>
      </c>
      <c r="G677" t="s">
        <v>1737</v>
      </c>
      <c r="H677" t="s">
        <v>1799</v>
      </c>
      <c r="I677" t="s">
        <v>1799</v>
      </c>
      <c r="J677" t="s">
        <v>1799</v>
      </c>
      <c r="K677" t="s">
        <v>1799</v>
      </c>
      <c r="L677" t="s">
        <v>1432</v>
      </c>
      <c r="M677" t="s">
        <v>1799</v>
      </c>
      <c r="N677" t="s">
        <v>1799</v>
      </c>
      <c r="O677" s="184" t="str">
        <f>"["&amp;$C677&amp;"]["&amp;$D677&amp;"]["&amp;$F677&amp;"]"</f>
        <v>[S05_ImprovementReportArt69][7][InstallationCategory]</v>
      </c>
    </row>
    <row r="678" spans="1:15" x14ac:dyDescent="0.3">
      <c r="A678" t="s">
        <v>1793</v>
      </c>
      <c r="B678" t="s">
        <v>2011</v>
      </c>
      <c r="C678" t="s">
        <v>2012</v>
      </c>
      <c r="D678">
        <v>8</v>
      </c>
      <c r="E678" t="s">
        <v>1447</v>
      </c>
      <c r="F678" t="s">
        <v>1933</v>
      </c>
      <c r="G678" t="s">
        <v>1737</v>
      </c>
      <c r="H678" t="s">
        <v>1799</v>
      </c>
      <c r="I678" t="s">
        <v>1799</v>
      </c>
      <c r="J678" t="s">
        <v>1799</v>
      </c>
      <c r="K678" t="s">
        <v>1799</v>
      </c>
      <c r="L678" t="s">
        <v>1460</v>
      </c>
      <c r="M678" t="s">
        <v>1799</v>
      </c>
      <c r="N678" t="s">
        <v>1799</v>
      </c>
      <c r="O678" s="184" t="str">
        <f>"["&amp;$C678&amp;"]["&amp;$D678&amp;"]["&amp;$F678&amp;"]"</f>
        <v>[S05_ImprovementReportArt69][8][InstallationCategory]</v>
      </c>
    </row>
    <row r="679" spans="1:15" x14ac:dyDescent="0.3">
      <c r="A679" t="s">
        <v>1793</v>
      </c>
      <c r="B679" t="s">
        <v>2011</v>
      </c>
      <c r="C679" t="s">
        <v>2012</v>
      </c>
      <c r="D679">
        <v>9</v>
      </c>
      <c r="E679" t="s">
        <v>1447</v>
      </c>
      <c r="F679" t="s">
        <v>1933</v>
      </c>
      <c r="G679" t="s">
        <v>1737</v>
      </c>
      <c r="H679" t="s">
        <v>1799</v>
      </c>
      <c r="I679" t="s">
        <v>1799</v>
      </c>
      <c r="J679" t="s">
        <v>1799</v>
      </c>
      <c r="K679" t="s">
        <v>1799</v>
      </c>
      <c r="L679" t="s">
        <v>1460</v>
      </c>
      <c r="M679" t="s">
        <v>1799</v>
      </c>
      <c r="N679" t="s">
        <v>1799</v>
      </c>
      <c r="O679" s="184" t="str">
        <f>"["&amp;$C679&amp;"]["&amp;$D679&amp;"]["&amp;$F679&amp;"]"</f>
        <v>[S05_ImprovementReportArt69][9][InstallationCategory]</v>
      </c>
    </row>
    <row r="680" spans="1:15" x14ac:dyDescent="0.3">
      <c r="A680" t="s">
        <v>1793</v>
      </c>
      <c r="B680" t="s">
        <v>2011</v>
      </c>
      <c r="C680" t="s">
        <v>2012</v>
      </c>
      <c r="D680">
        <v>10</v>
      </c>
      <c r="E680" t="s">
        <v>1447</v>
      </c>
      <c r="F680" t="s">
        <v>1933</v>
      </c>
      <c r="G680" t="s">
        <v>1737</v>
      </c>
      <c r="H680" t="s">
        <v>1799</v>
      </c>
      <c r="I680" t="s">
        <v>1799</v>
      </c>
      <c r="J680" t="s">
        <v>1799</v>
      </c>
      <c r="K680" t="s">
        <v>1799</v>
      </c>
      <c r="L680" t="s">
        <v>1460</v>
      </c>
      <c r="M680" t="s">
        <v>1799</v>
      </c>
      <c r="N680" t="s">
        <v>1799</v>
      </c>
      <c r="O680" s="184" t="str">
        <f>"["&amp;$C680&amp;"]["&amp;$D680&amp;"]["&amp;$F680&amp;"]"</f>
        <v>[S05_ImprovementReportArt69][10][InstallationCategory]</v>
      </c>
    </row>
    <row r="681" spans="1:15" x14ac:dyDescent="0.3">
      <c r="A681" t="s">
        <v>1793</v>
      </c>
      <c r="B681" t="s">
        <v>2011</v>
      </c>
      <c r="C681" t="s">
        <v>2012</v>
      </c>
      <c r="D681">
        <v>11</v>
      </c>
      <c r="E681" t="s">
        <v>1447</v>
      </c>
      <c r="F681" t="s">
        <v>1933</v>
      </c>
      <c r="G681" t="s">
        <v>1737</v>
      </c>
      <c r="H681" t="s">
        <v>1799</v>
      </c>
      <c r="I681" t="s">
        <v>1799</v>
      </c>
      <c r="J681" t="s">
        <v>1799</v>
      </c>
      <c r="K681" t="s">
        <v>1799</v>
      </c>
      <c r="L681" t="s">
        <v>1460</v>
      </c>
      <c r="M681" t="s">
        <v>1799</v>
      </c>
      <c r="N681" t="s">
        <v>1799</v>
      </c>
      <c r="O681" s="184" t="str">
        <f>"["&amp;$C681&amp;"]["&amp;$D681&amp;"]["&amp;$F681&amp;"]"</f>
        <v>[S05_ImprovementReportArt69][11][InstallationCategory]</v>
      </c>
    </row>
    <row r="682" spans="1:15" x14ac:dyDescent="0.3">
      <c r="A682" t="s">
        <v>1793</v>
      </c>
      <c r="B682" t="s">
        <v>2011</v>
      </c>
      <c r="C682" t="s">
        <v>2012</v>
      </c>
      <c r="D682">
        <v>12</v>
      </c>
      <c r="E682" t="s">
        <v>1447</v>
      </c>
      <c r="F682" t="s">
        <v>1933</v>
      </c>
      <c r="G682" t="s">
        <v>1737</v>
      </c>
      <c r="H682" t="s">
        <v>1799</v>
      </c>
      <c r="I682" t="s">
        <v>1799</v>
      </c>
      <c r="J682" t="s">
        <v>1799</v>
      </c>
      <c r="K682" t="s">
        <v>1799</v>
      </c>
      <c r="L682" t="s">
        <v>1460</v>
      </c>
      <c r="M682" t="s">
        <v>1799</v>
      </c>
      <c r="N682" t="s">
        <v>1799</v>
      </c>
      <c r="O682" s="184" t="str">
        <f>"["&amp;$C682&amp;"]["&amp;$D682&amp;"]["&amp;$F682&amp;"]"</f>
        <v>[S05_ImprovementReportArt69][12][InstallationCategory]</v>
      </c>
    </row>
    <row r="683" spans="1:15" x14ac:dyDescent="0.3">
      <c r="A683" t="s">
        <v>1793</v>
      </c>
      <c r="B683" t="s">
        <v>2011</v>
      </c>
      <c r="C683" t="s">
        <v>2012</v>
      </c>
      <c r="D683">
        <v>13</v>
      </c>
      <c r="E683" t="s">
        <v>1447</v>
      </c>
      <c r="F683" t="s">
        <v>1933</v>
      </c>
      <c r="G683" t="s">
        <v>1737</v>
      </c>
      <c r="H683" t="s">
        <v>1799</v>
      </c>
      <c r="I683" t="s">
        <v>1799</v>
      </c>
      <c r="J683" t="s">
        <v>1799</v>
      </c>
      <c r="K683" t="s">
        <v>1799</v>
      </c>
      <c r="L683" t="s">
        <v>1460</v>
      </c>
      <c r="M683" t="s">
        <v>1799</v>
      </c>
      <c r="N683" t="s">
        <v>1799</v>
      </c>
      <c r="O683" s="184" t="str">
        <f>"["&amp;$C683&amp;"]["&amp;$D683&amp;"]["&amp;$F683&amp;"]"</f>
        <v>[S05_ImprovementReportArt69][13][InstallationCategory]</v>
      </c>
    </row>
    <row r="684" spans="1:15" x14ac:dyDescent="0.3">
      <c r="A684" t="s">
        <v>1793</v>
      </c>
      <c r="B684" t="s">
        <v>2011</v>
      </c>
      <c r="C684" t="s">
        <v>2012</v>
      </c>
      <c r="D684">
        <v>14</v>
      </c>
      <c r="E684" t="s">
        <v>1447</v>
      </c>
      <c r="F684" t="s">
        <v>1933</v>
      </c>
      <c r="G684" t="s">
        <v>1737</v>
      </c>
      <c r="H684" t="s">
        <v>1799</v>
      </c>
      <c r="I684" t="s">
        <v>1799</v>
      </c>
      <c r="J684" t="s">
        <v>1799</v>
      </c>
      <c r="K684" t="s">
        <v>1799</v>
      </c>
      <c r="L684" t="s">
        <v>1460</v>
      </c>
      <c r="M684" t="s">
        <v>1799</v>
      </c>
      <c r="N684" t="s">
        <v>1799</v>
      </c>
      <c r="O684" s="184" t="str">
        <f>"["&amp;$C684&amp;"]["&amp;$D684&amp;"]["&amp;$F684&amp;"]"</f>
        <v>[S05_ImprovementReportArt69][14][InstallationCategory]</v>
      </c>
    </row>
    <row r="685" spans="1:15" x14ac:dyDescent="0.3">
      <c r="A685" t="s">
        <v>1793</v>
      </c>
      <c r="B685" t="s">
        <v>2011</v>
      </c>
      <c r="C685" t="s">
        <v>2012</v>
      </c>
      <c r="D685">
        <v>15</v>
      </c>
      <c r="E685" t="s">
        <v>1447</v>
      </c>
      <c r="F685" t="s">
        <v>1933</v>
      </c>
      <c r="G685" t="s">
        <v>1737</v>
      </c>
      <c r="H685" t="s">
        <v>1799</v>
      </c>
      <c r="I685" t="s">
        <v>1799</v>
      </c>
      <c r="J685" t="s">
        <v>1799</v>
      </c>
      <c r="K685" t="s">
        <v>1799</v>
      </c>
      <c r="L685" t="s">
        <v>1460</v>
      </c>
      <c r="M685" t="s">
        <v>1799</v>
      </c>
      <c r="N685" t="s">
        <v>1799</v>
      </c>
      <c r="O685" s="184" t="str">
        <f>"["&amp;$C685&amp;"]["&amp;$D685&amp;"]["&amp;$F685&amp;"]"</f>
        <v>[S05_ImprovementReportArt69][15][InstallationCategory]</v>
      </c>
    </row>
    <row r="686" spans="1:15" x14ac:dyDescent="0.3">
      <c r="A686" t="s">
        <v>1793</v>
      </c>
      <c r="B686" t="s">
        <v>2011</v>
      </c>
      <c r="C686" t="s">
        <v>2012</v>
      </c>
      <c r="D686">
        <v>16</v>
      </c>
      <c r="E686" t="s">
        <v>1447</v>
      </c>
      <c r="F686" t="s">
        <v>1933</v>
      </c>
      <c r="G686" t="s">
        <v>1737</v>
      </c>
      <c r="H686" t="s">
        <v>1799</v>
      </c>
      <c r="I686" t="s">
        <v>1799</v>
      </c>
      <c r="J686" t="s">
        <v>1799</v>
      </c>
      <c r="K686" t="s">
        <v>1799</v>
      </c>
      <c r="L686" t="s">
        <v>1460</v>
      </c>
      <c r="M686" t="s">
        <v>1799</v>
      </c>
      <c r="N686" t="s">
        <v>1799</v>
      </c>
      <c r="O686" s="184" t="str">
        <f>"["&amp;$C686&amp;"]["&amp;$D686&amp;"]["&amp;$F686&amp;"]"</f>
        <v>[S05_ImprovementReportArt69][16][InstallationCategory]</v>
      </c>
    </row>
    <row r="687" spans="1:15" x14ac:dyDescent="0.3">
      <c r="A687" t="s">
        <v>1793</v>
      </c>
      <c r="B687" t="s">
        <v>2011</v>
      </c>
      <c r="C687" t="s">
        <v>2012</v>
      </c>
      <c r="D687">
        <v>17</v>
      </c>
      <c r="E687" t="s">
        <v>1447</v>
      </c>
      <c r="F687" t="s">
        <v>1933</v>
      </c>
      <c r="G687" t="s">
        <v>1737</v>
      </c>
      <c r="H687" t="s">
        <v>1799</v>
      </c>
      <c r="I687" t="s">
        <v>1799</v>
      </c>
      <c r="J687" t="s">
        <v>1799</v>
      </c>
      <c r="K687" t="s">
        <v>1799</v>
      </c>
      <c r="L687" t="s">
        <v>1460</v>
      </c>
      <c r="M687" t="s">
        <v>1799</v>
      </c>
      <c r="N687" t="s">
        <v>1799</v>
      </c>
      <c r="O687" s="184" t="str">
        <f>"["&amp;$C687&amp;"]["&amp;$D687&amp;"]["&amp;$F687&amp;"]"</f>
        <v>[S05_ImprovementReportArt69][17][InstallationCategory]</v>
      </c>
    </row>
    <row r="688" spans="1:15" x14ac:dyDescent="0.3">
      <c r="A688" t="s">
        <v>1793</v>
      </c>
      <c r="B688" t="s">
        <v>2011</v>
      </c>
      <c r="C688" t="s">
        <v>2012</v>
      </c>
      <c r="D688">
        <v>18</v>
      </c>
      <c r="E688" t="s">
        <v>1447</v>
      </c>
      <c r="F688" t="s">
        <v>1933</v>
      </c>
      <c r="G688" t="s">
        <v>1737</v>
      </c>
      <c r="H688" t="s">
        <v>1799</v>
      </c>
      <c r="I688" t="s">
        <v>1799</v>
      </c>
      <c r="J688" t="s">
        <v>1799</v>
      </c>
      <c r="K688" t="s">
        <v>1799</v>
      </c>
      <c r="L688" t="s">
        <v>1487</v>
      </c>
      <c r="M688" t="s">
        <v>1799</v>
      </c>
      <c r="N688" t="s">
        <v>1799</v>
      </c>
      <c r="O688" s="184" t="str">
        <f>"["&amp;$C688&amp;"]["&amp;$D688&amp;"]["&amp;$F688&amp;"]"</f>
        <v>[S05_ImprovementReportArt69][18][InstallationCategory]</v>
      </c>
    </row>
    <row r="689" spans="1:15" x14ac:dyDescent="0.3">
      <c r="A689" t="s">
        <v>1793</v>
      </c>
      <c r="B689" t="s">
        <v>2011</v>
      </c>
      <c r="C689" t="s">
        <v>2012</v>
      </c>
      <c r="D689">
        <v>19</v>
      </c>
      <c r="E689" t="s">
        <v>1447</v>
      </c>
      <c r="F689" t="s">
        <v>1933</v>
      </c>
      <c r="G689" t="s">
        <v>1737</v>
      </c>
      <c r="H689" t="s">
        <v>1799</v>
      </c>
      <c r="I689" t="s">
        <v>1799</v>
      </c>
      <c r="J689" t="s">
        <v>1799</v>
      </c>
      <c r="K689" t="s">
        <v>1799</v>
      </c>
      <c r="L689" t="s">
        <v>1487</v>
      </c>
      <c r="M689" t="s">
        <v>1799</v>
      </c>
      <c r="N689" t="s">
        <v>1799</v>
      </c>
      <c r="O689" s="184" t="str">
        <f>"["&amp;$C689&amp;"]["&amp;$D689&amp;"]["&amp;$F689&amp;"]"</f>
        <v>[S05_ImprovementReportArt69][19][InstallationCategory]</v>
      </c>
    </row>
    <row r="690" spans="1:15" x14ac:dyDescent="0.3">
      <c r="A690" t="s">
        <v>1793</v>
      </c>
      <c r="B690" t="s">
        <v>2011</v>
      </c>
      <c r="C690" t="s">
        <v>2012</v>
      </c>
      <c r="D690">
        <v>1</v>
      </c>
      <c r="E690" t="s">
        <v>1447</v>
      </c>
      <c r="F690" t="s">
        <v>2013</v>
      </c>
      <c r="G690" t="s">
        <v>1737</v>
      </c>
      <c r="H690" t="s">
        <v>1799</v>
      </c>
      <c r="I690" t="s">
        <v>1799</v>
      </c>
      <c r="J690" t="s">
        <v>1799</v>
      </c>
      <c r="K690" t="s">
        <v>1799</v>
      </c>
      <c r="L690" t="s">
        <v>1420</v>
      </c>
      <c r="M690" t="s">
        <v>1799</v>
      </c>
      <c r="N690" t="s">
        <v>1799</v>
      </c>
      <c r="O690" s="184" t="str">
        <f>"["&amp;$C690&amp;"]["&amp;$D690&amp;"]["&amp;$F690&amp;"]"</f>
        <v>[S05_ImprovementReportArt69][1][Annex1Activity]</v>
      </c>
    </row>
    <row r="691" spans="1:15" x14ac:dyDescent="0.3">
      <c r="A691" t="s">
        <v>1793</v>
      </c>
      <c r="B691" t="s">
        <v>2011</v>
      </c>
      <c r="C691" t="s">
        <v>2012</v>
      </c>
      <c r="D691">
        <v>2</v>
      </c>
      <c r="E691" t="s">
        <v>1447</v>
      </c>
      <c r="F691" t="s">
        <v>2013</v>
      </c>
      <c r="G691" t="s">
        <v>1737</v>
      </c>
      <c r="H691" t="s">
        <v>1799</v>
      </c>
      <c r="I691" t="s">
        <v>1799</v>
      </c>
      <c r="J691" t="s">
        <v>1799</v>
      </c>
      <c r="K691" t="s">
        <v>1799</v>
      </c>
      <c r="L691" t="s">
        <v>1420</v>
      </c>
      <c r="M691" t="s">
        <v>1799</v>
      </c>
      <c r="N691" t="s">
        <v>1799</v>
      </c>
      <c r="O691" s="184" t="str">
        <f>"["&amp;$C691&amp;"]["&amp;$D691&amp;"]["&amp;$F691&amp;"]"</f>
        <v>[S05_ImprovementReportArt69][2][Annex1Activity]</v>
      </c>
    </row>
    <row r="692" spans="1:15" x14ac:dyDescent="0.3">
      <c r="A692" t="s">
        <v>1793</v>
      </c>
      <c r="B692" t="s">
        <v>2011</v>
      </c>
      <c r="C692" t="s">
        <v>2012</v>
      </c>
      <c r="D692">
        <v>3</v>
      </c>
      <c r="E692" t="s">
        <v>1447</v>
      </c>
      <c r="F692" t="s">
        <v>2013</v>
      </c>
      <c r="G692" t="s">
        <v>1737</v>
      </c>
      <c r="H692" t="s">
        <v>1799</v>
      </c>
      <c r="I692" t="s">
        <v>1799</v>
      </c>
      <c r="J692" t="s">
        <v>1799</v>
      </c>
      <c r="K692" t="s">
        <v>1799</v>
      </c>
      <c r="L692" t="s">
        <v>1502</v>
      </c>
      <c r="M692" t="s">
        <v>1799</v>
      </c>
      <c r="N692" t="s">
        <v>1799</v>
      </c>
      <c r="O692" s="184" t="str">
        <f>"["&amp;$C692&amp;"]["&amp;$D692&amp;"]["&amp;$F692&amp;"]"</f>
        <v>[S05_ImprovementReportArt69][3][Annex1Activity]</v>
      </c>
    </row>
    <row r="693" spans="1:15" x14ac:dyDescent="0.3">
      <c r="A693" t="s">
        <v>1793</v>
      </c>
      <c r="B693" t="s">
        <v>2011</v>
      </c>
      <c r="C693" t="s">
        <v>2012</v>
      </c>
      <c r="D693">
        <v>4</v>
      </c>
      <c r="E693" t="s">
        <v>1447</v>
      </c>
      <c r="F693" t="s">
        <v>2013</v>
      </c>
      <c r="G693" t="s">
        <v>1737</v>
      </c>
      <c r="H693" t="s">
        <v>1799</v>
      </c>
      <c r="I693" t="s">
        <v>1799</v>
      </c>
      <c r="J693" t="s">
        <v>1799</v>
      </c>
      <c r="K693" t="s">
        <v>1799</v>
      </c>
      <c r="L693" t="s">
        <v>1626</v>
      </c>
      <c r="M693" t="s">
        <v>1799</v>
      </c>
      <c r="N693" t="s">
        <v>1799</v>
      </c>
      <c r="O693" s="184" t="str">
        <f>"["&amp;$C693&amp;"]["&amp;$D693&amp;"]["&amp;$F693&amp;"]"</f>
        <v>[S05_ImprovementReportArt69][4][Annex1Activity]</v>
      </c>
    </row>
    <row r="694" spans="1:15" x14ac:dyDescent="0.3">
      <c r="A694" t="s">
        <v>1793</v>
      </c>
      <c r="B694" t="s">
        <v>2011</v>
      </c>
      <c r="C694" t="s">
        <v>2012</v>
      </c>
      <c r="D694">
        <v>5</v>
      </c>
      <c r="E694" t="s">
        <v>1447</v>
      </c>
      <c r="F694" t="s">
        <v>2013</v>
      </c>
      <c r="G694" t="s">
        <v>1737</v>
      </c>
      <c r="H694" t="s">
        <v>1799</v>
      </c>
      <c r="I694" t="s">
        <v>1799</v>
      </c>
      <c r="J694" t="s">
        <v>1799</v>
      </c>
      <c r="K694" t="s">
        <v>1799</v>
      </c>
      <c r="L694" t="s">
        <v>1597</v>
      </c>
      <c r="M694" t="s">
        <v>1799</v>
      </c>
      <c r="N694" t="s">
        <v>1799</v>
      </c>
      <c r="O694" s="184" t="str">
        <f>"["&amp;$C694&amp;"]["&amp;$D694&amp;"]["&amp;$F694&amp;"]"</f>
        <v>[S05_ImprovementReportArt69][5][Annex1Activity]</v>
      </c>
    </row>
    <row r="695" spans="1:15" x14ac:dyDescent="0.3">
      <c r="A695" t="s">
        <v>1793</v>
      </c>
      <c r="B695" t="s">
        <v>2011</v>
      </c>
      <c r="C695" t="s">
        <v>2012</v>
      </c>
      <c r="D695">
        <v>6</v>
      </c>
      <c r="E695" t="s">
        <v>1447</v>
      </c>
      <c r="F695" t="s">
        <v>2013</v>
      </c>
      <c r="G695" t="s">
        <v>1737</v>
      </c>
      <c r="H695" t="s">
        <v>1799</v>
      </c>
      <c r="I695" t="s">
        <v>1799</v>
      </c>
      <c r="J695" t="s">
        <v>1799</v>
      </c>
      <c r="K695" t="s">
        <v>1799</v>
      </c>
      <c r="L695" t="s">
        <v>1597</v>
      </c>
      <c r="M695" t="s">
        <v>1799</v>
      </c>
      <c r="N695" t="s">
        <v>1799</v>
      </c>
      <c r="O695" s="184" t="str">
        <f>"["&amp;$C695&amp;"]["&amp;$D695&amp;"]["&amp;$F695&amp;"]"</f>
        <v>[S05_ImprovementReportArt69][6][Annex1Activity]</v>
      </c>
    </row>
    <row r="696" spans="1:15" x14ac:dyDescent="0.3">
      <c r="A696" t="s">
        <v>1793</v>
      </c>
      <c r="B696" t="s">
        <v>2011</v>
      </c>
      <c r="C696" t="s">
        <v>2012</v>
      </c>
      <c r="D696">
        <v>7</v>
      </c>
      <c r="E696" t="s">
        <v>1447</v>
      </c>
      <c r="F696" t="s">
        <v>2013</v>
      </c>
      <c r="G696" t="s">
        <v>1737</v>
      </c>
      <c r="H696" t="s">
        <v>1799</v>
      </c>
      <c r="I696" t="s">
        <v>1799</v>
      </c>
      <c r="J696" t="s">
        <v>1799</v>
      </c>
      <c r="K696" t="s">
        <v>1799</v>
      </c>
      <c r="L696" t="s">
        <v>1592</v>
      </c>
      <c r="M696" t="s">
        <v>1799</v>
      </c>
      <c r="N696" t="s">
        <v>1799</v>
      </c>
      <c r="O696" s="184" t="str">
        <f>"["&amp;$C696&amp;"]["&amp;$D696&amp;"]["&amp;$F696&amp;"]"</f>
        <v>[S05_ImprovementReportArt69][7][Annex1Activity]</v>
      </c>
    </row>
    <row r="697" spans="1:15" x14ac:dyDescent="0.3">
      <c r="A697" t="s">
        <v>1793</v>
      </c>
      <c r="B697" t="s">
        <v>2011</v>
      </c>
      <c r="C697" t="s">
        <v>2012</v>
      </c>
      <c r="D697">
        <v>8</v>
      </c>
      <c r="E697" t="s">
        <v>1447</v>
      </c>
      <c r="F697" t="s">
        <v>2013</v>
      </c>
      <c r="G697" t="s">
        <v>1737</v>
      </c>
      <c r="H697" t="s">
        <v>1799</v>
      </c>
      <c r="I697" t="s">
        <v>1799</v>
      </c>
      <c r="J697" t="s">
        <v>1799</v>
      </c>
      <c r="K697" t="s">
        <v>1799</v>
      </c>
      <c r="L697" t="s">
        <v>1420</v>
      </c>
      <c r="M697" t="s">
        <v>1799</v>
      </c>
      <c r="N697" t="s">
        <v>1799</v>
      </c>
      <c r="O697" s="184" t="str">
        <f>"["&amp;$C697&amp;"]["&amp;$D697&amp;"]["&amp;$F697&amp;"]"</f>
        <v>[S05_ImprovementReportArt69][8][Annex1Activity]</v>
      </c>
    </row>
    <row r="698" spans="1:15" x14ac:dyDescent="0.3">
      <c r="A698" t="s">
        <v>1793</v>
      </c>
      <c r="B698" t="s">
        <v>2011</v>
      </c>
      <c r="C698" t="s">
        <v>2012</v>
      </c>
      <c r="D698">
        <v>9</v>
      </c>
      <c r="E698" t="s">
        <v>1447</v>
      </c>
      <c r="F698" t="s">
        <v>2013</v>
      </c>
      <c r="G698" t="s">
        <v>1737</v>
      </c>
      <c r="H698" t="s">
        <v>1799</v>
      </c>
      <c r="I698" t="s">
        <v>1799</v>
      </c>
      <c r="J698" t="s">
        <v>1799</v>
      </c>
      <c r="K698" t="s">
        <v>1799</v>
      </c>
      <c r="L698" t="s">
        <v>1420</v>
      </c>
      <c r="M698" t="s">
        <v>1799</v>
      </c>
      <c r="N698" t="s">
        <v>1799</v>
      </c>
      <c r="O698" s="184" t="str">
        <f>"["&amp;$C698&amp;"]["&amp;$D698&amp;"]["&amp;$F698&amp;"]"</f>
        <v>[S05_ImprovementReportArt69][9][Annex1Activity]</v>
      </c>
    </row>
    <row r="699" spans="1:15" x14ac:dyDescent="0.3">
      <c r="A699" t="s">
        <v>1793</v>
      </c>
      <c r="B699" t="s">
        <v>2011</v>
      </c>
      <c r="C699" t="s">
        <v>2012</v>
      </c>
      <c r="D699">
        <v>10</v>
      </c>
      <c r="E699" t="s">
        <v>1447</v>
      </c>
      <c r="F699" t="s">
        <v>2013</v>
      </c>
      <c r="G699" t="s">
        <v>1737</v>
      </c>
      <c r="H699" t="s">
        <v>1799</v>
      </c>
      <c r="I699" t="s">
        <v>1799</v>
      </c>
      <c r="J699" t="s">
        <v>1799</v>
      </c>
      <c r="K699" t="s">
        <v>1799</v>
      </c>
      <c r="L699" t="s">
        <v>1626</v>
      </c>
      <c r="M699" t="s">
        <v>1799</v>
      </c>
      <c r="N699" t="s">
        <v>1799</v>
      </c>
      <c r="O699" s="184" t="str">
        <f>"["&amp;$C699&amp;"]["&amp;$D699&amp;"]["&amp;$F699&amp;"]"</f>
        <v>[S05_ImprovementReportArt69][10][Annex1Activity]</v>
      </c>
    </row>
    <row r="700" spans="1:15" x14ac:dyDescent="0.3">
      <c r="A700" t="s">
        <v>1793</v>
      </c>
      <c r="B700" t="s">
        <v>2011</v>
      </c>
      <c r="C700" t="s">
        <v>2012</v>
      </c>
      <c r="D700">
        <v>11</v>
      </c>
      <c r="E700" t="s">
        <v>1447</v>
      </c>
      <c r="F700" t="s">
        <v>2013</v>
      </c>
      <c r="G700" t="s">
        <v>1737</v>
      </c>
      <c r="H700" t="s">
        <v>1799</v>
      </c>
      <c r="I700" t="s">
        <v>1799</v>
      </c>
      <c r="J700" t="s">
        <v>1799</v>
      </c>
      <c r="K700" t="s">
        <v>1799</v>
      </c>
      <c r="L700" t="s">
        <v>1562</v>
      </c>
      <c r="M700" t="s">
        <v>1799</v>
      </c>
      <c r="N700" t="s">
        <v>1799</v>
      </c>
      <c r="O700" s="184" t="str">
        <f>"["&amp;$C700&amp;"]["&amp;$D700&amp;"]["&amp;$F700&amp;"]"</f>
        <v>[S05_ImprovementReportArt69][11][Annex1Activity]</v>
      </c>
    </row>
    <row r="701" spans="1:15" x14ac:dyDescent="0.3">
      <c r="A701" t="s">
        <v>1793</v>
      </c>
      <c r="B701" t="s">
        <v>2011</v>
      </c>
      <c r="C701" t="s">
        <v>2012</v>
      </c>
      <c r="D701">
        <v>12</v>
      </c>
      <c r="E701" t="s">
        <v>1447</v>
      </c>
      <c r="F701" t="s">
        <v>2013</v>
      </c>
      <c r="G701" t="s">
        <v>1737</v>
      </c>
      <c r="H701" t="s">
        <v>1799</v>
      </c>
      <c r="I701" t="s">
        <v>1799</v>
      </c>
      <c r="J701" t="s">
        <v>1799</v>
      </c>
      <c r="K701" t="s">
        <v>1799</v>
      </c>
      <c r="L701" t="s">
        <v>1568</v>
      </c>
      <c r="M701" t="s">
        <v>1799</v>
      </c>
      <c r="N701" t="s">
        <v>1799</v>
      </c>
      <c r="O701" s="184" t="str">
        <f>"["&amp;$C701&amp;"]["&amp;$D701&amp;"]["&amp;$F701&amp;"]"</f>
        <v>[S05_ImprovementReportArt69][12][Annex1Activity]</v>
      </c>
    </row>
    <row r="702" spans="1:15" x14ac:dyDescent="0.3">
      <c r="A702" t="s">
        <v>1793</v>
      </c>
      <c r="B702" t="s">
        <v>2011</v>
      </c>
      <c r="C702" t="s">
        <v>2012</v>
      </c>
      <c r="D702">
        <v>13</v>
      </c>
      <c r="E702" t="s">
        <v>1447</v>
      </c>
      <c r="F702" t="s">
        <v>2013</v>
      </c>
      <c r="G702" t="s">
        <v>1737</v>
      </c>
      <c r="H702" t="s">
        <v>1799</v>
      </c>
      <c r="I702" t="s">
        <v>1799</v>
      </c>
      <c r="J702" t="s">
        <v>1799</v>
      </c>
      <c r="K702" t="s">
        <v>1799</v>
      </c>
      <c r="L702" t="s">
        <v>1540</v>
      </c>
      <c r="M702" t="s">
        <v>1799</v>
      </c>
      <c r="N702" t="s">
        <v>1799</v>
      </c>
      <c r="O702" s="184" t="str">
        <f>"["&amp;$C702&amp;"]["&amp;$D702&amp;"]["&amp;$F702&amp;"]"</f>
        <v>[S05_ImprovementReportArt69][13][Annex1Activity]</v>
      </c>
    </row>
    <row r="703" spans="1:15" x14ac:dyDescent="0.3">
      <c r="A703" t="s">
        <v>1793</v>
      </c>
      <c r="B703" t="s">
        <v>2011</v>
      </c>
      <c r="C703" t="s">
        <v>2012</v>
      </c>
      <c r="D703">
        <v>14</v>
      </c>
      <c r="E703" t="s">
        <v>1447</v>
      </c>
      <c r="F703" t="s">
        <v>2013</v>
      </c>
      <c r="G703" t="s">
        <v>1737</v>
      </c>
      <c r="H703" t="s">
        <v>1799</v>
      </c>
      <c r="I703" t="s">
        <v>1799</v>
      </c>
      <c r="J703" t="s">
        <v>1799</v>
      </c>
      <c r="K703" t="s">
        <v>1799</v>
      </c>
      <c r="L703" t="s">
        <v>1592</v>
      </c>
      <c r="M703" t="s">
        <v>1799</v>
      </c>
      <c r="N703" t="s">
        <v>1799</v>
      </c>
      <c r="O703" s="184" t="str">
        <f>"["&amp;$C703&amp;"]["&amp;$D703&amp;"]["&amp;$F703&amp;"]"</f>
        <v>[S05_ImprovementReportArt69][14][Annex1Activity]</v>
      </c>
    </row>
    <row r="704" spans="1:15" x14ac:dyDescent="0.3">
      <c r="A704" t="s">
        <v>1793</v>
      </c>
      <c r="B704" t="s">
        <v>2011</v>
      </c>
      <c r="C704" t="s">
        <v>2012</v>
      </c>
      <c r="D704">
        <v>15</v>
      </c>
      <c r="E704" t="s">
        <v>1447</v>
      </c>
      <c r="F704" t="s">
        <v>2013</v>
      </c>
      <c r="G704" t="s">
        <v>1737</v>
      </c>
      <c r="H704" t="s">
        <v>1799</v>
      </c>
      <c r="I704" t="s">
        <v>1799</v>
      </c>
      <c r="J704" t="s">
        <v>1799</v>
      </c>
      <c r="K704" t="s">
        <v>1799</v>
      </c>
      <c r="L704" t="s">
        <v>1530</v>
      </c>
      <c r="M704" t="s">
        <v>1799</v>
      </c>
      <c r="N704" t="s">
        <v>1799</v>
      </c>
      <c r="O704" s="184" t="str">
        <f>"["&amp;$C704&amp;"]["&amp;$D704&amp;"]["&amp;$F704&amp;"]"</f>
        <v>[S05_ImprovementReportArt69][15][Annex1Activity]</v>
      </c>
    </row>
    <row r="705" spans="1:15" x14ac:dyDescent="0.3">
      <c r="A705" t="s">
        <v>1793</v>
      </c>
      <c r="B705" t="s">
        <v>2011</v>
      </c>
      <c r="C705" t="s">
        <v>2012</v>
      </c>
      <c r="D705">
        <v>16</v>
      </c>
      <c r="E705" t="s">
        <v>1447</v>
      </c>
      <c r="F705" t="s">
        <v>2013</v>
      </c>
      <c r="G705" t="s">
        <v>1737</v>
      </c>
      <c r="H705" t="s">
        <v>1799</v>
      </c>
      <c r="I705" t="s">
        <v>1799</v>
      </c>
      <c r="J705" t="s">
        <v>1799</v>
      </c>
      <c r="K705" t="s">
        <v>1799</v>
      </c>
      <c r="L705" t="s">
        <v>1530</v>
      </c>
      <c r="M705" t="s">
        <v>1799</v>
      </c>
      <c r="N705" t="s">
        <v>1799</v>
      </c>
      <c r="O705" s="184" t="str">
        <f>"["&amp;$C705&amp;"]["&amp;$D705&amp;"]["&amp;$F705&amp;"]"</f>
        <v>[S05_ImprovementReportArt69][16][Annex1Activity]</v>
      </c>
    </row>
    <row r="706" spans="1:15" x14ac:dyDescent="0.3">
      <c r="A706" t="s">
        <v>1793</v>
      </c>
      <c r="B706" t="s">
        <v>2011</v>
      </c>
      <c r="C706" t="s">
        <v>2012</v>
      </c>
      <c r="D706">
        <v>17</v>
      </c>
      <c r="E706" t="s">
        <v>1447</v>
      </c>
      <c r="F706" t="s">
        <v>2013</v>
      </c>
      <c r="G706" t="s">
        <v>1737</v>
      </c>
      <c r="H706" t="s">
        <v>1799</v>
      </c>
      <c r="I706" t="s">
        <v>1799</v>
      </c>
      <c r="J706" t="s">
        <v>1799</v>
      </c>
      <c r="K706" t="s">
        <v>1799</v>
      </c>
      <c r="L706" t="s">
        <v>1448</v>
      </c>
      <c r="M706" t="s">
        <v>1799</v>
      </c>
      <c r="N706" t="s">
        <v>1799</v>
      </c>
      <c r="O706" s="184" t="str">
        <f>"["&amp;$C706&amp;"]["&amp;$D706&amp;"]["&amp;$F706&amp;"]"</f>
        <v>[S05_ImprovementReportArt69][17][Annex1Activity]</v>
      </c>
    </row>
    <row r="707" spans="1:15" x14ac:dyDescent="0.3">
      <c r="A707" t="s">
        <v>1793</v>
      </c>
      <c r="B707" t="s">
        <v>2011</v>
      </c>
      <c r="C707" t="s">
        <v>2012</v>
      </c>
      <c r="D707">
        <v>18</v>
      </c>
      <c r="E707" t="s">
        <v>1447</v>
      </c>
      <c r="F707" t="s">
        <v>2013</v>
      </c>
      <c r="G707" t="s">
        <v>1737</v>
      </c>
      <c r="H707" t="s">
        <v>1799</v>
      </c>
      <c r="I707" t="s">
        <v>1799</v>
      </c>
      <c r="J707" t="s">
        <v>1799</v>
      </c>
      <c r="K707" t="s">
        <v>1799</v>
      </c>
      <c r="L707" t="s">
        <v>1420</v>
      </c>
      <c r="M707" t="s">
        <v>1799</v>
      </c>
      <c r="N707" t="s">
        <v>1799</v>
      </c>
      <c r="O707" s="184" t="str">
        <f>"["&amp;$C707&amp;"]["&amp;$D707&amp;"]["&amp;$F707&amp;"]"</f>
        <v>[S05_ImprovementReportArt69][18][Annex1Activity]</v>
      </c>
    </row>
    <row r="708" spans="1:15" x14ac:dyDescent="0.3">
      <c r="A708" t="s">
        <v>1793</v>
      </c>
      <c r="B708" t="s">
        <v>2011</v>
      </c>
      <c r="C708" t="s">
        <v>2012</v>
      </c>
      <c r="D708">
        <v>19</v>
      </c>
      <c r="E708" t="s">
        <v>1447</v>
      </c>
      <c r="F708" t="s">
        <v>2013</v>
      </c>
      <c r="G708" t="s">
        <v>1737</v>
      </c>
      <c r="H708" t="s">
        <v>1799</v>
      </c>
      <c r="I708" t="s">
        <v>1799</v>
      </c>
      <c r="J708" t="s">
        <v>1799</v>
      </c>
      <c r="K708" t="s">
        <v>1799</v>
      </c>
      <c r="L708" t="s">
        <v>1540</v>
      </c>
      <c r="M708" t="s">
        <v>1799</v>
      </c>
      <c r="N708" t="s">
        <v>1799</v>
      </c>
      <c r="O708" s="184" t="str">
        <f>"["&amp;$C708&amp;"]["&amp;$D708&amp;"]["&amp;$F708&amp;"]"</f>
        <v>[S05_ImprovementReportArt69][19][Annex1Activity]</v>
      </c>
    </row>
    <row r="709" spans="1:15" x14ac:dyDescent="0.3">
      <c r="A709" t="s">
        <v>1793</v>
      </c>
      <c r="B709" t="s">
        <v>2011</v>
      </c>
      <c r="C709" t="s">
        <v>2012</v>
      </c>
      <c r="D709">
        <v>1</v>
      </c>
      <c r="E709" t="s">
        <v>1447</v>
      </c>
      <c r="F709" t="s">
        <v>2014</v>
      </c>
      <c r="G709" t="s">
        <v>1737</v>
      </c>
      <c r="H709" t="s">
        <v>1799</v>
      </c>
      <c r="I709" t="s">
        <v>1799</v>
      </c>
      <c r="J709" t="s">
        <v>1799</v>
      </c>
      <c r="K709" t="s">
        <v>1799</v>
      </c>
      <c r="L709" t="s">
        <v>1488</v>
      </c>
      <c r="M709" t="s">
        <v>1799</v>
      </c>
      <c r="N709" t="s">
        <v>1799</v>
      </c>
      <c r="O709" s="184" t="str">
        <f>"["&amp;$C709&amp;"]["&amp;$D709&amp;"]["&amp;$F709&amp;"]"</f>
        <v>[S05_ImprovementReportArt69][1][ImprovementReportType]</v>
      </c>
    </row>
    <row r="710" spans="1:15" x14ac:dyDescent="0.3">
      <c r="A710" t="s">
        <v>1793</v>
      </c>
      <c r="B710" t="s">
        <v>2011</v>
      </c>
      <c r="C710" t="s">
        <v>2012</v>
      </c>
      <c r="D710">
        <v>2</v>
      </c>
      <c r="E710" t="s">
        <v>1447</v>
      </c>
      <c r="F710" t="s">
        <v>2014</v>
      </c>
      <c r="G710" t="s">
        <v>1737</v>
      </c>
      <c r="H710" t="s">
        <v>1799</v>
      </c>
      <c r="I710" t="s">
        <v>1799</v>
      </c>
      <c r="J710" t="s">
        <v>1799</v>
      </c>
      <c r="K710" t="s">
        <v>1799</v>
      </c>
      <c r="L710" t="s">
        <v>1433</v>
      </c>
      <c r="M710" t="s">
        <v>1799</v>
      </c>
      <c r="N710" t="s">
        <v>1799</v>
      </c>
      <c r="O710" s="184" t="str">
        <f>"["&amp;$C710&amp;"]["&amp;$D710&amp;"]["&amp;$F710&amp;"]"</f>
        <v>[S05_ImprovementReportArt69][2][ImprovementReportType]</v>
      </c>
    </row>
    <row r="711" spans="1:15" x14ac:dyDescent="0.3">
      <c r="A711" t="s">
        <v>1793</v>
      </c>
      <c r="B711" t="s">
        <v>2011</v>
      </c>
      <c r="C711" t="s">
        <v>2012</v>
      </c>
      <c r="D711">
        <v>3</v>
      </c>
      <c r="E711" t="s">
        <v>1447</v>
      </c>
      <c r="F711" t="s">
        <v>2014</v>
      </c>
      <c r="G711" t="s">
        <v>1737</v>
      </c>
      <c r="H711" t="s">
        <v>1799</v>
      </c>
      <c r="I711" t="s">
        <v>1799</v>
      </c>
      <c r="J711" t="s">
        <v>1799</v>
      </c>
      <c r="K711" t="s">
        <v>1799</v>
      </c>
      <c r="L711" t="s">
        <v>1433</v>
      </c>
      <c r="M711" t="s">
        <v>1799</v>
      </c>
      <c r="N711" t="s">
        <v>1799</v>
      </c>
      <c r="O711" s="184" t="str">
        <f>"["&amp;$C711&amp;"]["&amp;$D711&amp;"]["&amp;$F711&amp;"]"</f>
        <v>[S05_ImprovementReportArt69][3][ImprovementReportType]</v>
      </c>
    </row>
    <row r="712" spans="1:15" x14ac:dyDescent="0.3">
      <c r="A712" t="s">
        <v>1793</v>
      </c>
      <c r="B712" t="s">
        <v>2011</v>
      </c>
      <c r="C712" t="s">
        <v>2012</v>
      </c>
      <c r="D712">
        <v>4</v>
      </c>
      <c r="E712" t="s">
        <v>1447</v>
      </c>
      <c r="F712" t="s">
        <v>2014</v>
      </c>
      <c r="G712" t="s">
        <v>1737</v>
      </c>
      <c r="H712" t="s">
        <v>1799</v>
      </c>
      <c r="I712" t="s">
        <v>1799</v>
      </c>
      <c r="J712" t="s">
        <v>1799</v>
      </c>
      <c r="K712" t="s">
        <v>1799</v>
      </c>
      <c r="L712" t="s">
        <v>1488</v>
      </c>
      <c r="M712" t="s">
        <v>1799</v>
      </c>
      <c r="N712" t="s">
        <v>1799</v>
      </c>
      <c r="O712" s="184" t="str">
        <f>"["&amp;$C712&amp;"]["&amp;$D712&amp;"]["&amp;$F712&amp;"]"</f>
        <v>[S05_ImprovementReportArt69][4][ImprovementReportType]</v>
      </c>
    </row>
    <row r="713" spans="1:15" x14ac:dyDescent="0.3">
      <c r="A713" t="s">
        <v>1793</v>
      </c>
      <c r="B713" t="s">
        <v>2011</v>
      </c>
      <c r="C713" t="s">
        <v>2012</v>
      </c>
      <c r="D713">
        <v>5</v>
      </c>
      <c r="E713" t="s">
        <v>1447</v>
      </c>
      <c r="F713" t="s">
        <v>2014</v>
      </c>
      <c r="G713" t="s">
        <v>1737</v>
      </c>
      <c r="H713" t="s">
        <v>1799</v>
      </c>
      <c r="I713" t="s">
        <v>1799</v>
      </c>
      <c r="J713" t="s">
        <v>1799</v>
      </c>
      <c r="K713" t="s">
        <v>1799</v>
      </c>
      <c r="L713" t="s">
        <v>1433</v>
      </c>
      <c r="M713" t="s">
        <v>1799</v>
      </c>
      <c r="N713" t="s">
        <v>1799</v>
      </c>
      <c r="O713" s="184" t="str">
        <f>"["&amp;$C713&amp;"]["&amp;$D713&amp;"]["&amp;$F713&amp;"]"</f>
        <v>[S05_ImprovementReportArt69][5][ImprovementReportType]</v>
      </c>
    </row>
    <row r="714" spans="1:15" x14ac:dyDescent="0.3">
      <c r="A714" t="s">
        <v>1793</v>
      </c>
      <c r="B714" t="s">
        <v>2011</v>
      </c>
      <c r="C714" t="s">
        <v>2012</v>
      </c>
      <c r="D714">
        <v>6</v>
      </c>
      <c r="E714" t="s">
        <v>1447</v>
      </c>
      <c r="F714" t="s">
        <v>2014</v>
      </c>
      <c r="G714" t="s">
        <v>1737</v>
      </c>
      <c r="H714" t="s">
        <v>1799</v>
      </c>
      <c r="I714" t="s">
        <v>1799</v>
      </c>
      <c r="J714" t="s">
        <v>1799</v>
      </c>
      <c r="K714" t="s">
        <v>1799</v>
      </c>
      <c r="L714" t="s">
        <v>1488</v>
      </c>
      <c r="M714" t="s">
        <v>1799</v>
      </c>
      <c r="N714" t="s">
        <v>1799</v>
      </c>
      <c r="O714" s="184" t="str">
        <f>"["&amp;$C714&amp;"]["&amp;$D714&amp;"]["&amp;$F714&amp;"]"</f>
        <v>[S05_ImprovementReportArt69][6][ImprovementReportType]</v>
      </c>
    </row>
    <row r="715" spans="1:15" x14ac:dyDescent="0.3">
      <c r="A715" t="s">
        <v>1793</v>
      </c>
      <c r="B715" t="s">
        <v>2011</v>
      </c>
      <c r="C715" t="s">
        <v>2012</v>
      </c>
      <c r="D715">
        <v>7</v>
      </c>
      <c r="E715" t="s">
        <v>1447</v>
      </c>
      <c r="F715" t="s">
        <v>2014</v>
      </c>
      <c r="G715" t="s">
        <v>1737</v>
      </c>
      <c r="H715" t="s">
        <v>1799</v>
      </c>
      <c r="I715" t="s">
        <v>1799</v>
      </c>
      <c r="J715" t="s">
        <v>1799</v>
      </c>
      <c r="K715" t="s">
        <v>1799</v>
      </c>
      <c r="L715" t="s">
        <v>1488</v>
      </c>
      <c r="M715" t="s">
        <v>1799</v>
      </c>
      <c r="N715" t="s">
        <v>1799</v>
      </c>
      <c r="O715" s="184" t="str">
        <f>"["&amp;$C715&amp;"]["&amp;$D715&amp;"]["&amp;$F715&amp;"]"</f>
        <v>[S05_ImprovementReportArt69][7][ImprovementReportType]</v>
      </c>
    </row>
    <row r="716" spans="1:15" x14ac:dyDescent="0.3">
      <c r="A716" t="s">
        <v>1793</v>
      </c>
      <c r="B716" t="s">
        <v>2011</v>
      </c>
      <c r="C716" t="s">
        <v>2012</v>
      </c>
      <c r="D716">
        <v>8</v>
      </c>
      <c r="E716" t="s">
        <v>1447</v>
      </c>
      <c r="F716" t="s">
        <v>2014</v>
      </c>
      <c r="G716" t="s">
        <v>1737</v>
      </c>
      <c r="H716" t="s">
        <v>1799</v>
      </c>
      <c r="I716" t="s">
        <v>1799</v>
      </c>
      <c r="J716" t="s">
        <v>1799</v>
      </c>
      <c r="K716" t="s">
        <v>1799</v>
      </c>
      <c r="L716" t="s">
        <v>1488</v>
      </c>
      <c r="M716" t="s">
        <v>1799</v>
      </c>
      <c r="N716" t="s">
        <v>1799</v>
      </c>
      <c r="O716" s="184" t="str">
        <f>"["&amp;$C716&amp;"]["&amp;$D716&amp;"]["&amp;$F716&amp;"]"</f>
        <v>[S05_ImprovementReportArt69][8][ImprovementReportType]</v>
      </c>
    </row>
    <row r="717" spans="1:15" x14ac:dyDescent="0.3">
      <c r="A717" t="s">
        <v>1793</v>
      </c>
      <c r="B717" t="s">
        <v>2011</v>
      </c>
      <c r="C717" t="s">
        <v>2012</v>
      </c>
      <c r="D717">
        <v>9</v>
      </c>
      <c r="E717" t="s">
        <v>1447</v>
      </c>
      <c r="F717" t="s">
        <v>2014</v>
      </c>
      <c r="G717" t="s">
        <v>1737</v>
      </c>
      <c r="H717" t="s">
        <v>1799</v>
      </c>
      <c r="I717" t="s">
        <v>1799</v>
      </c>
      <c r="J717" t="s">
        <v>1799</v>
      </c>
      <c r="K717" t="s">
        <v>1799</v>
      </c>
      <c r="L717" t="s">
        <v>1433</v>
      </c>
      <c r="M717" t="s">
        <v>1799</v>
      </c>
      <c r="N717" t="s">
        <v>1799</v>
      </c>
      <c r="O717" s="184" t="str">
        <f>"["&amp;$C717&amp;"]["&amp;$D717&amp;"]["&amp;$F717&amp;"]"</f>
        <v>[S05_ImprovementReportArt69][9][ImprovementReportType]</v>
      </c>
    </row>
    <row r="718" spans="1:15" x14ac:dyDescent="0.3">
      <c r="A718" t="s">
        <v>1793</v>
      </c>
      <c r="B718" t="s">
        <v>2011</v>
      </c>
      <c r="C718" t="s">
        <v>2012</v>
      </c>
      <c r="D718">
        <v>10</v>
      </c>
      <c r="E718" t="s">
        <v>1447</v>
      </c>
      <c r="F718" t="s">
        <v>2014</v>
      </c>
      <c r="G718" t="s">
        <v>1737</v>
      </c>
      <c r="H718" t="s">
        <v>1799</v>
      </c>
      <c r="I718" t="s">
        <v>1799</v>
      </c>
      <c r="J718" t="s">
        <v>1799</v>
      </c>
      <c r="K718" t="s">
        <v>1799</v>
      </c>
      <c r="L718" t="s">
        <v>1488</v>
      </c>
      <c r="M718" t="s">
        <v>1799</v>
      </c>
      <c r="N718" t="s">
        <v>1799</v>
      </c>
      <c r="O718" s="184" t="str">
        <f>"["&amp;$C718&amp;"]["&amp;$D718&amp;"]["&amp;$F718&amp;"]"</f>
        <v>[S05_ImprovementReportArt69][10][ImprovementReportType]</v>
      </c>
    </row>
    <row r="719" spans="1:15" x14ac:dyDescent="0.3">
      <c r="A719" t="s">
        <v>1793</v>
      </c>
      <c r="B719" t="s">
        <v>2011</v>
      </c>
      <c r="C719" t="s">
        <v>2012</v>
      </c>
      <c r="D719">
        <v>11</v>
      </c>
      <c r="E719" t="s">
        <v>1447</v>
      </c>
      <c r="F719" t="s">
        <v>2014</v>
      </c>
      <c r="G719" t="s">
        <v>1737</v>
      </c>
      <c r="H719" t="s">
        <v>1799</v>
      </c>
      <c r="I719" t="s">
        <v>1799</v>
      </c>
      <c r="J719" t="s">
        <v>1799</v>
      </c>
      <c r="K719" t="s">
        <v>1799</v>
      </c>
      <c r="L719" t="s">
        <v>1488</v>
      </c>
      <c r="M719" t="s">
        <v>1799</v>
      </c>
      <c r="N719" t="s">
        <v>1799</v>
      </c>
      <c r="O719" s="184" t="str">
        <f>"["&amp;$C719&amp;"]["&amp;$D719&amp;"]["&amp;$F719&amp;"]"</f>
        <v>[S05_ImprovementReportArt69][11][ImprovementReportType]</v>
      </c>
    </row>
    <row r="720" spans="1:15" x14ac:dyDescent="0.3">
      <c r="A720" t="s">
        <v>1793</v>
      </c>
      <c r="B720" t="s">
        <v>2011</v>
      </c>
      <c r="C720" t="s">
        <v>2012</v>
      </c>
      <c r="D720">
        <v>12</v>
      </c>
      <c r="E720" t="s">
        <v>1447</v>
      </c>
      <c r="F720" t="s">
        <v>2014</v>
      </c>
      <c r="G720" t="s">
        <v>1737</v>
      </c>
      <c r="H720" t="s">
        <v>1799</v>
      </c>
      <c r="I720" t="s">
        <v>1799</v>
      </c>
      <c r="J720" t="s">
        <v>1799</v>
      </c>
      <c r="K720" t="s">
        <v>1799</v>
      </c>
      <c r="L720" t="s">
        <v>1488</v>
      </c>
      <c r="M720" t="s">
        <v>1799</v>
      </c>
      <c r="N720" t="s">
        <v>1799</v>
      </c>
      <c r="O720" s="184" t="str">
        <f>"["&amp;$C720&amp;"]["&amp;$D720&amp;"]["&amp;$F720&amp;"]"</f>
        <v>[S05_ImprovementReportArt69][12][ImprovementReportType]</v>
      </c>
    </row>
    <row r="721" spans="1:15" x14ac:dyDescent="0.3">
      <c r="A721" t="s">
        <v>1793</v>
      </c>
      <c r="B721" t="s">
        <v>2011</v>
      </c>
      <c r="C721" t="s">
        <v>2012</v>
      </c>
      <c r="D721">
        <v>13</v>
      </c>
      <c r="E721" t="s">
        <v>1447</v>
      </c>
      <c r="F721" t="s">
        <v>2014</v>
      </c>
      <c r="G721" t="s">
        <v>1737</v>
      </c>
      <c r="H721" t="s">
        <v>1799</v>
      </c>
      <c r="I721" t="s">
        <v>1799</v>
      </c>
      <c r="J721" t="s">
        <v>1799</v>
      </c>
      <c r="K721" t="s">
        <v>1799</v>
      </c>
      <c r="L721" t="s">
        <v>1488</v>
      </c>
      <c r="M721" t="s">
        <v>1799</v>
      </c>
      <c r="N721" t="s">
        <v>1799</v>
      </c>
      <c r="O721" s="184" t="str">
        <f>"["&amp;$C721&amp;"]["&amp;$D721&amp;"]["&amp;$F721&amp;"]"</f>
        <v>[S05_ImprovementReportArt69][13][ImprovementReportType]</v>
      </c>
    </row>
    <row r="722" spans="1:15" x14ac:dyDescent="0.3">
      <c r="A722" t="s">
        <v>1793</v>
      </c>
      <c r="B722" t="s">
        <v>2011</v>
      </c>
      <c r="C722" t="s">
        <v>2012</v>
      </c>
      <c r="D722">
        <v>14</v>
      </c>
      <c r="E722" t="s">
        <v>1447</v>
      </c>
      <c r="F722" t="s">
        <v>2014</v>
      </c>
      <c r="G722" t="s">
        <v>1737</v>
      </c>
      <c r="H722" t="s">
        <v>1799</v>
      </c>
      <c r="I722" t="s">
        <v>1799</v>
      </c>
      <c r="J722" t="s">
        <v>1799</v>
      </c>
      <c r="K722" t="s">
        <v>1799</v>
      </c>
      <c r="L722" t="s">
        <v>1488</v>
      </c>
      <c r="M722" t="s">
        <v>1799</v>
      </c>
      <c r="N722" t="s">
        <v>1799</v>
      </c>
      <c r="O722" s="184" t="str">
        <f>"["&amp;$C722&amp;"]["&amp;$D722&amp;"]["&amp;$F722&amp;"]"</f>
        <v>[S05_ImprovementReportArt69][14][ImprovementReportType]</v>
      </c>
    </row>
    <row r="723" spans="1:15" x14ac:dyDescent="0.3">
      <c r="A723" t="s">
        <v>1793</v>
      </c>
      <c r="B723" t="s">
        <v>2011</v>
      </c>
      <c r="C723" t="s">
        <v>2012</v>
      </c>
      <c r="D723">
        <v>15</v>
      </c>
      <c r="E723" t="s">
        <v>1447</v>
      </c>
      <c r="F723" t="s">
        <v>2014</v>
      </c>
      <c r="G723" t="s">
        <v>1737</v>
      </c>
      <c r="H723" t="s">
        <v>1799</v>
      </c>
      <c r="I723" t="s">
        <v>1799</v>
      </c>
      <c r="J723" t="s">
        <v>1799</v>
      </c>
      <c r="K723" t="s">
        <v>1799</v>
      </c>
      <c r="L723" t="s">
        <v>1488</v>
      </c>
      <c r="M723" t="s">
        <v>1799</v>
      </c>
      <c r="N723" t="s">
        <v>1799</v>
      </c>
      <c r="O723" s="184" t="str">
        <f>"["&amp;$C723&amp;"]["&amp;$D723&amp;"]["&amp;$F723&amp;"]"</f>
        <v>[S05_ImprovementReportArt69][15][ImprovementReportType]</v>
      </c>
    </row>
    <row r="724" spans="1:15" x14ac:dyDescent="0.3">
      <c r="A724" t="s">
        <v>1793</v>
      </c>
      <c r="B724" t="s">
        <v>2011</v>
      </c>
      <c r="C724" t="s">
        <v>2012</v>
      </c>
      <c r="D724">
        <v>16</v>
      </c>
      <c r="E724" t="s">
        <v>1447</v>
      </c>
      <c r="F724" t="s">
        <v>2014</v>
      </c>
      <c r="G724" t="s">
        <v>1737</v>
      </c>
      <c r="H724" t="s">
        <v>1799</v>
      </c>
      <c r="I724" t="s">
        <v>1799</v>
      </c>
      <c r="J724" t="s">
        <v>1799</v>
      </c>
      <c r="K724" t="s">
        <v>1799</v>
      </c>
      <c r="L724" t="s">
        <v>1433</v>
      </c>
      <c r="M724" t="s">
        <v>1799</v>
      </c>
      <c r="N724" t="s">
        <v>1799</v>
      </c>
      <c r="O724" s="184" t="str">
        <f>"["&amp;$C724&amp;"]["&amp;$D724&amp;"]["&amp;$F724&amp;"]"</f>
        <v>[S05_ImprovementReportArt69][16][ImprovementReportType]</v>
      </c>
    </row>
    <row r="725" spans="1:15" x14ac:dyDescent="0.3">
      <c r="A725" t="s">
        <v>1793</v>
      </c>
      <c r="B725" t="s">
        <v>2011</v>
      </c>
      <c r="C725" t="s">
        <v>2012</v>
      </c>
      <c r="D725">
        <v>17</v>
      </c>
      <c r="E725" t="s">
        <v>1447</v>
      </c>
      <c r="F725" t="s">
        <v>2014</v>
      </c>
      <c r="G725" t="s">
        <v>1737</v>
      </c>
      <c r="H725" t="s">
        <v>1799</v>
      </c>
      <c r="I725" t="s">
        <v>1799</v>
      </c>
      <c r="J725" t="s">
        <v>1799</v>
      </c>
      <c r="K725" t="s">
        <v>1799</v>
      </c>
      <c r="L725" t="s">
        <v>1488</v>
      </c>
      <c r="M725" t="s">
        <v>1799</v>
      </c>
      <c r="N725" t="s">
        <v>1799</v>
      </c>
      <c r="O725" s="184" t="str">
        <f>"["&amp;$C725&amp;"]["&amp;$D725&amp;"]["&amp;$F725&amp;"]"</f>
        <v>[S05_ImprovementReportArt69][17][ImprovementReportType]</v>
      </c>
    </row>
    <row r="726" spans="1:15" x14ac:dyDescent="0.3">
      <c r="A726" t="s">
        <v>1793</v>
      </c>
      <c r="B726" t="s">
        <v>2011</v>
      </c>
      <c r="C726" t="s">
        <v>2012</v>
      </c>
      <c r="D726">
        <v>18</v>
      </c>
      <c r="E726" t="s">
        <v>1447</v>
      </c>
      <c r="F726" t="s">
        <v>2014</v>
      </c>
      <c r="G726" t="s">
        <v>1737</v>
      </c>
      <c r="H726" t="s">
        <v>1799</v>
      </c>
      <c r="I726" t="s">
        <v>1799</v>
      </c>
      <c r="J726" t="s">
        <v>1799</v>
      </c>
      <c r="K726" t="s">
        <v>1799</v>
      </c>
      <c r="L726" t="s">
        <v>1488</v>
      </c>
      <c r="M726" t="s">
        <v>1799</v>
      </c>
      <c r="N726" t="s">
        <v>1799</v>
      </c>
      <c r="O726" s="184" t="str">
        <f>"["&amp;$C726&amp;"]["&amp;$D726&amp;"]["&amp;$F726&amp;"]"</f>
        <v>[S05_ImprovementReportArt69][18][ImprovementReportType]</v>
      </c>
    </row>
    <row r="727" spans="1:15" x14ac:dyDescent="0.3">
      <c r="A727" t="s">
        <v>1793</v>
      </c>
      <c r="B727" t="s">
        <v>2011</v>
      </c>
      <c r="C727" t="s">
        <v>2012</v>
      </c>
      <c r="D727">
        <v>19</v>
      </c>
      <c r="E727" t="s">
        <v>1447</v>
      </c>
      <c r="F727" t="s">
        <v>2014</v>
      </c>
      <c r="G727" t="s">
        <v>1737</v>
      </c>
      <c r="H727" t="s">
        <v>1799</v>
      </c>
      <c r="I727" t="s">
        <v>1799</v>
      </c>
      <c r="J727" t="s">
        <v>1799</v>
      </c>
      <c r="K727" t="s">
        <v>1799</v>
      </c>
      <c r="L727" t="s">
        <v>1488</v>
      </c>
      <c r="M727" t="s">
        <v>1799</v>
      </c>
      <c r="N727" t="s">
        <v>1799</v>
      </c>
      <c r="O727" s="184" t="str">
        <f>"["&amp;$C727&amp;"]["&amp;$D727&amp;"]["&amp;$F727&amp;"]"</f>
        <v>[S05_ImprovementReportArt69][19][ImprovementReportType]</v>
      </c>
    </row>
    <row r="728" spans="1:15" x14ac:dyDescent="0.3">
      <c r="A728" t="s">
        <v>1793</v>
      </c>
      <c r="B728" t="s">
        <v>2011</v>
      </c>
      <c r="C728" t="s">
        <v>2012</v>
      </c>
      <c r="D728">
        <v>1</v>
      </c>
      <c r="E728" t="s">
        <v>1447</v>
      </c>
      <c r="F728" t="s">
        <v>2015</v>
      </c>
      <c r="G728" t="s">
        <v>1811</v>
      </c>
      <c r="H728" t="s">
        <v>1799</v>
      </c>
      <c r="I728">
        <v>14</v>
      </c>
      <c r="J728" t="s">
        <v>1799</v>
      </c>
      <c r="K728" t="s">
        <v>1799</v>
      </c>
      <c r="L728" t="s">
        <v>1799</v>
      </c>
      <c r="M728" t="s">
        <v>1799</v>
      </c>
      <c r="N728" t="s">
        <v>1799</v>
      </c>
      <c r="O728" s="184" t="str">
        <f>"["&amp;$C728&amp;"]["&amp;$D728&amp;"]["&amp;$F728&amp;"]"</f>
        <v>[S05_ImprovementReportArt69][1][ImprovementReportRequired]</v>
      </c>
    </row>
    <row r="729" spans="1:15" x14ac:dyDescent="0.3">
      <c r="A729" t="s">
        <v>1793</v>
      </c>
      <c r="B729" t="s">
        <v>2011</v>
      </c>
      <c r="C729" t="s">
        <v>2012</v>
      </c>
      <c r="D729">
        <v>2</v>
      </c>
      <c r="E729" t="s">
        <v>1447</v>
      </c>
      <c r="F729" t="s">
        <v>2015</v>
      </c>
      <c r="G729" t="s">
        <v>1811</v>
      </c>
      <c r="H729" t="s">
        <v>1799</v>
      </c>
      <c r="I729">
        <v>3</v>
      </c>
      <c r="J729" t="s">
        <v>1799</v>
      </c>
      <c r="K729" t="s">
        <v>1799</v>
      </c>
      <c r="L729" t="s">
        <v>1799</v>
      </c>
      <c r="M729" t="s">
        <v>1799</v>
      </c>
      <c r="N729" t="s">
        <v>1799</v>
      </c>
      <c r="O729" s="184" t="str">
        <f>"["&amp;$C729&amp;"]["&amp;$D729&amp;"]["&amp;$F729&amp;"]"</f>
        <v>[S05_ImprovementReportArt69][2][ImprovementReportRequired]</v>
      </c>
    </row>
    <row r="730" spans="1:15" x14ac:dyDescent="0.3">
      <c r="A730" t="s">
        <v>1793</v>
      </c>
      <c r="B730" t="s">
        <v>2011</v>
      </c>
      <c r="C730" t="s">
        <v>2012</v>
      </c>
      <c r="D730">
        <v>3</v>
      </c>
      <c r="E730" t="s">
        <v>1447</v>
      </c>
      <c r="F730" t="s">
        <v>2015</v>
      </c>
      <c r="G730" t="s">
        <v>1811</v>
      </c>
      <c r="H730" t="s">
        <v>1799</v>
      </c>
      <c r="I730">
        <v>1</v>
      </c>
      <c r="J730" t="s">
        <v>1799</v>
      </c>
      <c r="K730" t="s">
        <v>1799</v>
      </c>
      <c r="L730" t="s">
        <v>1799</v>
      </c>
      <c r="M730" t="s">
        <v>1799</v>
      </c>
      <c r="N730" t="s">
        <v>1799</v>
      </c>
      <c r="O730" s="184" t="str">
        <f>"["&amp;$C730&amp;"]["&amp;$D730&amp;"]["&amp;$F730&amp;"]"</f>
        <v>[S05_ImprovementReportArt69][3][ImprovementReportRequired]</v>
      </c>
    </row>
    <row r="731" spans="1:15" x14ac:dyDescent="0.3">
      <c r="A731" t="s">
        <v>1793</v>
      </c>
      <c r="B731" t="s">
        <v>2011</v>
      </c>
      <c r="C731" t="s">
        <v>2012</v>
      </c>
      <c r="D731">
        <v>4</v>
      </c>
      <c r="E731" t="s">
        <v>1447</v>
      </c>
      <c r="F731" t="s">
        <v>2015</v>
      </c>
      <c r="G731" t="s">
        <v>1811</v>
      </c>
      <c r="H731" t="s">
        <v>1799</v>
      </c>
      <c r="I731">
        <v>2</v>
      </c>
      <c r="J731" t="s">
        <v>1799</v>
      </c>
      <c r="K731" t="s">
        <v>1799</v>
      </c>
      <c r="L731" t="s">
        <v>1799</v>
      </c>
      <c r="M731" t="s">
        <v>1799</v>
      </c>
      <c r="N731" t="s">
        <v>1799</v>
      </c>
      <c r="O731" s="184" t="str">
        <f>"["&amp;$C731&amp;"]["&amp;$D731&amp;"]["&amp;$F731&amp;"]"</f>
        <v>[S05_ImprovementReportArt69][4][ImprovementReportRequired]</v>
      </c>
    </row>
    <row r="732" spans="1:15" x14ac:dyDescent="0.3">
      <c r="A732" t="s">
        <v>1793</v>
      </c>
      <c r="B732" t="s">
        <v>2011</v>
      </c>
      <c r="C732" t="s">
        <v>2012</v>
      </c>
      <c r="D732">
        <v>5</v>
      </c>
      <c r="E732" t="s">
        <v>1447</v>
      </c>
      <c r="F732" t="s">
        <v>2015</v>
      </c>
      <c r="G732" t="s">
        <v>1811</v>
      </c>
      <c r="H732" t="s">
        <v>1799</v>
      </c>
      <c r="I732">
        <v>1</v>
      </c>
      <c r="J732" t="s">
        <v>1799</v>
      </c>
      <c r="K732" t="s">
        <v>1799</v>
      </c>
      <c r="L732" t="s">
        <v>1799</v>
      </c>
      <c r="M732" t="s">
        <v>1799</v>
      </c>
      <c r="N732" t="s">
        <v>1799</v>
      </c>
      <c r="O732" s="184" t="str">
        <f>"["&amp;$C732&amp;"]["&amp;$D732&amp;"]["&amp;$F732&amp;"]"</f>
        <v>[S05_ImprovementReportArt69][5][ImprovementReportRequired]</v>
      </c>
    </row>
    <row r="733" spans="1:15" x14ac:dyDescent="0.3">
      <c r="A733" t="s">
        <v>1793</v>
      </c>
      <c r="B733" t="s">
        <v>2011</v>
      </c>
      <c r="C733" t="s">
        <v>2012</v>
      </c>
      <c r="D733">
        <v>6</v>
      </c>
      <c r="E733" t="s">
        <v>1447</v>
      </c>
      <c r="F733" t="s">
        <v>2015</v>
      </c>
      <c r="G733" t="s">
        <v>1811</v>
      </c>
      <c r="H733" t="s">
        <v>1799</v>
      </c>
      <c r="I733">
        <v>1</v>
      </c>
      <c r="J733" t="s">
        <v>1799</v>
      </c>
      <c r="K733" t="s">
        <v>1799</v>
      </c>
      <c r="L733" t="s">
        <v>1799</v>
      </c>
      <c r="M733" t="s">
        <v>1799</v>
      </c>
      <c r="N733" t="s">
        <v>1799</v>
      </c>
      <c r="O733" s="184" t="str">
        <f>"["&amp;$C733&amp;"]["&amp;$D733&amp;"]["&amp;$F733&amp;"]"</f>
        <v>[S05_ImprovementReportArt69][6][ImprovementReportRequired]</v>
      </c>
    </row>
    <row r="734" spans="1:15" x14ac:dyDescent="0.3">
      <c r="A734" t="s">
        <v>1793</v>
      </c>
      <c r="B734" t="s">
        <v>2011</v>
      </c>
      <c r="C734" t="s">
        <v>2012</v>
      </c>
      <c r="D734">
        <v>7</v>
      </c>
      <c r="E734" t="s">
        <v>1447</v>
      </c>
      <c r="F734" t="s">
        <v>2015</v>
      </c>
      <c r="G734" t="s">
        <v>1811</v>
      </c>
      <c r="H734" t="s">
        <v>1799</v>
      </c>
      <c r="I734">
        <v>2</v>
      </c>
      <c r="J734" t="s">
        <v>1799</v>
      </c>
      <c r="K734" t="s">
        <v>1799</v>
      </c>
      <c r="L734" t="s">
        <v>1799</v>
      </c>
      <c r="M734" t="s">
        <v>1799</v>
      </c>
      <c r="N734" t="s">
        <v>1799</v>
      </c>
      <c r="O734" s="184" t="str">
        <f>"["&amp;$C734&amp;"]["&amp;$D734&amp;"]["&amp;$F734&amp;"]"</f>
        <v>[S05_ImprovementReportArt69][7][ImprovementReportRequired]</v>
      </c>
    </row>
    <row r="735" spans="1:15" x14ac:dyDescent="0.3">
      <c r="A735" t="s">
        <v>1793</v>
      </c>
      <c r="B735" t="s">
        <v>2011</v>
      </c>
      <c r="C735" t="s">
        <v>2012</v>
      </c>
      <c r="D735">
        <v>8</v>
      </c>
      <c r="E735" t="s">
        <v>1447</v>
      </c>
      <c r="F735" t="s">
        <v>2015</v>
      </c>
      <c r="G735" t="s">
        <v>1811</v>
      </c>
      <c r="H735" t="s">
        <v>1799</v>
      </c>
      <c r="I735">
        <v>8</v>
      </c>
      <c r="J735" t="s">
        <v>1799</v>
      </c>
      <c r="K735" t="s">
        <v>1799</v>
      </c>
      <c r="L735" t="s">
        <v>1799</v>
      </c>
      <c r="M735" t="s">
        <v>1799</v>
      </c>
      <c r="N735" t="s">
        <v>1799</v>
      </c>
      <c r="O735" s="184" t="str">
        <f>"["&amp;$C735&amp;"]["&amp;$D735&amp;"]["&amp;$F735&amp;"]"</f>
        <v>[S05_ImprovementReportArt69][8][ImprovementReportRequired]</v>
      </c>
    </row>
    <row r="736" spans="1:15" x14ac:dyDescent="0.3">
      <c r="A736" t="s">
        <v>1793</v>
      </c>
      <c r="B736" t="s">
        <v>2011</v>
      </c>
      <c r="C736" t="s">
        <v>2012</v>
      </c>
      <c r="D736">
        <v>9</v>
      </c>
      <c r="E736" t="s">
        <v>1447</v>
      </c>
      <c r="F736" t="s">
        <v>2015</v>
      </c>
      <c r="G736" t="s">
        <v>1811</v>
      </c>
      <c r="H736" t="s">
        <v>1799</v>
      </c>
      <c r="I736">
        <v>4</v>
      </c>
      <c r="J736" t="s">
        <v>1799</v>
      </c>
      <c r="K736" t="s">
        <v>1799</v>
      </c>
      <c r="L736" t="s">
        <v>1799</v>
      </c>
      <c r="M736" t="s">
        <v>1799</v>
      </c>
      <c r="N736" t="s">
        <v>1799</v>
      </c>
      <c r="O736" s="184" t="str">
        <f>"["&amp;$C736&amp;"]["&amp;$D736&amp;"]["&amp;$F736&amp;"]"</f>
        <v>[S05_ImprovementReportArt69][9][ImprovementReportRequired]</v>
      </c>
    </row>
    <row r="737" spans="1:15" x14ac:dyDescent="0.3">
      <c r="A737" t="s">
        <v>1793</v>
      </c>
      <c r="B737" t="s">
        <v>2011</v>
      </c>
      <c r="C737" t="s">
        <v>2012</v>
      </c>
      <c r="D737">
        <v>10</v>
      </c>
      <c r="E737" t="s">
        <v>1447</v>
      </c>
      <c r="F737" t="s">
        <v>2015</v>
      </c>
      <c r="G737" t="s">
        <v>1811</v>
      </c>
      <c r="H737" t="s">
        <v>1799</v>
      </c>
      <c r="I737">
        <v>2</v>
      </c>
      <c r="J737" t="s">
        <v>1799</v>
      </c>
      <c r="K737" t="s">
        <v>1799</v>
      </c>
      <c r="L737" t="s">
        <v>1799</v>
      </c>
      <c r="M737" t="s">
        <v>1799</v>
      </c>
      <c r="N737" t="s">
        <v>1799</v>
      </c>
      <c r="O737" s="184" t="str">
        <f>"["&amp;$C737&amp;"]["&amp;$D737&amp;"]["&amp;$F737&amp;"]"</f>
        <v>[S05_ImprovementReportArt69][10][ImprovementReportRequired]</v>
      </c>
    </row>
    <row r="738" spans="1:15" x14ac:dyDescent="0.3">
      <c r="A738" t="s">
        <v>1793</v>
      </c>
      <c r="B738" t="s">
        <v>2011</v>
      </c>
      <c r="C738" t="s">
        <v>2012</v>
      </c>
      <c r="D738">
        <v>11</v>
      </c>
      <c r="E738" t="s">
        <v>1447</v>
      </c>
      <c r="F738" t="s">
        <v>2015</v>
      </c>
      <c r="G738" t="s">
        <v>1811</v>
      </c>
      <c r="H738" t="s">
        <v>1799</v>
      </c>
      <c r="I738">
        <v>1</v>
      </c>
      <c r="J738" t="s">
        <v>1799</v>
      </c>
      <c r="K738" t="s">
        <v>1799</v>
      </c>
      <c r="L738" t="s">
        <v>1799</v>
      </c>
      <c r="M738" t="s">
        <v>1799</v>
      </c>
      <c r="N738" t="s">
        <v>1799</v>
      </c>
      <c r="O738" s="184" t="str">
        <f>"["&amp;$C738&amp;"]["&amp;$D738&amp;"]["&amp;$F738&amp;"]"</f>
        <v>[S05_ImprovementReportArt69][11][ImprovementReportRequired]</v>
      </c>
    </row>
    <row r="739" spans="1:15" x14ac:dyDescent="0.3">
      <c r="A739" t="s">
        <v>1793</v>
      </c>
      <c r="B739" t="s">
        <v>2011</v>
      </c>
      <c r="C739" t="s">
        <v>2012</v>
      </c>
      <c r="D739">
        <v>12</v>
      </c>
      <c r="E739" t="s">
        <v>1447</v>
      </c>
      <c r="F739" t="s">
        <v>2015</v>
      </c>
      <c r="G739" t="s">
        <v>1811</v>
      </c>
      <c r="H739" t="s">
        <v>1799</v>
      </c>
      <c r="I739">
        <v>1</v>
      </c>
      <c r="J739" t="s">
        <v>1799</v>
      </c>
      <c r="K739" t="s">
        <v>1799</v>
      </c>
      <c r="L739" t="s">
        <v>1799</v>
      </c>
      <c r="M739" t="s">
        <v>1799</v>
      </c>
      <c r="N739" t="s">
        <v>1799</v>
      </c>
      <c r="O739" s="184" t="str">
        <f>"["&amp;$C739&amp;"]["&amp;$D739&amp;"]["&amp;$F739&amp;"]"</f>
        <v>[S05_ImprovementReportArt69][12][ImprovementReportRequired]</v>
      </c>
    </row>
    <row r="740" spans="1:15" x14ac:dyDescent="0.3">
      <c r="A740" t="s">
        <v>1793</v>
      </c>
      <c r="B740" t="s">
        <v>2011</v>
      </c>
      <c r="C740" t="s">
        <v>2012</v>
      </c>
      <c r="D740">
        <v>13</v>
      </c>
      <c r="E740" t="s">
        <v>1447</v>
      </c>
      <c r="F740" t="s">
        <v>2015</v>
      </c>
      <c r="G740" t="s">
        <v>1811</v>
      </c>
      <c r="H740" t="s">
        <v>1799</v>
      </c>
      <c r="I740">
        <v>3</v>
      </c>
      <c r="J740" t="s">
        <v>1799</v>
      </c>
      <c r="K740" t="s">
        <v>1799</v>
      </c>
      <c r="L740" t="s">
        <v>1799</v>
      </c>
      <c r="M740" t="s">
        <v>1799</v>
      </c>
      <c r="N740" t="s">
        <v>1799</v>
      </c>
      <c r="O740" s="184" t="str">
        <f>"["&amp;$C740&amp;"]["&amp;$D740&amp;"]["&amp;$F740&amp;"]"</f>
        <v>[S05_ImprovementReportArt69][13][ImprovementReportRequired]</v>
      </c>
    </row>
    <row r="741" spans="1:15" x14ac:dyDescent="0.3">
      <c r="A741" t="s">
        <v>1793</v>
      </c>
      <c r="B741" t="s">
        <v>2011</v>
      </c>
      <c r="C741" t="s">
        <v>2012</v>
      </c>
      <c r="D741">
        <v>14</v>
      </c>
      <c r="E741" t="s">
        <v>1447</v>
      </c>
      <c r="F741" t="s">
        <v>2015</v>
      </c>
      <c r="G741" t="s">
        <v>1811</v>
      </c>
      <c r="H741" t="s">
        <v>1799</v>
      </c>
      <c r="I741">
        <v>1</v>
      </c>
      <c r="J741" t="s">
        <v>1799</v>
      </c>
      <c r="K741" t="s">
        <v>1799</v>
      </c>
      <c r="L741" t="s">
        <v>1799</v>
      </c>
      <c r="M741" t="s">
        <v>1799</v>
      </c>
      <c r="N741" t="s">
        <v>1799</v>
      </c>
      <c r="O741" s="184" t="str">
        <f>"["&amp;$C741&amp;"]["&amp;$D741&amp;"]["&amp;$F741&amp;"]"</f>
        <v>[S05_ImprovementReportArt69][14][ImprovementReportRequired]</v>
      </c>
    </row>
    <row r="742" spans="1:15" x14ac:dyDescent="0.3">
      <c r="A742" t="s">
        <v>1793</v>
      </c>
      <c r="B742" t="s">
        <v>2011</v>
      </c>
      <c r="C742" t="s">
        <v>2012</v>
      </c>
      <c r="D742">
        <v>15</v>
      </c>
      <c r="E742" t="s">
        <v>1447</v>
      </c>
      <c r="F742" t="s">
        <v>2015</v>
      </c>
      <c r="G742" t="s">
        <v>1811</v>
      </c>
      <c r="H742" t="s">
        <v>1799</v>
      </c>
      <c r="I742">
        <v>4</v>
      </c>
      <c r="J742" t="s">
        <v>1799</v>
      </c>
      <c r="K742" t="s">
        <v>1799</v>
      </c>
      <c r="L742" t="s">
        <v>1799</v>
      </c>
      <c r="M742" t="s">
        <v>1799</v>
      </c>
      <c r="N742" t="s">
        <v>1799</v>
      </c>
      <c r="O742" s="184" t="str">
        <f>"["&amp;$C742&amp;"]["&amp;$D742&amp;"]["&amp;$F742&amp;"]"</f>
        <v>[S05_ImprovementReportArt69][15][ImprovementReportRequired]</v>
      </c>
    </row>
    <row r="743" spans="1:15" x14ac:dyDescent="0.3">
      <c r="A743" t="s">
        <v>1793</v>
      </c>
      <c r="B743" t="s">
        <v>2011</v>
      </c>
      <c r="C743" t="s">
        <v>2012</v>
      </c>
      <c r="D743">
        <v>16</v>
      </c>
      <c r="E743" t="s">
        <v>1447</v>
      </c>
      <c r="F743" t="s">
        <v>2015</v>
      </c>
      <c r="G743" t="s">
        <v>1811</v>
      </c>
      <c r="H743" t="s">
        <v>1799</v>
      </c>
      <c r="I743">
        <v>1</v>
      </c>
      <c r="J743" t="s">
        <v>1799</v>
      </c>
      <c r="K743" t="s">
        <v>1799</v>
      </c>
      <c r="L743" t="s">
        <v>1799</v>
      </c>
      <c r="M743" t="s">
        <v>1799</v>
      </c>
      <c r="N743" t="s">
        <v>1799</v>
      </c>
      <c r="O743" s="184" t="str">
        <f>"["&amp;$C743&amp;"]["&amp;$D743&amp;"]["&amp;$F743&amp;"]"</f>
        <v>[S05_ImprovementReportArt69][16][ImprovementReportRequired]</v>
      </c>
    </row>
    <row r="744" spans="1:15" x14ac:dyDescent="0.3">
      <c r="A744" t="s">
        <v>1793</v>
      </c>
      <c r="B744" t="s">
        <v>2011</v>
      </c>
      <c r="C744" t="s">
        <v>2012</v>
      </c>
      <c r="D744">
        <v>17</v>
      </c>
      <c r="E744" t="s">
        <v>1447</v>
      </c>
      <c r="F744" t="s">
        <v>2015</v>
      </c>
      <c r="G744" t="s">
        <v>1811</v>
      </c>
      <c r="H744" t="s">
        <v>1799</v>
      </c>
      <c r="I744">
        <v>1</v>
      </c>
      <c r="J744" t="s">
        <v>1799</v>
      </c>
      <c r="K744" t="s">
        <v>1799</v>
      </c>
      <c r="L744" t="s">
        <v>1799</v>
      </c>
      <c r="M744" t="s">
        <v>1799</v>
      </c>
      <c r="N744" t="s">
        <v>1799</v>
      </c>
      <c r="O744" s="184" t="str">
        <f>"["&amp;$C744&amp;"]["&amp;$D744&amp;"]["&amp;$F744&amp;"]"</f>
        <v>[S05_ImprovementReportArt69][17][ImprovementReportRequired]</v>
      </c>
    </row>
    <row r="745" spans="1:15" x14ac:dyDescent="0.3">
      <c r="A745" t="s">
        <v>1793</v>
      </c>
      <c r="B745" t="s">
        <v>2011</v>
      </c>
      <c r="C745" t="s">
        <v>2012</v>
      </c>
      <c r="D745">
        <v>18</v>
      </c>
      <c r="E745" t="s">
        <v>1447</v>
      </c>
      <c r="F745" t="s">
        <v>2015</v>
      </c>
      <c r="G745" t="s">
        <v>1811</v>
      </c>
      <c r="H745" t="s">
        <v>1799</v>
      </c>
      <c r="I745">
        <v>6</v>
      </c>
      <c r="J745" t="s">
        <v>1799</v>
      </c>
      <c r="K745" t="s">
        <v>1799</v>
      </c>
      <c r="L745" t="s">
        <v>1799</v>
      </c>
      <c r="M745" t="s">
        <v>1799</v>
      </c>
      <c r="N745" t="s">
        <v>1799</v>
      </c>
      <c r="O745" s="184" t="str">
        <f>"["&amp;$C745&amp;"]["&amp;$D745&amp;"]["&amp;$F745&amp;"]"</f>
        <v>[S05_ImprovementReportArt69][18][ImprovementReportRequired]</v>
      </c>
    </row>
    <row r="746" spans="1:15" x14ac:dyDescent="0.3">
      <c r="A746" t="s">
        <v>1793</v>
      </c>
      <c r="B746" t="s">
        <v>2011</v>
      </c>
      <c r="C746" t="s">
        <v>2012</v>
      </c>
      <c r="D746">
        <v>19</v>
      </c>
      <c r="E746" t="s">
        <v>1447</v>
      </c>
      <c r="F746" t="s">
        <v>2015</v>
      </c>
      <c r="G746" t="s">
        <v>1811</v>
      </c>
      <c r="H746" t="s">
        <v>1799</v>
      </c>
      <c r="I746">
        <v>1</v>
      </c>
      <c r="J746" t="s">
        <v>1799</v>
      </c>
      <c r="K746" t="s">
        <v>1799</v>
      </c>
      <c r="L746" t="s">
        <v>1799</v>
      </c>
      <c r="M746" t="s">
        <v>1799</v>
      </c>
      <c r="N746" t="s">
        <v>1799</v>
      </c>
      <c r="O746" s="184" t="str">
        <f>"["&amp;$C746&amp;"]["&amp;$D746&amp;"]["&amp;$F746&amp;"]"</f>
        <v>[S05_ImprovementReportArt69][19][ImprovementReportRequired]</v>
      </c>
    </row>
    <row r="747" spans="1:15" x14ac:dyDescent="0.3">
      <c r="A747" t="s">
        <v>1793</v>
      </c>
      <c r="B747" t="s">
        <v>2011</v>
      </c>
      <c r="C747" t="s">
        <v>2012</v>
      </c>
      <c r="D747">
        <v>1</v>
      </c>
      <c r="E747" t="s">
        <v>1447</v>
      </c>
      <c r="F747" t="s">
        <v>2016</v>
      </c>
      <c r="G747" t="s">
        <v>1811</v>
      </c>
      <c r="H747" t="s">
        <v>1799</v>
      </c>
      <c r="I747">
        <v>6</v>
      </c>
      <c r="J747" t="s">
        <v>1799</v>
      </c>
      <c r="K747" t="s">
        <v>1799</v>
      </c>
      <c r="L747" t="s">
        <v>1799</v>
      </c>
      <c r="M747" t="s">
        <v>1799</v>
      </c>
      <c r="N747" t="s">
        <v>1799</v>
      </c>
      <c r="O747" s="184" t="str">
        <f>"["&amp;$C747&amp;"]["&amp;$D747&amp;"]["&amp;$F747&amp;"]"</f>
        <v>[S05_ImprovementReportArt69][1][ImprovementReportSubmitted]</v>
      </c>
    </row>
    <row r="748" spans="1:15" x14ac:dyDescent="0.3">
      <c r="A748" t="s">
        <v>1793</v>
      </c>
      <c r="B748" t="s">
        <v>2011</v>
      </c>
      <c r="C748" t="s">
        <v>2012</v>
      </c>
      <c r="D748">
        <v>2</v>
      </c>
      <c r="E748" t="s">
        <v>1447</v>
      </c>
      <c r="F748" t="s">
        <v>2016</v>
      </c>
      <c r="G748" t="s">
        <v>1811</v>
      </c>
      <c r="H748" t="s">
        <v>1799</v>
      </c>
      <c r="I748">
        <v>1</v>
      </c>
      <c r="J748" t="s">
        <v>1799</v>
      </c>
      <c r="K748" t="s">
        <v>1799</v>
      </c>
      <c r="L748" t="s">
        <v>1799</v>
      </c>
      <c r="M748" t="s">
        <v>1799</v>
      </c>
      <c r="N748" t="s">
        <v>1799</v>
      </c>
      <c r="O748" s="184" t="str">
        <f>"["&amp;$C748&amp;"]["&amp;$D748&amp;"]["&amp;$F748&amp;"]"</f>
        <v>[S05_ImprovementReportArt69][2][ImprovementReportSubmitted]</v>
      </c>
    </row>
    <row r="749" spans="1:15" x14ac:dyDescent="0.3">
      <c r="A749" t="s">
        <v>1793</v>
      </c>
      <c r="B749" t="s">
        <v>2011</v>
      </c>
      <c r="C749" t="s">
        <v>2012</v>
      </c>
      <c r="D749">
        <v>3</v>
      </c>
      <c r="E749" t="s">
        <v>1447</v>
      </c>
      <c r="F749" t="s">
        <v>2016</v>
      </c>
      <c r="G749" t="s">
        <v>1811</v>
      </c>
      <c r="H749" t="s">
        <v>1799</v>
      </c>
      <c r="I749">
        <v>0</v>
      </c>
      <c r="J749" t="s">
        <v>1799</v>
      </c>
      <c r="K749" t="s">
        <v>1799</v>
      </c>
      <c r="L749" t="s">
        <v>1799</v>
      </c>
      <c r="M749" t="s">
        <v>1799</v>
      </c>
      <c r="N749" t="s">
        <v>1799</v>
      </c>
      <c r="O749" s="184" t="str">
        <f>"["&amp;$C749&amp;"]["&amp;$D749&amp;"]["&amp;$F749&amp;"]"</f>
        <v>[S05_ImprovementReportArt69][3][ImprovementReportSubmitted]</v>
      </c>
    </row>
    <row r="750" spans="1:15" x14ac:dyDescent="0.3">
      <c r="A750" t="s">
        <v>1793</v>
      </c>
      <c r="B750" t="s">
        <v>2011</v>
      </c>
      <c r="C750" t="s">
        <v>2012</v>
      </c>
      <c r="D750">
        <v>4</v>
      </c>
      <c r="E750" t="s">
        <v>1447</v>
      </c>
      <c r="F750" t="s">
        <v>2016</v>
      </c>
      <c r="G750" t="s">
        <v>1811</v>
      </c>
      <c r="H750" t="s">
        <v>1799</v>
      </c>
      <c r="I750">
        <v>0</v>
      </c>
      <c r="J750" t="s">
        <v>1799</v>
      </c>
      <c r="K750" t="s">
        <v>1799</v>
      </c>
      <c r="L750" t="s">
        <v>1799</v>
      </c>
      <c r="M750" t="s">
        <v>1799</v>
      </c>
      <c r="N750" t="s">
        <v>1799</v>
      </c>
      <c r="O750" s="184" t="str">
        <f>"["&amp;$C750&amp;"]["&amp;$D750&amp;"]["&amp;$F750&amp;"]"</f>
        <v>[S05_ImprovementReportArt69][4][ImprovementReportSubmitted]</v>
      </c>
    </row>
    <row r="751" spans="1:15" x14ac:dyDescent="0.3">
      <c r="A751" t="s">
        <v>1793</v>
      </c>
      <c r="B751" t="s">
        <v>2011</v>
      </c>
      <c r="C751" t="s">
        <v>2012</v>
      </c>
      <c r="D751">
        <v>5</v>
      </c>
      <c r="E751" t="s">
        <v>1447</v>
      </c>
      <c r="F751" t="s">
        <v>2016</v>
      </c>
      <c r="G751" t="s">
        <v>1811</v>
      </c>
      <c r="H751" t="s">
        <v>1799</v>
      </c>
      <c r="I751">
        <v>0</v>
      </c>
      <c r="J751" t="s">
        <v>1799</v>
      </c>
      <c r="K751" t="s">
        <v>1799</v>
      </c>
      <c r="L751" t="s">
        <v>1799</v>
      </c>
      <c r="M751" t="s">
        <v>1799</v>
      </c>
      <c r="N751" t="s">
        <v>1799</v>
      </c>
      <c r="O751" s="184" t="str">
        <f>"["&amp;$C751&amp;"]["&amp;$D751&amp;"]["&amp;$F751&amp;"]"</f>
        <v>[S05_ImprovementReportArt69][5][ImprovementReportSubmitted]</v>
      </c>
    </row>
    <row r="752" spans="1:15" x14ac:dyDescent="0.3">
      <c r="A752" t="s">
        <v>1793</v>
      </c>
      <c r="B752" t="s">
        <v>2011</v>
      </c>
      <c r="C752" t="s">
        <v>2012</v>
      </c>
      <c r="D752">
        <v>6</v>
      </c>
      <c r="E752" t="s">
        <v>1447</v>
      </c>
      <c r="F752" t="s">
        <v>2016</v>
      </c>
      <c r="G752" t="s">
        <v>1811</v>
      </c>
      <c r="H752" t="s">
        <v>1799</v>
      </c>
      <c r="I752">
        <v>0</v>
      </c>
      <c r="J752" t="s">
        <v>1799</v>
      </c>
      <c r="K752" t="s">
        <v>1799</v>
      </c>
      <c r="L752" t="s">
        <v>1799</v>
      </c>
      <c r="M752" t="s">
        <v>1799</v>
      </c>
      <c r="N752" t="s">
        <v>1799</v>
      </c>
      <c r="O752" s="184" t="str">
        <f>"["&amp;$C752&amp;"]["&amp;$D752&amp;"]["&amp;$F752&amp;"]"</f>
        <v>[S05_ImprovementReportArt69][6][ImprovementReportSubmitted]</v>
      </c>
    </row>
    <row r="753" spans="1:15" x14ac:dyDescent="0.3">
      <c r="A753" t="s">
        <v>1793</v>
      </c>
      <c r="B753" t="s">
        <v>2011</v>
      </c>
      <c r="C753" t="s">
        <v>2012</v>
      </c>
      <c r="D753">
        <v>7</v>
      </c>
      <c r="E753" t="s">
        <v>1447</v>
      </c>
      <c r="F753" t="s">
        <v>2016</v>
      </c>
      <c r="G753" t="s">
        <v>1811</v>
      </c>
      <c r="H753" t="s">
        <v>1799</v>
      </c>
      <c r="I753">
        <v>1</v>
      </c>
      <c r="J753" t="s">
        <v>1799</v>
      </c>
      <c r="K753" t="s">
        <v>1799</v>
      </c>
      <c r="L753" t="s">
        <v>1799</v>
      </c>
      <c r="M753" t="s">
        <v>1799</v>
      </c>
      <c r="N753" t="s">
        <v>1799</v>
      </c>
      <c r="O753" s="184" t="str">
        <f>"["&amp;$C753&amp;"]["&amp;$D753&amp;"]["&amp;$F753&amp;"]"</f>
        <v>[S05_ImprovementReportArt69][7][ImprovementReportSubmitted]</v>
      </c>
    </row>
    <row r="754" spans="1:15" x14ac:dyDescent="0.3">
      <c r="A754" t="s">
        <v>1793</v>
      </c>
      <c r="B754" t="s">
        <v>2011</v>
      </c>
      <c r="C754" t="s">
        <v>2012</v>
      </c>
      <c r="D754">
        <v>8</v>
      </c>
      <c r="E754" t="s">
        <v>1447</v>
      </c>
      <c r="F754" t="s">
        <v>2016</v>
      </c>
      <c r="G754" t="s">
        <v>1811</v>
      </c>
      <c r="H754" t="s">
        <v>1799</v>
      </c>
      <c r="I754">
        <v>5</v>
      </c>
      <c r="J754" t="s">
        <v>1799</v>
      </c>
      <c r="K754" t="s">
        <v>1799</v>
      </c>
      <c r="L754" t="s">
        <v>1799</v>
      </c>
      <c r="M754" t="s">
        <v>1799</v>
      </c>
      <c r="N754" t="s">
        <v>1799</v>
      </c>
      <c r="O754" s="184" t="str">
        <f>"["&amp;$C754&amp;"]["&amp;$D754&amp;"]["&amp;$F754&amp;"]"</f>
        <v>[S05_ImprovementReportArt69][8][ImprovementReportSubmitted]</v>
      </c>
    </row>
    <row r="755" spans="1:15" x14ac:dyDescent="0.3">
      <c r="A755" t="s">
        <v>1793</v>
      </c>
      <c r="B755" t="s">
        <v>2011</v>
      </c>
      <c r="C755" t="s">
        <v>2012</v>
      </c>
      <c r="D755">
        <v>9</v>
      </c>
      <c r="E755" t="s">
        <v>1447</v>
      </c>
      <c r="F755" t="s">
        <v>2016</v>
      </c>
      <c r="G755" t="s">
        <v>1811</v>
      </c>
      <c r="H755" t="s">
        <v>1799</v>
      </c>
      <c r="I755">
        <v>4</v>
      </c>
      <c r="J755" t="s">
        <v>1799</v>
      </c>
      <c r="K755" t="s">
        <v>1799</v>
      </c>
      <c r="L755" t="s">
        <v>1799</v>
      </c>
      <c r="M755" t="s">
        <v>1799</v>
      </c>
      <c r="N755" t="s">
        <v>1799</v>
      </c>
      <c r="O755" s="184" t="str">
        <f>"["&amp;$C755&amp;"]["&amp;$D755&amp;"]["&amp;$F755&amp;"]"</f>
        <v>[S05_ImprovementReportArt69][9][ImprovementReportSubmitted]</v>
      </c>
    </row>
    <row r="756" spans="1:15" x14ac:dyDescent="0.3">
      <c r="A756" t="s">
        <v>1793</v>
      </c>
      <c r="B756" t="s">
        <v>2011</v>
      </c>
      <c r="C756" t="s">
        <v>2012</v>
      </c>
      <c r="D756">
        <v>10</v>
      </c>
      <c r="E756" t="s">
        <v>1447</v>
      </c>
      <c r="F756" t="s">
        <v>2016</v>
      </c>
      <c r="G756" t="s">
        <v>1811</v>
      </c>
      <c r="H756" t="s">
        <v>1799</v>
      </c>
      <c r="I756">
        <v>2</v>
      </c>
      <c r="J756" t="s">
        <v>1799</v>
      </c>
      <c r="K756" t="s">
        <v>1799</v>
      </c>
      <c r="L756" t="s">
        <v>1799</v>
      </c>
      <c r="M756" t="s">
        <v>1799</v>
      </c>
      <c r="N756" t="s">
        <v>1799</v>
      </c>
      <c r="O756" s="184" t="str">
        <f>"["&amp;$C756&amp;"]["&amp;$D756&amp;"]["&amp;$F756&amp;"]"</f>
        <v>[S05_ImprovementReportArt69][10][ImprovementReportSubmitted]</v>
      </c>
    </row>
    <row r="757" spans="1:15" x14ac:dyDescent="0.3">
      <c r="A757" t="s">
        <v>1793</v>
      </c>
      <c r="B757" t="s">
        <v>2011</v>
      </c>
      <c r="C757" t="s">
        <v>2012</v>
      </c>
      <c r="D757">
        <v>11</v>
      </c>
      <c r="E757" t="s">
        <v>1447</v>
      </c>
      <c r="F757" t="s">
        <v>2016</v>
      </c>
      <c r="G757" t="s">
        <v>1811</v>
      </c>
      <c r="H757" t="s">
        <v>1799</v>
      </c>
      <c r="I757">
        <v>0</v>
      </c>
      <c r="J757" t="s">
        <v>1799</v>
      </c>
      <c r="K757" t="s">
        <v>1799</v>
      </c>
      <c r="L757" t="s">
        <v>1799</v>
      </c>
      <c r="M757" t="s">
        <v>1799</v>
      </c>
      <c r="N757" t="s">
        <v>1799</v>
      </c>
      <c r="O757" s="184" t="str">
        <f>"["&amp;$C757&amp;"]["&amp;$D757&amp;"]["&amp;$F757&amp;"]"</f>
        <v>[S05_ImprovementReportArt69][11][ImprovementReportSubmitted]</v>
      </c>
    </row>
    <row r="758" spans="1:15" x14ac:dyDescent="0.3">
      <c r="A758" t="s">
        <v>1793</v>
      </c>
      <c r="B758" t="s">
        <v>2011</v>
      </c>
      <c r="C758" t="s">
        <v>2012</v>
      </c>
      <c r="D758">
        <v>12</v>
      </c>
      <c r="E758" t="s">
        <v>1447</v>
      </c>
      <c r="F758" t="s">
        <v>2016</v>
      </c>
      <c r="G758" t="s">
        <v>1811</v>
      </c>
      <c r="H758" t="s">
        <v>1799</v>
      </c>
      <c r="I758">
        <v>0</v>
      </c>
      <c r="J758" t="s">
        <v>1799</v>
      </c>
      <c r="K758" t="s">
        <v>1799</v>
      </c>
      <c r="L758" t="s">
        <v>1799</v>
      </c>
      <c r="M758" t="s">
        <v>1799</v>
      </c>
      <c r="N758" t="s">
        <v>1799</v>
      </c>
      <c r="O758" s="184" t="str">
        <f>"["&amp;$C758&amp;"]["&amp;$D758&amp;"]["&amp;$F758&amp;"]"</f>
        <v>[S05_ImprovementReportArt69][12][ImprovementReportSubmitted]</v>
      </c>
    </row>
    <row r="759" spans="1:15" x14ac:dyDescent="0.3">
      <c r="A759" t="s">
        <v>1793</v>
      </c>
      <c r="B759" t="s">
        <v>2011</v>
      </c>
      <c r="C759" t="s">
        <v>2012</v>
      </c>
      <c r="D759">
        <v>13</v>
      </c>
      <c r="E759" t="s">
        <v>1447</v>
      </c>
      <c r="F759" t="s">
        <v>2016</v>
      </c>
      <c r="G759" t="s">
        <v>1811</v>
      </c>
      <c r="H759" t="s">
        <v>1799</v>
      </c>
      <c r="I759">
        <v>1</v>
      </c>
      <c r="J759" t="s">
        <v>1799</v>
      </c>
      <c r="K759" t="s">
        <v>1799</v>
      </c>
      <c r="L759" t="s">
        <v>1799</v>
      </c>
      <c r="M759" t="s">
        <v>1799</v>
      </c>
      <c r="N759" t="s">
        <v>1799</v>
      </c>
      <c r="O759" s="184" t="str">
        <f>"["&amp;$C759&amp;"]["&amp;$D759&amp;"]["&amp;$F759&amp;"]"</f>
        <v>[S05_ImprovementReportArt69][13][ImprovementReportSubmitted]</v>
      </c>
    </row>
    <row r="760" spans="1:15" x14ac:dyDescent="0.3">
      <c r="A760" t="s">
        <v>1793</v>
      </c>
      <c r="B760" t="s">
        <v>2011</v>
      </c>
      <c r="C760" t="s">
        <v>2012</v>
      </c>
      <c r="D760">
        <v>14</v>
      </c>
      <c r="E760" t="s">
        <v>1447</v>
      </c>
      <c r="F760" t="s">
        <v>2016</v>
      </c>
      <c r="G760" t="s">
        <v>1811</v>
      </c>
      <c r="H760" t="s">
        <v>1799</v>
      </c>
      <c r="I760">
        <v>0</v>
      </c>
      <c r="J760" t="s">
        <v>1799</v>
      </c>
      <c r="K760" t="s">
        <v>1799</v>
      </c>
      <c r="L760" t="s">
        <v>1799</v>
      </c>
      <c r="M760" t="s">
        <v>1799</v>
      </c>
      <c r="N760" t="s">
        <v>1799</v>
      </c>
      <c r="O760" s="184" t="str">
        <f>"["&amp;$C760&amp;"]["&amp;$D760&amp;"]["&amp;$F760&amp;"]"</f>
        <v>[S05_ImprovementReportArt69][14][ImprovementReportSubmitted]</v>
      </c>
    </row>
    <row r="761" spans="1:15" x14ac:dyDescent="0.3">
      <c r="A761" t="s">
        <v>1793</v>
      </c>
      <c r="B761" t="s">
        <v>2011</v>
      </c>
      <c r="C761" t="s">
        <v>2012</v>
      </c>
      <c r="D761">
        <v>15</v>
      </c>
      <c r="E761" t="s">
        <v>1447</v>
      </c>
      <c r="F761" t="s">
        <v>2016</v>
      </c>
      <c r="G761" t="s">
        <v>1811</v>
      </c>
      <c r="H761" t="s">
        <v>1799</v>
      </c>
      <c r="I761">
        <v>2</v>
      </c>
      <c r="J761" t="s">
        <v>1799</v>
      </c>
      <c r="K761" t="s">
        <v>1799</v>
      </c>
      <c r="L761" t="s">
        <v>1799</v>
      </c>
      <c r="M761" t="s">
        <v>1799</v>
      </c>
      <c r="N761" t="s">
        <v>1799</v>
      </c>
      <c r="O761" s="184" t="str">
        <f>"["&amp;$C761&amp;"]["&amp;$D761&amp;"]["&amp;$F761&amp;"]"</f>
        <v>[S05_ImprovementReportArt69][15][ImprovementReportSubmitted]</v>
      </c>
    </row>
    <row r="762" spans="1:15" x14ac:dyDescent="0.3">
      <c r="A762" t="s">
        <v>1793</v>
      </c>
      <c r="B762" t="s">
        <v>2011</v>
      </c>
      <c r="C762" t="s">
        <v>2012</v>
      </c>
      <c r="D762">
        <v>16</v>
      </c>
      <c r="E762" t="s">
        <v>1447</v>
      </c>
      <c r="F762" t="s">
        <v>2016</v>
      </c>
      <c r="G762" t="s">
        <v>1811</v>
      </c>
      <c r="H762" t="s">
        <v>1799</v>
      </c>
      <c r="I762">
        <v>0</v>
      </c>
      <c r="J762" t="s">
        <v>1799</v>
      </c>
      <c r="K762" t="s">
        <v>1799</v>
      </c>
      <c r="L762" t="s">
        <v>1799</v>
      </c>
      <c r="M762" t="s">
        <v>1799</v>
      </c>
      <c r="N762" t="s">
        <v>1799</v>
      </c>
      <c r="O762" s="184" t="str">
        <f>"["&amp;$C762&amp;"]["&amp;$D762&amp;"]["&amp;$F762&amp;"]"</f>
        <v>[S05_ImprovementReportArt69][16][ImprovementReportSubmitted]</v>
      </c>
    </row>
    <row r="763" spans="1:15" x14ac:dyDescent="0.3">
      <c r="A763" t="s">
        <v>1793</v>
      </c>
      <c r="B763" t="s">
        <v>2011</v>
      </c>
      <c r="C763" t="s">
        <v>2012</v>
      </c>
      <c r="D763">
        <v>17</v>
      </c>
      <c r="E763" t="s">
        <v>1447</v>
      </c>
      <c r="F763" t="s">
        <v>2016</v>
      </c>
      <c r="G763" t="s">
        <v>1811</v>
      </c>
      <c r="H763" t="s">
        <v>1799</v>
      </c>
      <c r="I763">
        <v>1</v>
      </c>
      <c r="J763" t="s">
        <v>1799</v>
      </c>
      <c r="K763" t="s">
        <v>1799</v>
      </c>
      <c r="L763" t="s">
        <v>1799</v>
      </c>
      <c r="M763" t="s">
        <v>1799</v>
      </c>
      <c r="N763" t="s">
        <v>1799</v>
      </c>
      <c r="O763" s="184" t="str">
        <f>"["&amp;$C763&amp;"]["&amp;$D763&amp;"]["&amp;$F763&amp;"]"</f>
        <v>[S05_ImprovementReportArt69][17][ImprovementReportSubmitted]</v>
      </c>
    </row>
    <row r="764" spans="1:15" x14ac:dyDescent="0.3">
      <c r="A764" t="s">
        <v>1793</v>
      </c>
      <c r="B764" t="s">
        <v>2011</v>
      </c>
      <c r="C764" t="s">
        <v>2012</v>
      </c>
      <c r="D764">
        <v>18</v>
      </c>
      <c r="E764" t="s">
        <v>1447</v>
      </c>
      <c r="F764" t="s">
        <v>2016</v>
      </c>
      <c r="G764" t="s">
        <v>1811</v>
      </c>
      <c r="H764" t="s">
        <v>1799</v>
      </c>
      <c r="I764">
        <v>4</v>
      </c>
      <c r="J764" t="s">
        <v>1799</v>
      </c>
      <c r="K764" t="s">
        <v>1799</v>
      </c>
      <c r="L764" t="s">
        <v>1799</v>
      </c>
      <c r="M764" t="s">
        <v>1799</v>
      </c>
      <c r="N764" t="s">
        <v>1799</v>
      </c>
      <c r="O764" s="184" t="str">
        <f>"["&amp;$C764&amp;"]["&amp;$D764&amp;"]["&amp;$F764&amp;"]"</f>
        <v>[S05_ImprovementReportArt69][18][ImprovementReportSubmitted]</v>
      </c>
    </row>
    <row r="765" spans="1:15" x14ac:dyDescent="0.3">
      <c r="A765" t="s">
        <v>1793</v>
      </c>
      <c r="B765" t="s">
        <v>2011</v>
      </c>
      <c r="C765" t="s">
        <v>2012</v>
      </c>
      <c r="D765">
        <v>19</v>
      </c>
      <c r="E765" t="s">
        <v>1447</v>
      </c>
      <c r="F765" t="s">
        <v>2016</v>
      </c>
      <c r="G765" t="s">
        <v>1811</v>
      </c>
      <c r="H765" t="s">
        <v>1799</v>
      </c>
      <c r="I765">
        <v>1</v>
      </c>
      <c r="J765" t="s">
        <v>1799</v>
      </c>
      <c r="K765" t="s">
        <v>1799</v>
      </c>
      <c r="L765" t="s">
        <v>1799</v>
      </c>
      <c r="M765" t="s">
        <v>1799</v>
      </c>
      <c r="N765" t="s">
        <v>1799</v>
      </c>
      <c r="O765" s="184" t="str">
        <f>"["&amp;$C765&amp;"]["&amp;$D765&amp;"]["&amp;$F765&amp;"]"</f>
        <v>[S05_ImprovementReportArt69][19][ImprovementReportSubmitted]</v>
      </c>
    </row>
    <row r="766" spans="1:15" x14ac:dyDescent="0.3">
      <c r="A766" t="s">
        <v>1793</v>
      </c>
      <c r="B766" t="s">
        <v>2017</v>
      </c>
      <c r="C766" t="s">
        <v>2018</v>
      </c>
      <c r="D766">
        <v>0</v>
      </c>
      <c r="E766" t="s">
        <v>1447</v>
      </c>
      <c r="F766" t="s">
        <v>2018</v>
      </c>
      <c r="G766" t="s">
        <v>1833</v>
      </c>
      <c r="H766" t="s">
        <v>1799</v>
      </c>
      <c r="I766" t="s">
        <v>1799</v>
      </c>
      <c r="J766" t="s">
        <v>1799</v>
      </c>
      <c r="K766" t="s">
        <v>1799</v>
      </c>
      <c r="L766" t="s">
        <v>1419</v>
      </c>
      <c r="M766" t="s">
        <v>1799</v>
      </c>
      <c r="N766" t="s">
        <v>1799</v>
      </c>
      <c r="O766" s="184" t="str">
        <f>"["&amp;$C766&amp;"]["&amp;$D766&amp;"]["&amp;$F766&amp;"]"</f>
        <v>[InherentCarbonTransferred][0][InherentCarbonTransferred]</v>
      </c>
    </row>
    <row r="767" spans="1:15" x14ac:dyDescent="0.3">
      <c r="A767" t="s">
        <v>1793</v>
      </c>
      <c r="B767" t="s">
        <v>2017</v>
      </c>
      <c r="C767" t="s">
        <v>2019</v>
      </c>
      <c r="D767">
        <v>1</v>
      </c>
      <c r="E767" t="s">
        <v>1447</v>
      </c>
      <c r="F767" t="s">
        <v>2020</v>
      </c>
      <c r="G767" t="s">
        <v>1737</v>
      </c>
      <c r="H767" t="s">
        <v>1799</v>
      </c>
      <c r="I767" t="s">
        <v>1799</v>
      </c>
      <c r="J767" t="s">
        <v>1799</v>
      </c>
      <c r="K767" t="s">
        <v>1799</v>
      </c>
      <c r="L767" t="s">
        <v>1434</v>
      </c>
      <c r="M767" t="s">
        <v>1799</v>
      </c>
      <c r="N767" t="s">
        <v>1799</v>
      </c>
      <c r="O767" s="184" t="str">
        <f>"["&amp;$C767&amp;"]["&amp;$D767&amp;"]["&amp;$F767&amp;"]"</f>
        <v>[S05_InherentCarbonTransferredDetail][1][TransferType]</v>
      </c>
    </row>
    <row r="768" spans="1:15" x14ac:dyDescent="0.3">
      <c r="A768" t="s">
        <v>1793</v>
      </c>
      <c r="B768" t="s">
        <v>2017</v>
      </c>
      <c r="C768" t="s">
        <v>2019</v>
      </c>
      <c r="D768">
        <v>2</v>
      </c>
      <c r="E768" t="s">
        <v>1447</v>
      </c>
      <c r="F768" t="s">
        <v>2020</v>
      </c>
      <c r="G768" t="s">
        <v>1737</v>
      </c>
      <c r="H768" t="s">
        <v>1799</v>
      </c>
      <c r="I768" t="s">
        <v>1799</v>
      </c>
      <c r="J768" t="s">
        <v>1799</v>
      </c>
      <c r="K768" t="s">
        <v>1799</v>
      </c>
      <c r="L768" t="s">
        <v>1434</v>
      </c>
      <c r="M768" t="s">
        <v>1799</v>
      </c>
      <c r="N768" t="s">
        <v>1799</v>
      </c>
      <c r="O768" s="184" t="str">
        <f>"["&amp;$C768&amp;"]["&amp;$D768&amp;"]["&amp;$F768&amp;"]"</f>
        <v>[S05_InherentCarbonTransferredDetail][2][TransferType]</v>
      </c>
    </row>
    <row r="769" spans="1:15" x14ac:dyDescent="0.3">
      <c r="A769" t="s">
        <v>1793</v>
      </c>
      <c r="B769" t="s">
        <v>2017</v>
      </c>
      <c r="C769" t="s">
        <v>2019</v>
      </c>
      <c r="D769">
        <v>3</v>
      </c>
      <c r="E769" t="s">
        <v>1447</v>
      </c>
      <c r="F769" t="s">
        <v>2020</v>
      </c>
      <c r="G769" t="s">
        <v>1737</v>
      </c>
      <c r="H769" t="s">
        <v>1799</v>
      </c>
      <c r="I769" t="s">
        <v>1799</v>
      </c>
      <c r="J769" t="s">
        <v>1799</v>
      </c>
      <c r="K769" t="s">
        <v>1799</v>
      </c>
      <c r="L769" t="s">
        <v>1434</v>
      </c>
      <c r="M769" t="s">
        <v>1799</v>
      </c>
      <c r="N769" t="s">
        <v>1799</v>
      </c>
      <c r="O769" s="184" t="str">
        <f>"["&amp;$C769&amp;"]["&amp;$D769&amp;"]["&amp;$F769&amp;"]"</f>
        <v>[S05_InherentCarbonTransferredDetail][3][TransferType]</v>
      </c>
    </row>
    <row r="770" spans="1:15" x14ac:dyDescent="0.3">
      <c r="A770" t="s">
        <v>1793</v>
      </c>
      <c r="B770" t="s">
        <v>2017</v>
      </c>
      <c r="C770" t="s">
        <v>2019</v>
      </c>
      <c r="D770">
        <v>4</v>
      </c>
      <c r="E770" t="s">
        <v>1447</v>
      </c>
      <c r="F770" t="s">
        <v>2020</v>
      </c>
      <c r="G770" t="s">
        <v>1737</v>
      </c>
      <c r="H770" t="s">
        <v>1799</v>
      </c>
      <c r="I770" t="s">
        <v>1799</v>
      </c>
      <c r="J770" t="s">
        <v>1799</v>
      </c>
      <c r="K770" t="s">
        <v>1799</v>
      </c>
      <c r="L770" t="s">
        <v>1462</v>
      </c>
      <c r="M770" t="s">
        <v>1799</v>
      </c>
      <c r="N770" t="s">
        <v>1799</v>
      </c>
      <c r="O770" s="184" t="str">
        <f>"["&amp;$C770&amp;"]["&amp;$D770&amp;"]["&amp;$F770&amp;"]"</f>
        <v>[S05_InherentCarbonTransferredDetail][4][TransferType]</v>
      </c>
    </row>
    <row r="771" spans="1:15" x14ac:dyDescent="0.3">
      <c r="A771" t="s">
        <v>1793</v>
      </c>
      <c r="B771" t="s">
        <v>2017</v>
      </c>
      <c r="C771" t="s">
        <v>2019</v>
      </c>
      <c r="D771">
        <v>5</v>
      </c>
      <c r="E771" t="s">
        <v>1447</v>
      </c>
      <c r="F771" t="s">
        <v>2020</v>
      </c>
      <c r="G771" t="s">
        <v>1737</v>
      </c>
      <c r="H771" t="s">
        <v>1799</v>
      </c>
      <c r="I771" t="s">
        <v>1799</v>
      </c>
      <c r="J771" t="s">
        <v>1799</v>
      </c>
      <c r="K771" t="s">
        <v>1799</v>
      </c>
      <c r="L771" t="s">
        <v>1462</v>
      </c>
      <c r="M771" t="s">
        <v>1799</v>
      </c>
      <c r="N771" t="s">
        <v>1799</v>
      </c>
      <c r="O771" s="184" t="str">
        <f>"["&amp;$C771&amp;"]["&amp;$D771&amp;"]["&amp;$F771&amp;"]"</f>
        <v>[S05_InherentCarbonTransferredDetail][5][TransferType]</v>
      </c>
    </row>
    <row r="772" spans="1:15" x14ac:dyDescent="0.3">
      <c r="A772" t="s">
        <v>1793</v>
      </c>
      <c r="B772" t="s">
        <v>2017</v>
      </c>
      <c r="C772" t="s">
        <v>2019</v>
      </c>
      <c r="D772">
        <v>1</v>
      </c>
      <c r="E772" t="s">
        <v>1447</v>
      </c>
      <c r="F772" t="s">
        <v>2021</v>
      </c>
      <c r="G772" t="s">
        <v>1797</v>
      </c>
      <c r="H772" t="s">
        <v>2022</v>
      </c>
      <c r="I772" t="s">
        <v>1799</v>
      </c>
      <c r="J772" t="s">
        <v>1799</v>
      </c>
      <c r="K772" t="s">
        <v>1799</v>
      </c>
      <c r="L772" t="s">
        <v>1799</v>
      </c>
      <c r="M772" t="s">
        <v>1799</v>
      </c>
      <c r="N772" t="s">
        <v>1799</v>
      </c>
      <c r="O772" s="184" t="str">
        <f>"["&amp;$C772&amp;"]["&amp;$D772&amp;"]["&amp;$F772&amp;"]"</f>
        <v>[S05_InherentCarbonTransferredDetail][1][InstallationIdTransferring]</v>
      </c>
    </row>
    <row r="773" spans="1:15" x14ac:dyDescent="0.3">
      <c r="A773" t="s">
        <v>1793</v>
      </c>
      <c r="B773" t="s">
        <v>2017</v>
      </c>
      <c r="C773" t="s">
        <v>2019</v>
      </c>
      <c r="D773">
        <v>2</v>
      </c>
      <c r="E773" t="s">
        <v>1447</v>
      </c>
      <c r="F773" t="s">
        <v>2021</v>
      </c>
      <c r="G773" t="s">
        <v>1797</v>
      </c>
      <c r="H773" t="s">
        <v>2022</v>
      </c>
      <c r="I773" t="s">
        <v>1799</v>
      </c>
      <c r="J773" t="s">
        <v>1799</v>
      </c>
      <c r="K773" t="s">
        <v>1799</v>
      </c>
      <c r="L773" t="s">
        <v>1799</v>
      </c>
      <c r="M773" t="s">
        <v>1799</v>
      </c>
      <c r="N773" t="s">
        <v>1799</v>
      </c>
      <c r="O773" s="184" t="str">
        <f>"["&amp;$C773&amp;"]["&amp;$D773&amp;"]["&amp;$F773&amp;"]"</f>
        <v>[S05_InherentCarbonTransferredDetail][2][InstallationIdTransferring]</v>
      </c>
    </row>
    <row r="774" spans="1:15" x14ac:dyDescent="0.3">
      <c r="A774" t="s">
        <v>1793</v>
      </c>
      <c r="B774" t="s">
        <v>2017</v>
      </c>
      <c r="C774" t="s">
        <v>2019</v>
      </c>
      <c r="D774">
        <v>3</v>
      </c>
      <c r="E774" t="s">
        <v>1447</v>
      </c>
      <c r="F774" t="s">
        <v>2021</v>
      </c>
      <c r="G774" t="s">
        <v>1797</v>
      </c>
      <c r="H774" t="s">
        <v>2022</v>
      </c>
      <c r="I774" t="s">
        <v>1799</v>
      </c>
      <c r="J774" t="s">
        <v>1799</v>
      </c>
      <c r="K774" t="s">
        <v>1799</v>
      </c>
      <c r="L774" t="s">
        <v>1799</v>
      </c>
      <c r="M774" t="s">
        <v>1799</v>
      </c>
      <c r="N774" t="s">
        <v>1799</v>
      </c>
      <c r="O774" s="184" t="str">
        <f>"["&amp;$C774&amp;"]["&amp;$D774&amp;"]["&amp;$F774&amp;"]"</f>
        <v>[S05_InherentCarbonTransferredDetail][3][InstallationIdTransferring]</v>
      </c>
    </row>
    <row r="775" spans="1:15" x14ac:dyDescent="0.3">
      <c r="A775" t="s">
        <v>1793</v>
      </c>
      <c r="B775" t="s">
        <v>2017</v>
      </c>
      <c r="C775" t="s">
        <v>2019</v>
      </c>
      <c r="D775">
        <v>4</v>
      </c>
      <c r="E775" t="s">
        <v>1447</v>
      </c>
      <c r="F775" t="s">
        <v>2021</v>
      </c>
      <c r="G775" t="s">
        <v>1797</v>
      </c>
      <c r="H775" t="s">
        <v>2023</v>
      </c>
      <c r="I775" t="s">
        <v>1799</v>
      </c>
      <c r="J775" t="s">
        <v>1799</v>
      </c>
      <c r="K775" t="s">
        <v>1799</v>
      </c>
      <c r="L775" t="s">
        <v>1799</v>
      </c>
      <c r="M775" t="s">
        <v>1799</v>
      </c>
      <c r="N775" t="s">
        <v>1799</v>
      </c>
      <c r="O775" s="184" t="str">
        <f>"["&amp;$C775&amp;"]["&amp;$D775&amp;"]["&amp;$F775&amp;"]"</f>
        <v>[S05_InherentCarbonTransferredDetail][4][InstallationIdTransferring]</v>
      </c>
    </row>
    <row r="776" spans="1:15" x14ac:dyDescent="0.3">
      <c r="A776" t="s">
        <v>1793</v>
      </c>
      <c r="B776" t="s">
        <v>2017</v>
      </c>
      <c r="C776" t="s">
        <v>2019</v>
      </c>
      <c r="D776">
        <v>5</v>
      </c>
      <c r="E776" t="s">
        <v>1447</v>
      </c>
      <c r="F776" t="s">
        <v>2021</v>
      </c>
      <c r="G776" t="s">
        <v>1797</v>
      </c>
      <c r="H776" t="s">
        <v>1995</v>
      </c>
      <c r="I776" t="s">
        <v>1799</v>
      </c>
      <c r="J776" t="s">
        <v>1799</v>
      </c>
      <c r="K776" t="s">
        <v>1799</v>
      </c>
      <c r="L776" t="s">
        <v>1799</v>
      </c>
      <c r="M776" t="s">
        <v>1799</v>
      </c>
      <c r="N776" t="s">
        <v>1799</v>
      </c>
      <c r="O776" s="184" t="str">
        <f>"["&amp;$C776&amp;"]["&amp;$D776&amp;"]["&amp;$F776&amp;"]"</f>
        <v>[S05_InherentCarbonTransferredDetail][5][InstallationIdTransferring]</v>
      </c>
    </row>
    <row r="777" spans="1:15" x14ac:dyDescent="0.3">
      <c r="A777" t="s">
        <v>1793</v>
      </c>
      <c r="B777" t="s">
        <v>2017</v>
      </c>
      <c r="C777" t="s">
        <v>2019</v>
      </c>
      <c r="D777">
        <v>1</v>
      </c>
      <c r="E777" t="s">
        <v>1447</v>
      </c>
      <c r="F777" t="s">
        <v>2024</v>
      </c>
      <c r="G777" t="s">
        <v>1797</v>
      </c>
      <c r="H777" t="s">
        <v>2025</v>
      </c>
      <c r="I777" t="s">
        <v>1799</v>
      </c>
      <c r="J777" t="s">
        <v>1799</v>
      </c>
      <c r="K777" t="s">
        <v>1799</v>
      </c>
      <c r="L777" t="s">
        <v>1799</v>
      </c>
      <c r="M777" t="s">
        <v>1799</v>
      </c>
      <c r="N777" t="s">
        <v>1799</v>
      </c>
      <c r="O777" s="184" t="str">
        <f>"["&amp;$C777&amp;"]["&amp;$D777&amp;"]["&amp;$F777&amp;"]"</f>
        <v>[S05_InherentCarbonTransferredDetail][1][InstallationIdReceiving]</v>
      </c>
    </row>
    <row r="778" spans="1:15" x14ac:dyDescent="0.3">
      <c r="A778" t="s">
        <v>1793</v>
      </c>
      <c r="B778" t="s">
        <v>2017</v>
      </c>
      <c r="C778" t="s">
        <v>2019</v>
      </c>
      <c r="D778">
        <v>2</v>
      </c>
      <c r="E778" t="s">
        <v>1447</v>
      </c>
      <c r="F778" t="s">
        <v>2024</v>
      </c>
      <c r="G778" t="s">
        <v>1797</v>
      </c>
      <c r="H778" t="s">
        <v>2026</v>
      </c>
      <c r="I778" t="s">
        <v>1799</v>
      </c>
      <c r="J778" t="s">
        <v>1799</v>
      </c>
      <c r="K778" t="s">
        <v>1799</v>
      </c>
      <c r="L778" t="s">
        <v>1799</v>
      </c>
      <c r="M778" t="s">
        <v>1799</v>
      </c>
      <c r="N778" t="s">
        <v>1799</v>
      </c>
      <c r="O778" s="184" t="str">
        <f>"["&amp;$C778&amp;"]["&amp;$D778&amp;"]["&amp;$F778&amp;"]"</f>
        <v>[S05_InherentCarbonTransferredDetail][2][InstallationIdReceiving]</v>
      </c>
    </row>
    <row r="779" spans="1:15" x14ac:dyDescent="0.3">
      <c r="A779" t="s">
        <v>1793</v>
      </c>
      <c r="B779" t="s">
        <v>2017</v>
      </c>
      <c r="C779" t="s">
        <v>2019</v>
      </c>
      <c r="D779">
        <v>3</v>
      </c>
      <c r="E779" t="s">
        <v>1447</v>
      </c>
      <c r="F779" t="s">
        <v>2024</v>
      </c>
      <c r="G779" t="s">
        <v>1797</v>
      </c>
      <c r="H779" t="s">
        <v>2027</v>
      </c>
      <c r="I779" t="s">
        <v>1799</v>
      </c>
      <c r="J779" t="s">
        <v>1799</v>
      </c>
      <c r="K779" t="s">
        <v>1799</v>
      </c>
      <c r="L779" t="s">
        <v>1799</v>
      </c>
      <c r="M779" t="s">
        <v>1799</v>
      </c>
      <c r="N779" t="s">
        <v>1799</v>
      </c>
      <c r="O779" s="184" t="str">
        <f>"["&amp;$C779&amp;"]["&amp;$D779&amp;"]["&amp;$F779&amp;"]"</f>
        <v>[S05_InherentCarbonTransferredDetail][3][InstallationIdReceiving]</v>
      </c>
    </row>
    <row r="780" spans="1:15" x14ac:dyDescent="0.3">
      <c r="A780" t="s">
        <v>1793</v>
      </c>
      <c r="B780" t="s">
        <v>2017</v>
      </c>
      <c r="C780" t="s">
        <v>2019</v>
      </c>
      <c r="D780">
        <v>1</v>
      </c>
      <c r="E780" t="s">
        <v>1447</v>
      </c>
      <c r="F780" t="s">
        <v>2028</v>
      </c>
      <c r="G780" t="s">
        <v>1922</v>
      </c>
      <c r="H780" t="s">
        <v>1799</v>
      </c>
      <c r="I780" t="s">
        <v>1799</v>
      </c>
      <c r="J780">
        <v>2199</v>
      </c>
      <c r="K780" t="s">
        <v>1799</v>
      </c>
      <c r="L780" t="s">
        <v>1799</v>
      </c>
      <c r="M780" t="s">
        <v>1799</v>
      </c>
      <c r="N780" t="s">
        <v>1799</v>
      </c>
      <c r="O780" s="184" t="str">
        <f>"["&amp;$C780&amp;"]["&amp;$D780&amp;"]["&amp;$F780&amp;"]"</f>
        <v>[S05_InherentCarbonTransferredDetail][1][AmountCO2Transferred]</v>
      </c>
    </row>
    <row r="781" spans="1:15" x14ac:dyDescent="0.3">
      <c r="A781" t="s">
        <v>1793</v>
      </c>
      <c r="B781" t="s">
        <v>2017</v>
      </c>
      <c r="C781" t="s">
        <v>2019</v>
      </c>
      <c r="D781">
        <v>2</v>
      </c>
      <c r="E781" t="s">
        <v>1447</v>
      </c>
      <c r="F781" t="s">
        <v>2028</v>
      </c>
      <c r="G781" t="s">
        <v>1922</v>
      </c>
      <c r="H781" t="s">
        <v>1799</v>
      </c>
      <c r="I781" t="s">
        <v>1799</v>
      </c>
      <c r="J781">
        <v>30233</v>
      </c>
      <c r="K781" t="s">
        <v>1799</v>
      </c>
      <c r="L781" t="s">
        <v>1799</v>
      </c>
      <c r="M781" t="s">
        <v>1799</v>
      </c>
      <c r="N781" t="s">
        <v>1799</v>
      </c>
      <c r="O781" s="184" t="str">
        <f>"["&amp;$C781&amp;"]["&amp;$D781&amp;"]["&amp;$F781&amp;"]"</f>
        <v>[S05_InherentCarbonTransferredDetail][2][AmountCO2Transferred]</v>
      </c>
    </row>
    <row r="782" spans="1:15" x14ac:dyDescent="0.3">
      <c r="A782" t="s">
        <v>1793</v>
      </c>
      <c r="B782" t="s">
        <v>2017</v>
      </c>
      <c r="C782" t="s">
        <v>2019</v>
      </c>
      <c r="D782">
        <v>3</v>
      </c>
      <c r="E782" t="s">
        <v>1447</v>
      </c>
      <c r="F782" t="s">
        <v>2028</v>
      </c>
      <c r="G782" t="s">
        <v>1922</v>
      </c>
      <c r="H782" t="s">
        <v>1799</v>
      </c>
      <c r="I782" t="s">
        <v>1799</v>
      </c>
      <c r="J782">
        <v>35766</v>
      </c>
      <c r="K782" t="s">
        <v>1799</v>
      </c>
      <c r="L782" t="s">
        <v>1799</v>
      </c>
      <c r="M782" t="s">
        <v>1799</v>
      </c>
      <c r="N782" t="s">
        <v>1799</v>
      </c>
      <c r="O782" s="184" t="str">
        <f>"["&amp;$C782&amp;"]["&amp;$D782&amp;"]["&amp;$F782&amp;"]"</f>
        <v>[S05_InherentCarbonTransferredDetail][3][AmountCO2Transferred]</v>
      </c>
    </row>
    <row r="783" spans="1:15" x14ac:dyDescent="0.3">
      <c r="A783" t="s">
        <v>1793</v>
      </c>
      <c r="B783" t="s">
        <v>2017</v>
      </c>
      <c r="C783" t="s">
        <v>2019</v>
      </c>
      <c r="D783">
        <v>5</v>
      </c>
      <c r="E783" t="s">
        <v>1447</v>
      </c>
      <c r="F783" t="s">
        <v>2028</v>
      </c>
      <c r="G783" t="s">
        <v>1922</v>
      </c>
      <c r="H783" t="s">
        <v>1799</v>
      </c>
      <c r="I783" t="s">
        <v>1799</v>
      </c>
      <c r="J783">
        <v>307223</v>
      </c>
      <c r="K783" t="s">
        <v>1799</v>
      </c>
      <c r="L783" t="s">
        <v>1799</v>
      </c>
      <c r="M783" t="s">
        <v>1799</v>
      </c>
      <c r="N783" t="s">
        <v>1799</v>
      </c>
      <c r="O783" s="184" t="str">
        <f>"["&amp;$C783&amp;"]["&amp;$D783&amp;"]["&amp;$F783&amp;"]"</f>
        <v>[S05_InherentCarbonTransferredDetail][5][AmountCO2Transferred]</v>
      </c>
    </row>
    <row r="784" spans="1:15" x14ac:dyDescent="0.3">
      <c r="A784" t="s">
        <v>1793</v>
      </c>
      <c r="B784" t="s">
        <v>2017</v>
      </c>
      <c r="C784" t="s">
        <v>2019</v>
      </c>
      <c r="D784">
        <v>1</v>
      </c>
      <c r="E784" t="s">
        <v>1447</v>
      </c>
      <c r="F784" t="s">
        <v>2029</v>
      </c>
      <c r="G784" t="s">
        <v>1922</v>
      </c>
      <c r="H784" t="s">
        <v>1799</v>
      </c>
      <c r="I784" t="s">
        <v>1799</v>
      </c>
      <c r="J784">
        <v>2198</v>
      </c>
      <c r="K784" t="s">
        <v>1799</v>
      </c>
      <c r="L784" t="s">
        <v>1799</v>
      </c>
      <c r="M784" t="s">
        <v>1799</v>
      </c>
      <c r="N784" t="s">
        <v>1799</v>
      </c>
      <c r="O784" s="184" t="str">
        <f>"["&amp;$C784&amp;"]["&amp;$D784&amp;"]["&amp;$F784&amp;"]"</f>
        <v>[S05_InherentCarbonTransferredDetail][1][InherentCO2Received]</v>
      </c>
    </row>
    <row r="785" spans="1:15" x14ac:dyDescent="0.3">
      <c r="A785" t="s">
        <v>1793</v>
      </c>
      <c r="B785" t="s">
        <v>2017</v>
      </c>
      <c r="C785" t="s">
        <v>2019</v>
      </c>
      <c r="D785">
        <v>2</v>
      </c>
      <c r="E785" t="s">
        <v>1447</v>
      </c>
      <c r="F785" t="s">
        <v>2029</v>
      </c>
      <c r="G785" t="s">
        <v>1922</v>
      </c>
      <c r="H785" t="s">
        <v>1799</v>
      </c>
      <c r="I785" t="s">
        <v>1799</v>
      </c>
      <c r="J785">
        <v>30233</v>
      </c>
      <c r="K785" t="s">
        <v>1799</v>
      </c>
      <c r="L785" t="s">
        <v>1799</v>
      </c>
      <c r="M785" t="s">
        <v>1799</v>
      </c>
      <c r="N785" t="s">
        <v>1799</v>
      </c>
      <c r="O785" s="184" t="str">
        <f>"["&amp;$C785&amp;"]["&amp;$D785&amp;"]["&amp;$F785&amp;"]"</f>
        <v>[S05_InherentCarbonTransferredDetail][2][InherentCO2Received]</v>
      </c>
    </row>
    <row r="786" spans="1:15" x14ac:dyDescent="0.3">
      <c r="A786" t="s">
        <v>1793</v>
      </c>
      <c r="B786" t="s">
        <v>2017</v>
      </c>
      <c r="C786" t="s">
        <v>2019</v>
      </c>
      <c r="D786">
        <v>3</v>
      </c>
      <c r="E786" t="s">
        <v>1447</v>
      </c>
      <c r="F786" t="s">
        <v>2029</v>
      </c>
      <c r="G786" t="s">
        <v>1922</v>
      </c>
      <c r="H786" t="s">
        <v>1799</v>
      </c>
      <c r="I786" t="s">
        <v>1799</v>
      </c>
      <c r="J786">
        <v>35766</v>
      </c>
      <c r="K786" t="s">
        <v>1799</v>
      </c>
      <c r="L786" t="s">
        <v>1799</v>
      </c>
      <c r="M786" t="s">
        <v>1799</v>
      </c>
      <c r="N786" t="s">
        <v>1799</v>
      </c>
      <c r="O786" s="184" t="str">
        <f>"["&amp;$C786&amp;"]["&amp;$D786&amp;"]["&amp;$F786&amp;"]"</f>
        <v>[S05_InherentCarbonTransferredDetail][3][InherentCO2Received]</v>
      </c>
    </row>
    <row r="787" spans="1:15" x14ac:dyDescent="0.3">
      <c r="A787" t="s">
        <v>1793</v>
      </c>
      <c r="B787" t="s">
        <v>2017</v>
      </c>
      <c r="C787" t="s">
        <v>2019</v>
      </c>
      <c r="D787">
        <v>5</v>
      </c>
      <c r="E787" t="s">
        <v>1447</v>
      </c>
      <c r="F787" t="s">
        <v>2029</v>
      </c>
      <c r="G787" t="s">
        <v>1922</v>
      </c>
      <c r="H787" t="s">
        <v>1799</v>
      </c>
      <c r="I787" t="s">
        <v>1799</v>
      </c>
      <c r="J787">
        <v>307223</v>
      </c>
      <c r="K787" t="s">
        <v>1799</v>
      </c>
      <c r="L787" t="s">
        <v>1799</v>
      </c>
      <c r="M787" t="s">
        <v>1799</v>
      </c>
      <c r="N787" t="s">
        <v>1799</v>
      </c>
      <c r="O787" s="184" t="str">
        <f>"["&amp;$C787&amp;"]["&amp;$D787&amp;"]["&amp;$F787&amp;"]"</f>
        <v>[S05_InherentCarbonTransferredDetail][5][InherentCO2Received]</v>
      </c>
    </row>
    <row r="788" spans="1:15" x14ac:dyDescent="0.3">
      <c r="A788" t="s">
        <v>1793</v>
      </c>
      <c r="B788" t="s">
        <v>2017</v>
      </c>
      <c r="C788" t="s">
        <v>2019</v>
      </c>
      <c r="D788">
        <v>1</v>
      </c>
      <c r="E788" t="s">
        <v>1447</v>
      </c>
      <c r="F788" t="s">
        <v>2030</v>
      </c>
      <c r="G788" t="s">
        <v>1737</v>
      </c>
      <c r="H788" t="s">
        <v>1799</v>
      </c>
      <c r="I788" t="s">
        <v>1799</v>
      </c>
      <c r="J788" t="s">
        <v>1799</v>
      </c>
      <c r="K788" t="s">
        <v>1799</v>
      </c>
      <c r="L788" t="s">
        <v>1420</v>
      </c>
      <c r="M788" t="s">
        <v>1799</v>
      </c>
      <c r="N788" t="s">
        <v>1799</v>
      </c>
      <c r="O788" s="184" t="str">
        <f>"["&amp;$C788&amp;"]["&amp;$D788&amp;"]["&amp;$F788&amp;"]"</f>
        <v>[S05_InherentCarbonTransferredDetail][1][ReceivingInstallationType]</v>
      </c>
    </row>
    <row r="789" spans="1:15" x14ac:dyDescent="0.3">
      <c r="A789" t="s">
        <v>1793</v>
      </c>
      <c r="B789" t="s">
        <v>2017</v>
      </c>
      <c r="C789" t="s">
        <v>2019</v>
      </c>
      <c r="D789">
        <v>2</v>
      </c>
      <c r="E789" t="s">
        <v>1447</v>
      </c>
      <c r="F789" t="s">
        <v>2030</v>
      </c>
      <c r="G789" t="s">
        <v>1737</v>
      </c>
      <c r="H789" t="s">
        <v>1799</v>
      </c>
      <c r="I789" t="s">
        <v>1799</v>
      </c>
      <c r="J789" t="s">
        <v>1799</v>
      </c>
      <c r="K789" t="s">
        <v>1799</v>
      </c>
      <c r="L789" t="s">
        <v>1568</v>
      </c>
      <c r="M789" t="s">
        <v>1799</v>
      </c>
      <c r="N789" t="s">
        <v>1799</v>
      </c>
      <c r="O789" s="184" t="str">
        <f>"["&amp;$C789&amp;"]["&amp;$D789&amp;"]["&amp;$F789&amp;"]"</f>
        <v>[S05_InherentCarbonTransferredDetail][2][ReceivingInstallationType]</v>
      </c>
    </row>
    <row r="790" spans="1:15" x14ac:dyDescent="0.3">
      <c r="A790" t="s">
        <v>1793</v>
      </c>
      <c r="B790" t="s">
        <v>2017</v>
      </c>
      <c r="C790" t="s">
        <v>2019</v>
      </c>
      <c r="D790">
        <v>3</v>
      </c>
      <c r="E790" t="s">
        <v>1447</v>
      </c>
      <c r="F790" t="s">
        <v>2030</v>
      </c>
      <c r="G790" t="s">
        <v>1737</v>
      </c>
      <c r="H790" t="s">
        <v>1799</v>
      </c>
      <c r="I790" t="s">
        <v>1799</v>
      </c>
      <c r="J790" t="s">
        <v>1799</v>
      </c>
      <c r="K790" t="s">
        <v>1799</v>
      </c>
      <c r="L790" t="s">
        <v>1518</v>
      </c>
      <c r="M790" t="s">
        <v>1799</v>
      </c>
      <c r="N790" t="s">
        <v>1799</v>
      </c>
      <c r="O790" s="184" t="str">
        <f>"["&amp;$C790&amp;"]["&amp;$D790&amp;"]["&amp;$F790&amp;"]"</f>
        <v>[S05_InherentCarbonTransferredDetail][3][ReceivingInstallationType]</v>
      </c>
    </row>
    <row r="791" spans="1:15" x14ac:dyDescent="0.3">
      <c r="A791" t="s">
        <v>1793</v>
      </c>
      <c r="B791" t="s">
        <v>2017</v>
      </c>
      <c r="C791" t="s">
        <v>2019</v>
      </c>
      <c r="D791">
        <v>4</v>
      </c>
      <c r="E791" t="s">
        <v>1447</v>
      </c>
      <c r="F791" t="s">
        <v>2030</v>
      </c>
      <c r="G791" t="s">
        <v>1737</v>
      </c>
      <c r="H791" t="s">
        <v>1799</v>
      </c>
      <c r="I791" t="s">
        <v>1799</v>
      </c>
      <c r="J791" t="s">
        <v>1799</v>
      </c>
      <c r="K791" t="s">
        <v>1799</v>
      </c>
      <c r="L791" t="s">
        <v>1646</v>
      </c>
      <c r="M791" t="s">
        <v>1799</v>
      </c>
      <c r="N791" t="s">
        <v>1799</v>
      </c>
      <c r="O791" s="184" t="str">
        <f>"["&amp;$C791&amp;"]["&amp;$D791&amp;"]["&amp;$F791&amp;"]"</f>
        <v>[S05_InherentCarbonTransferredDetail][4][ReceivingInstallationType]</v>
      </c>
    </row>
    <row r="792" spans="1:15" x14ac:dyDescent="0.3">
      <c r="A792" t="s">
        <v>1793</v>
      </c>
      <c r="B792" t="s">
        <v>2017</v>
      </c>
      <c r="C792" t="s">
        <v>2019</v>
      </c>
      <c r="D792">
        <v>5</v>
      </c>
      <c r="E792" t="s">
        <v>1447</v>
      </c>
      <c r="F792" t="s">
        <v>2030</v>
      </c>
      <c r="G792" t="s">
        <v>1737</v>
      </c>
      <c r="H792" t="s">
        <v>1799</v>
      </c>
      <c r="I792" t="s">
        <v>1799</v>
      </c>
      <c r="J792" t="s">
        <v>1799</v>
      </c>
      <c r="K792" t="s">
        <v>1799</v>
      </c>
      <c r="L792" t="s">
        <v>1646</v>
      </c>
      <c r="M792" t="s">
        <v>1799</v>
      </c>
      <c r="N792" t="s">
        <v>1799</v>
      </c>
      <c r="O792" s="184" t="str">
        <f>"["&amp;$C792&amp;"]["&amp;$D792&amp;"]["&amp;$F792&amp;"]"</f>
        <v>[S05_InherentCarbonTransferredDetail][5][ReceivingInstallationType]</v>
      </c>
    </row>
    <row r="793" spans="1:15" x14ac:dyDescent="0.3">
      <c r="A793" t="s">
        <v>1793</v>
      </c>
      <c r="B793" t="s">
        <v>2017</v>
      </c>
      <c r="C793" t="s">
        <v>2019</v>
      </c>
      <c r="D793">
        <v>4</v>
      </c>
      <c r="E793" t="s">
        <v>1447</v>
      </c>
      <c r="F793" t="s">
        <v>2031</v>
      </c>
      <c r="G793" t="s">
        <v>1797</v>
      </c>
      <c r="H793" t="s">
        <v>2032</v>
      </c>
      <c r="I793" t="s">
        <v>1799</v>
      </c>
      <c r="J793" t="s">
        <v>1799</v>
      </c>
      <c r="K793" t="s">
        <v>1799</v>
      </c>
      <c r="L793" t="s">
        <v>1799</v>
      </c>
      <c r="M793" t="s">
        <v>1799</v>
      </c>
      <c r="N793" t="s">
        <v>1799</v>
      </c>
      <c r="O793" s="184" t="str">
        <f>"["&amp;$C793&amp;"]["&amp;$D793&amp;"]["&amp;$F793&amp;"]"</f>
        <v>[S05_InherentCarbonTransferredDetail][4][StorageSitePermitNumber]</v>
      </c>
    </row>
    <row r="794" spans="1:15" x14ac:dyDescent="0.3">
      <c r="A794" t="s">
        <v>1793</v>
      </c>
      <c r="B794" t="s">
        <v>2017</v>
      </c>
      <c r="C794" t="s">
        <v>2019</v>
      </c>
      <c r="D794">
        <v>5</v>
      </c>
      <c r="E794" t="s">
        <v>1447</v>
      </c>
      <c r="F794" t="s">
        <v>2031</v>
      </c>
      <c r="G794" t="s">
        <v>1797</v>
      </c>
      <c r="H794" t="s">
        <v>2033</v>
      </c>
      <c r="I794" t="s">
        <v>1799</v>
      </c>
      <c r="J794" t="s">
        <v>1799</v>
      </c>
      <c r="K794" t="s">
        <v>1799</v>
      </c>
      <c r="L794" t="s">
        <v>1799</v>
      </c>
      <c r="M794" t="s">
        <v>1799</v>
      </c>
      <c r="N794" t="s">
        <v>1799</v>
      </c>
      <c r="O794" s="184" t="str">
        <f>"["&amp;$C794&amp;"]["&amp;$D794&amp;"]["&amp;$F794&amp;"]"</f>
        <v>[S05_InherentCarbonTransferredDetail][5][StorageSitePermitNumber]</v>
      </c>
    </row>
    <row r="795" spans="1:15" x14ac:dyDescent="0.3">
      <c r="A795" t="s">
        <v>1793</v>
      </c>
      <c r="B795" t="s">
        <v>2034</v>
      </c>
      <c r="C795" t="s">
        <v>2035</v>
      </c>
      <c r="D795">
        <v>0</v>
      </c>
      <c r="E795" t="s">
        <v>1447</v>
      </c>
      <c r="F795" t="s">
        <v>2035</v>
      </c>
      <c r="G795" t="s">
        <v>1833</v>
      </c>
      <c r="H795" t="s">
        <v>1799</v>
      </c>
      <c r="I795" t="s">
        <v>1799</v>
      </c>
      <c r="J795" t="s">
        <v>1799</v>
      </c>
      <c r="K795" t="s">
        <v>1799</v>
      </c>
      <c r="L795" t="s">
        <v>1419</v>
      </c>
      <c r="M795" t="s">
        <v>1799</v>
      </c>
      <c r="N795" t="s">
        <v>1799</v>
      </c>
      <c r="O795" s="184" t="str">
        <f>"["&amp;$C795&amp;"]["&amp;$D795&amp;"]["&amp;$F795&amp;"]"</f>
        <v>[ContinuousEmissionsMeasurement][0][ContinuousEmissionsMeasurement]</v>
      </c>
    </row>
    <row r="796" spans="1:15" x14ac:dyDescent="0.3">
      <c r="A796" t="s">
        <v>1793</v>
      </c>
      <c r="B796" t="s">
        <v>2034</v>
      </c>
      <c r="C796" t="s">
        <v>2036</v>
      </c>
      <c r="D796">
        <v>1</v>
      </c>
      <c r="E796" t="s">
        <v>1447</v>
      </c>
      <c r="F796" t="s">
        <v>2037</v>
      </c>
      <c r="G796" t="s">
        <v>1797</v>
      </c>
      <c r="H796" t="s">
        <v>1995</v>
      </c>
      <c r="I796" t="s">
        <v>1799</v>
      </c>
      <c r="J796" t="s">
        <v>1799</v>
      </c>
      <c r="K796" t="s">
        <v>1799</v>
      </c>
      <c r="L796" t="s">
        <v>1799</v>
      </c>
      <c r="M796" t="s">
        <v>1799</v>
      </c>
      <c r="N796" t="s">
        <v>1799</v>
      </c>
      <c r="O796" s="184" t="str">
        <f>"["&amp;$C796&amp;"]["&amp;$D796&amp;"]["&amp;$F796&amp;"]"</f>
        <v>[S05_ContinuousEmissionsMeasurementDetail][1][InstallationIDCO2]</v>
      </c>
    </row>
    <row r="797" spans="1:15" x14ac:dyDescent="0.3">
      <c r="A797" t="s">
        <v>1793</v>
      </c>
      <c r="B797" t="s">
        <v>2034</v>
      </c>
      <c r="C797" t="s">
        <v>2036</v>
      </c>
      <c r="D797">
        <v>4</v>
      </c>
      <c r="E797" t="s">
        <v>1447</v>
      </c>
      <c r="F797" t="s">
        <v>2037</v>
      </c>
      <c r="G797" t="s">
        <v>1797</v>
      </c>
      <c r="H797" t="s">
        <v>1988</v>
      </c>
      <c r="I797" t="s">
        <v>1799</v>
      </c>
      <c r="J797" t="s">
        <v>1799</v>
      </c>
      <c r="K797" t="s">
        <v>1799</v>
      </c>
      <c r="L797" t="s">
        <v>1799</v>
      </c>
      <c r="M797" t="s">
        <v>1799</v>
      </c>
      <c r="N797" t="s">
        <v>1799</v>
      </c>
      <c r="O797" s="184" t="str">
        <f>"["&amp;$C797&amp;"]["&amp;$D797&amp;"]["&amp;$F797&amp;"]"</f>
        <v>[S05_ContinuousEmissionsMeasurementDetail][4][InstallationIDCO2]</v>
      </c>
    </row>
    <row r="798" spans="1:15" x14ac:dyDescent="0.3">
      <c r="A798" t="s">
        <v>1793</v>
      </c>
      <c r="B798" t="s">
        <v>2034</v>
      </c>
      <c r="C798" t="s">
        <v>2036</v>
      </c>
      <c r="D798">
        <v>2</v>
      </c>
      <c r="E798" t="s">
        <v>1447</v>
      </c>
      <c r="F798" t="s">
        <v>2038</v>
      </c>
      <c r="G798" t="s">
        <v>1797</v>
      </c>
      <c r="H798" t="s">
        <v>2039</v>
      </c>
      <c r="I798" t="s">
        <v>1799</v>
      </c>
      <c r="J798" t="s">
        <v>1799</v>
      </c>
      <c r="K798" t="s">
        <v>1799</v>
      </c>
      <c r="L798" t="s">
        <v>1799</v>
      </c>
      <c r="M798" t="s">
        <v>1799</v>
      </c>
      <c r="N798" t="s">
        <v>1799</v>
      </c>
      <c r="O798" s="184" t="str">
        <f>"["&amp;$C798&amp;"]["&amp;$D798&amp;"]["&amp;$F798&amp;"]"</f>
        <v>[S05_ContinuousEmissionsMeasurementDetail][2][InstallationIDN2O]</v>
      </c>
    </row>
    <row r="799" spans="1:15" x14ac:dyDescent="0.3">
      <c r="A799" t="s">
        <v>1793</v>
      </c>
      <c r="B799" t="s">
        <v>2034</v>
      </c>
      <c r="C799" t="s">
        <v>2036</v>
      </c>
      <c r="D799">
        <v>3</v>
      </c>
      <c r="E799" t="s">
        <v>1447</v>
      </c>
      <c r="F799" t="s">
        <v>2038</v>
      </c>
      <c r="G799" t="s">
        <v>1797</v>
      </c>
      <c r="H799" t="s">
        <v>2040</v>
      </c>
      <c r="I799" t="s">
        <v>1799</v>
      </c>
      <c r="J799" t="s">
        <v>1799</v>
      </c>
      <c r="K799" t="s">
        <v>1799</v>
      </c>
      <c r="L799" t="s">
        <v>1799</v>
      </c>
      <c r="M799" t="s">
        <v>1799</v>
      </c>
      <c r="N799" t="s">
        <v>1799</v>
      </c>
      <c r="O799" s="184" t="str">
        <f>"["&amp;$C799&amp;"]["&amp;$D799&amp;"]["&amp;$F799&amp;"]"</f>
        <v>[S05_ContinuousEmissionsMeasurementDetail][3][InstallationIDN2O]</v>
      </c>
    </row>
    <row r="800" spans="1:15" x14ac:dyDescent="0.3">
      <c r="A800" t="s">
        <v>1793</v>
      </c>
      <c r="B800" t="s">
        <v>2034</v>
      </c>
      <c r="C800" t="s">
        <v>2036</v>
      </c>
      <c r="D800">
        <v>1</v>
      </c>
      <c r="E800" t="s">
        <v>1447</v>
      </c>
      <c r="F800" t="s">
        <v>2041</v>
      </c>
      <c r="G800" t="s">
        <v>1922</v>
      </c>
      <c r="H800" t="s">
        <v>1799</v>
      </c>
      <c r="I800" t="s">
        <v>1799</v>
      </c>
      <c r="J800">
        <v>761353</v>
      </c>
      <c r="K800" t="s">
        <v>1799</v>
      </c>
      <c r="L800" t="s">
        <v>1799</v>
      </c>
      <c r="M800" t="s">
        <v>1799</v>
      </c>
      <c r="N800" t="s">
        <v>1799</v>
      </c>
      <c r="O800" s="184" t="str">
        <f>"["&amp;$C800&amp;"]["&amp;$D800&amp;"]["&amp;$F800&amp;"]"</f>
        <v>[S05_ContinuousEmissionsMeasurementDetail][1][TotalEmissionsCO2E]</v>
      </c>
    </row>
    <row r="801" spans="1:15" x14ac:dyDescent="0.3">
      <c r="A801" t="s">
        <v>1793</v>
      </c>
      <c r="B801" t="s">
        <v>2034</v>
      </c>
      <c r="C801" t="s">
        <v>2036</v>
      </c>
      <c r="D801">
        <v>2</v>
      </c>
      <c r="E801" t="s">
        <v>1447</v>
      </c>
      <c r="F801" t="s">
        <v>2041</v>
      </c>
      <c r="G801" t="s">
        <v>1922</v>
      </c>
      <c r="H801" t="s">
        <v>1799</v>
      </c>
      <c r="I801" t="s">
        <v>1799</v>
      </c>
      <c r="J801">
        <v>17122</v>
      </c>
      <c r="K801" t="s">
        <v>1799</v>
      </c>
      <c r="L801" t="s">
        <v>1799</v>
      </c>
      <c r="M801" t="s">
        <v>1799</v>
      </c>
      <c r="N801" t="s">
        <v>1799</v>
      </c>
      <c r="O801" s="184" t="str">
        <f>"["&amp;$C801&amp;"]["&amp;$D801&amp;"]["&amp;$F801&amp;"]"</f>
        <v>[S05_ContinuousEmissionsMeasurementDetail][2][TotalEmissionsCO2E]</v>
      </c>
    </row>
    <row r="802" spans="1:15" x14ac:dyDescent="0.3">
      <c r="A802" t="s">
        <v>1793</v>
      </c>
      <c r="B802" t="s">
        <v>2034</v>
      </c>
      <c r="C802" t="s">
        <v>2036</v>
      </c>
      <c r="D802">
        <v>3</v>
      </c>
      <c r="E802" t="s">
        <v>1447</v>
      </c>
      <c r="F802" t="s">
        <v>2041</v>
      </c>
      <c r="G802" t="s">
        <v>1922</v>
      </c>
      <c r="H802" t="s">
        <v>1799</v>
      </c>
      <c r="I802" t="s">
        <v>1799</v>
      </c>
      <c r="J802">
        <v>733910</v>
      </c>
      <c r="K802" t="s">
        <v>1799</v>
      </c>
      <c r="L802" t="s">
        <v>1799</v>
      </c>
      <c r="M802" t="s">
        <v>1799</v>
      </c>
      <c r="N802" t="s">
        <v>1799</v>
      </c>
      <c r="O802" s="184" t="str">
        <f>"["&amp;$C802&amp;"]["&amp;$D802&amp;"]["&amp;$F802&amp;"]"</f>
        <v>[S05_ContinuousEmissionsMeasurementDetail][3][TotalEmissionsCO2E]</v>
      </c>
    </row>
    <row r="803" spans="1:15" x14ac:dyDescent="0.3">
      <c r="A803" t="s">
        <v>1793</v>
      </c>
      <c r="B803" t="s">
        <v>2034</v>
      </c>
      <c r="C803" t="s">
        <v>2036</v>
      </c>
      <c r="D803">
        <v>4</v>
      </c>
      <c r="E803" t="s">
        <v>1447</v>
      </c>
      <c r="F803" t="s">
        <v>2041</v>
      </c>
      <c r="G803" t="s">
        <v>1922</v>
      </c>
      <c r="H803" t="s">
        <v>1799</v>
      </c>
      <c r="I803" t="s">
        <v>1799</v>
      </c>
      <c r="J803">
        <v>1993700</v>
      </c>
      <c r="K803" t="s">
        <v>1799</v>
      </c>
      <c r="L803" t="s">
        <v>1799</v>
      </c>
      <c r="M803" t="s">
        <v>1799</v>
      </c>
      <c r="N803" t="s">
        <v>1799</v>
      </c>
      <c r="O803" s="184" t="str">
        <f>"["&amp;$C803&amp;"]["&amp;$D803&amp;"]["&amp;$F803&amp;"]"</f>
        <v>[S05_ContinuousEmissionsMeasurementDetail][4][TotalEmissionsCO2E]</v>
      </c>
    </row>
    <row r="804" spans="1:15" x14ac:dyDescent="0.3">
      <c r="A804" t="s">
        <v>1793</v>
      </c>
      <c r="B804" t="s">
        <v>2034</v>
      </c>
      <c r="C804" t="s">
        <v>2036</v>
      </c>
      <c r="D804">
        <v>1</v>
      </c>
      <c r="E804" t="s">
        <v>1447</v>
      </c>
      <c r="F804" t="s">
        <v>2042</v>
      </c>
      <c r="G804" t="s">
        <v>1922</v>
      </c>
      <c r="H804" t="s">
        <v>1799</v>
      </c>
      <c r="I804" t="s">
        <v>1799</v>
      </c>
      <c r="J804">
        <v>3074</v>
      </c>
      <c r="K804" t="s">
        <v>1799</v>
      </c>
      <c r="L804" t="s">
        <v>1799</v>
      </c>
      <c r="M804" t="s">
        <v>1799</v>
      </c>
      <c r="N804" t="s">
        <v>1799</v>
      </c>
      <c r="O804" s="184" t="str">
        <f>"["&amp;$C804&amp;"]["&amp;$D804&amp;"]["&amp;$F804&amp;"]"</f>
        <v>[S05_ContinuousEmissionsMeasurementDetail][1][ContinuousMeasurementTotalEmissions]</v>
      </c>
    </row>
    <row r="805" spans="1:15" x14ac:dyDescent="0.3">
      <c r="A805" t="s">
        <v>1793</v>
      </c>
      <c r="B805" t="s">
        <v>2034</v>
      </c>
      <c r="C805" t="s">
        <v>2036</v>
      </c>
      <c r="D805">
        <v>2</v>
      </c>
      <c r="E805" t="s">
        <v>1447</v>
      </c>
      <c r="F805" t="s">
        <v>2042</v>
      </c>
      <c r="G805" t="s">
        <v>1922</v>
      </c>
      <c r="H805" t="s">
        <v>1799</v>
      </c>
      <c r="I805" t="s">
        <v>1799</v>
      </c>
      <c r="J805">
        <v>17122</v>
      </c>
      <c r="K805" t="s">
        <v>1799</v>
      </c>
      <c r="L805" t="s">
        <v>1799</v>
      </c>
      <c r="M805" t="s">
        <v>1799</v>
      </c>
      <c r="N805" t="s">
        <v>1799</v>
      </c>
      <c r="O805" s="184" t="str">
        <f>"["&amp;$C805&amp;"]["&amp;$D805&amp;"]["&amp;$F805&amp;"]"</f>
        <v>[S05_ContinuousEmissionsMeasurementDetail][2][ContinuousMeasurementTotalEmissions]</v>
      </c>
    </row>
    <row r="806" spans="1:15" x14ac:dyDescent="0.3">
      <c r="A806" t="s">
        <v>1793</v>
      </c>
      <c r="B806" t="s">
        <v>2034</v>
      </c>
      <c r="C806" t="s">
        <v>2036</v>
      </c>
      <c r="D806">
        <v>3</v>
      </c>
      <c r="E806" t="s">
        <v>1447</v>
      </c>
      <c r="F806" t="s">
        <v>2042</v>
      </c>
      <c r="G806" t="s">
        <v>1922</v>
      </c>
      <c r="H806" t="s">
        <v>1799</v>
      </c>
      <c r="I806" t="s">
        <v>1799</v>
      </c>
      <c r="J806">
        <v>31785</v>
      </c>
      <c r="K806" t="s">
        <v>1799</v>
      </c>
      <c r="L806" t="s">
        <v>1799</v>
      </c>
      <c r="M806" t="s">
        <v>1799</v>
      </c>
      <c r="N806" t="s">
        <v>1799</v>
      </c>
      <c r="O806" s="184" t="str">
        <f>"["&amp;$C806&amp;"]["&amp;$D806&amp;"]["&amp;$F806&amp;"]"</f>
        <v>[S05_ContinuousEmissionsMeasurementDetail][3][ContinuousMeasurementTotalEmissions]</v>
      </c>
    </row>
    <row r="807" spans="1:15" x14ac:dyDescent="0.3">
      <c r="A807" t="s">
        <v>1793</v>
      </c>
      <c r="B807" t="s">
        <v>2034</v>
      </c>
      <c r="C807" t="s">
        <v>2036</v>
      </c>
      <c r="D807">
        <v>4</v>
      </c>
      <c r="E807" t="s">
        <v>1447</v>
      </c>
      <c r="F807" t="s">
        <v>2042</v>
      </c>
      <c r="G807" t="s">
        <v>1922</v>
      </c>
      <c r="H807" t="s">
        <v>1799</v>
      </c>
      <c r="I807" t="s">
        <v>1799</v>
      </c>
      <c r="J807">
        <v>853931</v>
      </c>
      <c r="K807" t="s">
        <v>1799</v>
      </c>
      <c r="L807" t="s">
        <v>1799</v>
      </c>
      <c r="M807" t="s">
        <v>1799</v>
      </c>
      <c r="N807" t="s">
        <v>1799</v>
      </c>
      <c r="O807" s="184" t="str">
        <f>"["&amp;$C807&amp;"]["&amp;$D807&amp;"]["&amp;$F807&amp;"]"</f>
        <v>[S05_ContinuousEmissionsMeasurementDetail][4][ContinuousMeasurementTotalEmissions]</v>
      </c>
    </row>
    <row r="808" spans="1:15" x14ac:dyDescent="0.3">
      <c r="A808" t="s">
        <v>1793</v>
      </c>
      <c r="B808" t="s">
        <v>2034</v>
      </c>
      <c r="C808" t="s">
        <v>2036</v>
      </c>
      <c r="D808">
        <v>1</v>
      </c>
      <c r="E808" t="s">
        <v>1447</v>
      </c>
      <c r="F808" t="s">
        <v>2043</v>
      </c>
      <c r="G808" t="s">
        <v>1833</v>
      </c>
      <c r="H808" t="s">
        <v>1799</v>
      </c>
      <c r="I808" t="s">
        <v>1799</v>
      </c>
      <c r="J808" t="s">
        <v>1799</v>
      </c>
      <c r="K808" t="s">
        <v>1799</v>
      </c>
      <c r="L808" t="s">
        <v>1447</v>
      </c>
      <c r="M808" t="s">
        <v>1799</v>
      </c>
      <c r="N808" t="s">
        <v>1799</v>
      </c>
      <c r="O808" s="184" t="str">
        <f>"["&amp;$C808&amp;"]["&amp;$D808&amp;"]["&amp;$F808&amp;"]"</f>
        <v>[S05_ContinuousEmissionsMeasurementDetail][1][FlueGasContainBiomass]</v>
      </c>
    </row>
    <row r="809" spans="1:15" x14ac:dyDescent="0.3">
      <c r="A809" t="s">
        <v>1793</v>
      </c>
      <c r="B809" t="s">
        <v>2034</v>
      </c>
      <c r="C809" t="s">
        <v>2036</v>
      </c>
      <c r="D809">
        <v>2</v>
      </c>
      <c r="E809" t="s">
        <v>1447</v>
      </c>
      <c r="F809" t="s">
        <v>2043</v>
      </c>
      <c r="G809" t="s">
        <v>1833</v>
      </c>
      <c r="H809" t="s">
        <v>1799</v>
      </c>
      <c r="I809" t="s">
        <v>1799</v>
      </c>
      <c r="J809" t="s">
        <v>1799</v>
      </c>
      <c r="K809" t="s">
        <v>1799</v>
      </c>
      <c r="L809" t="s">
        <v>1447</v>
      </c>
      <c r="M809" t="s">
        <v>1799</v>
      </c>
      <c r="N809" t="s">
        <v>1799</v>
      </c>
      <c r="O809" s="184" t="str">
        <f>"["&amp;$C809&amp;"]["&amp;$D809&amp;"]["&amp;$F809&amp;"]"</f>
        <v>[S05_ContinuousEmissionsMeasurementDetail][2][FlueGasContainBiomass]</v>
      </c>
    </row>
    <row r="810" spans="1:15" x14ac:dyDescent="0.3">
      <c r="A810" t="s">
        <v>1793</v>
      </c>
      <c r="B810" t="s">
        <v>2034</v>
      </c>
      <c r="C810" t="s">
        <v>2036</v>
      </c>
      <c r="D810">
        <v>3</v>
      </c>
      <c r="E810" t="s">
        <v>1447</v>
      </c>
      <c r="F810" t="s">
        <v>2043</v>
      </c>
      <c r="G810" t="s">
        <v>1833</v>
      </c>
      <c r="H810" t="s">
        <v>1799</v>
      </c>
      <c r="I810" t="s">
        <v>1799</v>
      </c>
      <c r="J810" t="s">
        <v>1799</v>
      </c>
      <c r="K810" t="s">
        <v>1799</v>
      </c>
      <c r="L810" t="s">
        <v>1447</v>
      </c>
      <c r="M810" t="s">
        <v>1799</v>
      </c>
      <c r="N810" t="s">
        <v>1799</v>
      </c>
      <c r="O810" s="184" t="str">
        <f>"["&amp;$C810&amp;"]["&amp;$D810&amp;"]["&amp;$F810&amp;"]"</f>
        <v>[S05_ContinuousEmissionsMeasurementDetail][3][FlueGasContainBiomass]</v>
      </c>
    </row>
    <row r="811" spans="1:15" x14ac:dyDescent="0.3">
      <c r="A811" t="s">
        <v>1793</v>
      </c>
      <c r="B811" t="s">
        <v>2034</v>
      </c>
      <c r="C811" t="s">
        <v>2036</v>
      </c>
      <c r="D811">
        <v>4</v>
      </c>
      <c r="E811" t="s">
        <v>1447</v>
      </c>
      <c r="F811" t="s">
        <v>2043</v>
      </c>
      <c r="G811" t="s">
        <v>1833</v>
      </c>
      <c r="H811" t="s">
        <v>1799</v>
      </c>
      <c r="I811" t="s">
        <v>1799</v>
      </c>
      <c r="J811" t="s">
        <v>1799</v>
      </c>
      <c r="K811" t="s">
        <v>1799</v>
      </c>
      <c r="L811" t="s">
        <v>1447</v>
      </c>
      <c r="M811" t="s">
        <v>1799</v>
      </c>
      <c r="N811" t="s">
        <v>1799</v>
      </c>
      <c r="O811" s="184" t="str">
        <f>"["&amp;$C811&amp;"]["&amp;$D811&amp;"]["&amp;$F811&amp;"]"</f>
        <v>[S05_ContinuousEmissionsMeasurementDetail][4][FlueGasContainBiomass]</v>
      </c>
    </row>
    <row r="812" spans="1:15" x14ac:dyDescent="0.3">
      <c r="A812" t="s">
        <v>1793</v>
      </c>
      <c r="B812" t="s">
        <v>2044</v>
      </c>
      <c r="C812" t="s">
        <v>2045</v>
      </c>
      <c r="D812">
        <v>0</v>
      </c>
      <c r="E812" t="s">
        <v>1447</v>
      </c>
      <c r="F812" t="s">
        <v>2045</v>
      </c>
      <c r="G812" t="s">
        <v>1797</v>
      </c>
      <c r="H812" t="s">
        <v>2046</v>
      </c>
      <c r="I812" t="s">
        <v>1799</v>
      </c>
      <c r="J812" t="s">
        <v>1799</v>
      </c>
      <c r="K812" t="s">
        <v>1799</v>
      </c>
      <c r="L812" t="s">
        <v>1799</v>
      </c>
      <c r="M812" t="s">
        <v>1799</v>
      </c>
      <c r="N812" t="s">
        <v>1799</v>
      </c>
      <c r="O812" s="184" t="str">
        <f>"["&amp;$C812&amp;"]["&amp;$D812&amp;"]["&amp;$F812&amp;"]"</f>
        <v>[SustainabilityComplianceDemonstrate][0][SustainabilityComplianceDemonstrate]</v>
      </c>
    </row>
    <row r="813" spans="1:15" x14ac:dyDescent="0.3">
      <c r="A813" t="s">
        <v>1793</v>
      </c>
      <c r="B813" t="s">
        <v>2044</v>
      </c>
      <c r="C813" t="s">
        <v>2047</v>
      </c>
      <c r="D813">
        <v>1</v>
      </c>
      <c r="E813" t="s">
        <v>1447</v>
      </c>
      <c r="F813" t="s">
        <v>2013</v>
      </c>
      <c r="G813" t="s">
        <v>1737</v>
      </c>
      <c r="H813" t="s">
        <v>1799</v>
      </c>
      <c r="I813" t="s">
        <v>1799</v>
      </c>
      <c r="J813" t="s">
        <v>1799</v>
      </c>
      <c r="K813" t="s">
        <v>1799</v>
      </c>
      <c r="L813" t="s">
        <v>1420</v>
      </c>
      <c r="M813" t="s">
        <v>1799</v>
      </c>
      <c r="N813" t="s">
        <v>1799</v>
      </c>
      <c r="O813" s="184" t="str">
        <f>"["&amp;$C813&amp;"]["&amp;$D813&amp;"]["&amp;$F813&amp;"]"</f>
        <v>[S05_BiomassInstallations][1][Annex1Activity]</v>
      </c>
    </row>
    <row r="814" spans="1:15" x14ac:dyDescent="0.3">
      <c r="A814" t="s">
        <v>1793</v>
      </c>
      <c r="B814" t="s">
        <v>2044</v>
      </c>
      <c r="C814" t="s">
        <v>2047</v>
      </c>
      <c r="D814">
        <v>2</v>
      </c>
      <c r="E814" t="s">
        <v>1447</v>
      </c>
      <c r="F814" t="s">
        <v>2013</v>
      </c>
      <c r="G814" t="s">
        <v>1737</v>
      </c>
      <c r="H814" t="s">
        <v>1799</v>
      </c>
      <c r="I814" t="s">
        <v>1799</v>
      </c>
      <c r="J814" t="s">
        <v>1799</v>
      </c>
      <c r="K814" t="s">
        <v>1799</v>
      </c>
      <c r="L814" t="s">
        <v>1420</v>
      </c>
      <c r="M814" t="s">
        <v>1799</v>
      </c>
      <c r="N814" t="s">
        <v>1799</v>
      </c>
      <c r="O814" s="184" t="str">
        <f>"["&amp;$C814&amp;"]["&amp;$D814&amp;"]["&amp;$F814&amp;"]"</f>
        <v>[S05_BiomassInstallations][2][Annex1Activity]</v>
      </c>
    </row>
    <row r="815" spans="1:15" x14ac:dyDescent="0.3">
      <c r="A815" t="s">
        <v>1793</v>
      </c>
      <c r="B815" t="s">
        <v>2044</v>
      </c>
      <c r="C815" t="s">
        <v>2047</v>
      </c>
      <c r="D815">
        <v>3</v>
      </c>
      <c r="E815" t="s">
        <v>1447</v>
      </c>
      <c r="F815" t="s">
        <v>2013</v>
      </c>
      <c r="G815" t="s">
        <v>1737</v>
      </c>
      <c r="H815" t="s">
        <v>1799</v>
      </c>
      <c r="I815" t="s">
        <v>1799</v>
      </c>
      <c r="J815" t="s">
        <v>1799</v>
      </c>
      <c r="K815" t="s">
        <v>1799</v>
      </c>
      <c r="L815" t="s">
        <v>1562</v>
      </c>
      <c r="M815" t="s">
        <v>1799</v>
      </c>
      <c r="N815" t="s">
        <v>1799</v>
      </c>
      <c r="O815" s="184" t="str">
        <f>"["&amp;$C815&amp;"]["&amp;$D815&amp;"]["&amp;$F815&amp;"]"</f>
        <v>[S05_BiomassInstallations][3][Annex1Activity]</v>
      </c>
    </row>
    <row r="816" spans="1:15" x14ac:dyDescent="0.3">
      <c r="A816" t="s">
        <v>1793</v>
      </c>
      <c r="B816" t="s">
        <v>2044</v>
      </c>
      <c r="C816" t="s">
        <v>2047</v>
      </c>
      <c r="D816">
        <v>4</v>
      </c>
      <c r="E816" t="s">
        <v>1447</v>
      </c>
      <c r="F816" t="s">
        <v>2013</v>
      </c>
      <c r="G816" t="s">
        <v>1737</v>
      </c>
      <c r="H816" t="s">
        <v>1799</v>
      </c>
      <c r="I816" t="s">
        <v>1799</v>
      </c>
      <c r="J816" t="s">
        <v>1799</v>
      </c>
      <c r="K816" t="s">
        <v>1799</v>
      </c>
      <c r="L816" t="s">
        <v>1562</v>
      </c>
      <c r="M816" t="s">
        <v>1799</v>
      </c>
      <c r="N816" t="s">
        <v>1799</v>
      </c>
      <c r="O816" s="184" t="str">
        <f>"["&amp;$C816&amp;"]["&amp;$D816&amp;"]["&amp;$F816&amp;"]"</f>
        <v>[S05_BiomassInstallations][4][Annex1Activity]</v>
      </c>
    </row>
    <row r="817" spans="1:15" x14ac:dyDescent="0.3">
      <c r="A817" t="s">
        <v>1793</v>
      </c>
      <c r="B817" t="s">
        <v>2044</v>
      </c>
      <c r="C817" t="s">
        <v>2047</v>
      </c>
      <c r="D817">
        <v>5</v>
      </c>
      <c r="E817" t="s">
        <v>1447</v>
      </c>
      <c r="F817" t="s">
        <v>2013</v>
      </c>
      <c r="G817" t="s">
        <v>1737</v>
      </c>
      <c r="H817" t="s">
        <v>1799</v>
      </c>
      <c r="I817" t="s">
        <v>1799</v>
      </c>
      <c r="J817" t="s">
        <v>1799</v>
      </c>
      <c r="K817" t="s">
        <v>1799</v>
      </c>
      <c r="L817" t="s">
        <v>1597</v>
      </c>
      <c r="M817" t="s">
        <v>1799</v>
      </c>
      <c r="N817" t="s">
        <v>1799</v>
      </c>
      <c r="O817" s="184" t="str">
        <f>"["&amp;$C817&amp;"]["&amp;$D817&amp;"]["&amp;$F817&amp;"]"</f>
        <v>[S05_BiomassInstallations][5][Annex1Activity]</v>
      </c>
    </row>
    <row r="818" spans="1:15" x14ac:dyDescent="0.3">
      <c r="A818" t="s">
        <v>1793</v>
      </c>
      <c r="B818" t="s">
        <v>2044</v>
      </c>
      <c r="C818" t="s">
        <v>2047</v>
      </c>
      <c r="D818">
        <v>6</v>
      </c>
      <c r="E818" t="s">
        <v>1447</v>
      </c>
      <c r="F818" t="s">
        <v>2013</v>
      </c>
      <c r="G818" t="s">
        <v>1737</v>
      </c>
      <c r="H818" t="s">
        <v>1799</v>
      </c>
      <c r="I818" t="s">
        <v>1799</v>
      </c>
      <c r="J818" t="s">
        <v>1799</v>
      </c>
      <c r="K818" t="s">
        <v>1799</v>
      </c>
      <c r="L818" t="s">
        <v>1592</v>
      </c>
      <c r="M818" t="s">
        <v>1799</v>
      </c>
      <c r="N818" t="s">
        <v>1799</v>
      </c>
      <c r="O818" s="184" t="str">
        <f>"["&amp;$C818&amp;"]["&amp;$D818&amp;"]["&amp;$F818&amp;"]"</f>
        <v>[S05_BiomassInstallations][6][Annex1Activity]</v>
      </c>
    </row>
    <row r="819" spans="1:15" x14ac:dyDescent="0.3">
      <c r="A819" t="s">
        <v>1793</v>
      </c>
      <c r="B819" t="s">
        <v>2044</v>
      </c>
      <c r="C819" t="s">
        <v>2047</v>
      </c>
      <c r="D819">
        <v>7</v>
      </c>
      <c r="E819" t="s">
        <v>1447</v>
      </c>
      <c r="F819" t="s">
        <v>2013</v>
      </c>
      <c r="G819" t="s">
        <v>1737</v>
      </c>
      <c r="H819" t="s">
        <v>1799</v>
      </c>
      <c r="I819" t="s">
        <v>1799</v>
      </c>
      <c r="J819" t="s">
        <v>1799</v>
      </c>
      <c r="K819" t="s">
        <v>1799</v>
      </c>
      <c r="L819" t="s">
        <v>1530</v>
      </c>
      <c r="M819" t="s">
        <v>1799</v>
      </c>
      <c r="N819" t="s">
        <v>1799</v>
      </c>
      <c r="O819" s="184" t="str">
        <f>"["&amp;$C819&amp;"]["&amp;$D819&amp;"]["&amp;$F819&amp;"]"</f>
        <v>[S05_BiomassInstallations][7][Annex1Activity]</v>
      </c>
    </row>
    <row r="820" spans="1:15" x14ac:dyDescent="0.3">
      <c r="A820" t="s">
        <v>1793</v>
      </c>
      <c r="B820" t="s">
        <v>2044</v>
      </c>
      <c r="C820" t="s">
        <v>2047</v>
      </c>
      <c r="D820">
        <v>8</v>
      </c>
      <c r="E820" t="s">
        <v>1447</v>
      </c>
      <c r="F820" t="s">
        <v>2013</v>
      </c>
      <c r="G820" t="s">
        <v>1737</v>
      </c>
      <c r="H820" t="s">
        <v>1799</v>
      </c>
      <c r="I820" t="s">
        <v>1799</v>
      </c>
      <c r="J820" t="s">
        <v>1799</v>
      </c>
      <c r="K820" t="s">
        <v>1799</v>
      </c>
      <c r="L820" t="s">
        <v>1557</v>
      </c>
      <c r="M820" t="s">
        <v>1799</v>
      </c>
      <c r="N820" t="s">
        <v>1799</v>
      </c>
      <c r="O820" s="184" t="str">
        <f>"["&amp;$C820&amp;"]["&amp;$D820&amp;"]["&amp;$F820&amp;"]"</f>
        <v>[S05_BiomassInstallations][8][Annex1Activity]</v>
      </c>
    </row>
    <row r="821" spans="1:15" x14ac:dyDescent="0.3">
      <c r="A821" t="s">
        <v>1793</v>
      </c>
      <c r="B821" t="s">
        <v>2044</v>
      </c>
      <c r="C821" t="s">
        <v>2047</v>
      </c>
      <c r="D821">
        <v>9</v>
      </c>
      <c r="E821" t="s">
        <v>1447</v>
      </c>
      <c r="F821" t="s">
        <v>2013</v>
      </c>
      <c r="G821" t="s">
        <v>1737</v>
      </c>
      <c r="H821" t="s">
        <v>1799</v>
      </c>
      <c r="I821" t="s">
        <v>1799</v>
      </c>
      <c r="J821" t="s">
        <v>1799</v>
      </c>
      <c r="K821" t="s">
        <v>1799</v>
      </c>
      <c r="L821" t="s">
        <v>1626</v>
      </c>
      <c r="M821" t="s">
        <v>1799</v>
      </c>
      <c r="N821" t="s">
        <v>1799</v>
      </c>
      <c r="O821" s="184" t="str">
        <f>"["&amp;$C821&amp;"]["&amp;$D821&amp;"]["&amp;$F821&amp;"]"</f>
        <v>[S05_BiomassInstallations][9][Annex1Activity]</v>
      </c>
    </row>
    <row r="822" spans="1:15" x14ac:dyDescent="0.3">
      <c r="A822" t="s">
        <v>1793</v>
      </c>
      <c r="B822" t="s">
        <v>2044</v>
      </c>
      <c r="C822" t="s">
        <v>2047</v>
      </c>
      <c r="D822">
        <v>10</v>
      </c>
      <c r="E822" t="s">
        <v>1447</v>
      </c>
      <c r="F822" t="s">
        <v>2013</v>
      </c>
      <c r="G822" t="s">
        <v>1737</v>
      </c>
      <c r="H822" t="s">
        <v>1799</v>
      </c>
      <c r="I822" t="s">
        <v>1799</v>
      </c>
      <c r="J822" t="s">
        <v>1799</v>
      </c>
      <c r="K822" t="s">
        <v>1799</v>
      </c>
      <c r="L822" t="s">
        <v>1540</v>
      </c>
      <c r="M822" t="s">
        <v>1799</v>
      </c>
      <c r="N822" t="s">
        <v>1799</v>
      </c>
      <c r="O822" s="184" t="str">
        <f>"["&amp;$C822&amp;"]["&amp;$D822&amp;"]["&amp;$F822&amp;"]"</f>
        <v>[S05_BiomassInstallations][10][Annex1Activity]</v>
      </c>
    </row>
    <row r="823" spans="1:15" x14ac:dyDescent="0.3">
      <c r="A823" t="s">
        <v>1793</v>
      </c>
      <c r="B823" t="s">
        <v>2044</v>
      </c>
      <c r="C823" t="s">
        <v>2047</v>
      </c>
      <c r="D823">
        <v>11</v>
      </c>
      <c r="E823" t="s">
        <v>1447</v>
      </c>
      <c r="F823" t="s">
        <v>2013</v>
      </c>
      <c r="G823" t="s">
        <v>1737</v>
      </c>
      <c r="H823" t="s">
        <v>1799</v>
      </c>
      <c r="I823" t="s">
        <v>1799</v>
      </c>
      <c r="J823" t="s">
        <v>1799</v>
      </c>
      <c r="K823" t="s">
        <v>1799</v>
      </c>
      <c r="L823" t="s">
        <v>1549</v>
      </c>
      <c r="M823" t="s">
        <v>1799</v>
      </c>
      <c r="N823" t="s">
        <v>1799</v>
      </c>
      <c r="O823" s="184" t="str">
        <f>"["&amp;$C823&amp;"]["&amp;$D823&amp;"]["&amp;$F823&amp;"]"</f>
        <v>[S05_BiomassInstallations][11][Annex1Activity]</v>
      </c>
    </row>
    <row r="824" spans="1:15" x14ac:dyDescent="0.3">
      <c r="A824" t="s">
        <v>1793</v>
      </c>
      <c r="B824" t="s">
        <v>2044</v>
      </c>
      <c r="C824" t="s">
        <v>2047</v>
      </c>
      <c r="D824">
        <v>1</v>
      </c>
      <c r="E824" t="s">
        <v>1447</v>
      </c>
      <c r="F824" t="s">
        <v>2048</v>
      </c>
      <c r="G824" t="s">
        <v>1737</v>
      </c>
      <c r="H824" t="s">
        <v>1799</v>
      </c>
      <c r="I824" t="s">
        <v>1799</v>
      </c>
      <c r="J824" t="s">
        <v>1799</v>
      </c>
      <c r="K824" t="s">
        <v>1799</v>
      </c>
      <c r="L824" t="s">
        <v>1432</v>
      </c>
      <c r="M824" t="s">
        <v>1799</v>
      </c>
      <c r="N824" t="s">
        <v>1799</v>
      </c>
      <c r="O824" s="184" t="str">
        <f>"["&amp;$C824&amp;"]["&amp;$D824&amp;"]["&amp;$F824&amp;"]"</f>
        <v>[S05_BiomassInstallations][1][BiomassInstallationCategory]</v>
      </c>
    </row>
    <row r="825" spans="1:15" x14ac:dyDescent="0.3">
      <c r="A825" t="s">
        <v>1793</v>
      </c>
      <c r="B825" t="s">
        <v>2044</v>
      </c>
      <c r="C825" t="s">
        <v>2047</v>
      </c>
      <c r="D825">
        <v>2</v>
      </c>
      <c r="E825" t="s">
        <v>1447</v>
      </c>
      <c r="F825" t="s">
        <v>2048</v>
      </c>
      <c r="G825" t="s">
        <v>1737</v>
      </c>
      <c r="H825" t="s">
        <v>1799</v>
      </c>
      <c r="I825" t="s">
        <v>1799</v>
      </c>
      <c r="J825" t="s">
        <v>1799</v>
      </c>
      <c r="K825" t="s">
        <v>1799</v>
      </c>
      <c r="L825" t="s">
        <v>1460</v>
      </c>
      <c r="M825" t="s">
        <v>1799</v>
      </c>
      <c r="N825" t="s">
        <v>1799</v>
      </c>
      <c r="O825" s="184" t="str">
        <f>"["&amp;$C825&amp;"]["&amp;$D825&amp;"]["&amp;$F825&amp;"]"</f>
        <v>[S05_BiomassInstallations][2][BiomassInstallationCategory]</v>
      </c>
    </row>
    <row r="826" spans="1:15" x14ac:dyDescent="0.3">
      <c r="A826" t="s">
        <v>1793</v>
      </c>
      <c r="B826" t="s">
        <v>2044</v>
      </c>
      <c r="C826" t="s">
        <v>2047</v>
      </c>
      <c r="D826">
        <v>3</v>
      </c>
      <c r="E826" t="s">
        <v>1447</v>
      </c>
      <c r="F826" t="s">
        <v>2048</v>
      </c>
      <c r="G826" t="s">
        <v>1737</v>
      </c>
      <c r="H826" t="s">
        <v>1799</v>
      </c>
      <c r="I826" t="s">
        <v>1799</v>
      </c>
      <c r="J826" t="s">
        <v>1799</v>
      </c>
      <c r="K826" t="s">
        <v>1799</v>
      </c>
      <c r="L826" t="s">
        <v>1460</v>
      </c>
      <c r="M826" t="s">
        <v>1799</v>
      </c>
      <c r="N826" t="s">
        <v>1799</v>
      </c>
      <c r="O826" s="184" t="str">
        <f>"["&amp;$C826&amp;"]["&amp;$D826&amp;"]["&amp;$F826&amp;"]"</f>
        <v>[S05_BiomassInstallations][3][BiomassInstallationCategory]</v>
      </c>
    </row>
    <row r="827" spans="1:15" x14ac:dyDescent="0.3">
      <c r="A827" t="s">
        <v>1793</v>
      </c>
      <c r="B827" t="s">
        <v>2044</v>
      </c>
      <c r="C827" t="s">
        <v>2047</v>
      </c>
      <c r="D827">
        <v>4</v>
      </c>
      <c r="E827" t="s">
        <v>1447</v>
      </c>
      <c r="F827" t="s">
        <v>2048</v>
      </c>
      <c r="G827" t="s">
        <v>1737</v>
      </c>
      <c r="H827" t="s">
        <v>1799</v>
      </c>
      <c r="I827" t="s">
        <v>1799</v>
      </c>
      <c r="J827" t="s">
        <v>1799</v>
      </c>
      <c r="K827" t="s">
        <v>1799</v>
      </c>
      <c r="L827" t="s">
        <v>1487</v>
      </c>
      <c r="M827" t="s">
        <v>1799</v>
      </c>
      <c r="N827" t="s">
        <v>1799</v>
      </c>
      <c r="O827" s="184" t="str">
        <f>"["&amp;$C827&amp;"]["&amp;$D827&amp;"]["&amp;$F827&amp;"]"</f>
        <v>[S05_BiomassInstallations][4][BiomassInstallationCategory]</v>
      </c>
    </row>
    <row r="828" spans="1:15" x14ac:dyDescent="0.3">
      <c r="A828" t="s">
        <v>1793</v>
      </c>
      <c r="B828" t="s">
        <v>2044</v>
      </c>
      <c r="C828" t="s">
        <v>2047</v>
      </c>
      <c r="D828">
        <v>5</v>
      </c>
      <c r="E828" t="s">
        <v>1447</v>
      </c>
      <c r="F828" t="s">
        <v>2048</v>
      </c>
      <c r="G828" t="s">
        <v>1737</v>
      </c>
      <c r="H828" t="s">
        <v>1799</v>
      </c>
      <c r="I828" t="s">
        <v>1799</v>
      </c>
      <c r="J828" t="s">
        <v>1799</v>
      </c>
      <c r="K828" t="s">
        <v>1799</v>
      </c>
      <c r="L828" t="s">
        <v>1432</v>
      </c>
      <c r="M828" t="s">
        <v>1799</v>
      </c>
      <c r="N828" t="s">
        <v>1799</v>
      </c>
      <c r="O828" s="184" t="str">
        <f>"["&amp;$C828&amp;"]["&amp;$D828&amp;"]["&amp;$F828&amp;"]"</f>
        <v>[S05_BiomassInstallations][5][BiomassInstallationCategory]</v>
      </c>
    </row>
    <row r="829" spans="1:15" x14ac:dyDescent="0.3">
      <c r="A829" t="s">
        <v>1793</v>
      </c>
      <c r="B829" t="s">
        <v>2044</v>
      </c>
      <c r="C829" t="s">
        <v>2047</v>
      </c>
      <c r="D829">
        <v>6</v>
      </c>
      <c r="E829" t="s">
        <v>1447</v>
      </c>
      <c r="F829" t="s">
        <v>2048</v>
      </c>
      <c r="G829" t="s">
        <v>1737</v>
      </c>
      <c r="H829" t="s">
        <v>1799</v>
      </c>
      <c r="I829" t="s">
        <v>1799</v>
      </c>
      <c r="J829" t="s">
        <v>1799</v>
      </c>
      <c r="K829" t="s">
        <v>1799</v>
      </c>
      <c r="L829" t="s">
        <v>1460</v>
      </c>
      <c r="M829" t="s">
        <v>1799</v>
      </c>
      <c r="N829" t="s">
        <v>1799</v>
      </c>
      <c r="O829" s="184" t="str">
        <f>"["&amp;$C829&amp;"]["&amp;$D829&amp;"]["&amp;$F829&amp;"]"</f>
        <v>[S05_BiomassInstallations][6][BiomassInstallationCategory]</v>
      </c>
    </row>
    <row r="830" spans="1:15" x14ac:dyDescent="0.3">
      <c r="A830" t="s">
        <v>1793</v>
      </c>
      <c r="B830" t="s">
        <v>2044</v>
      </c>
      <c r="C830" t="s">
        <v>2047</v>
      </c>
      <c r="D830">
        <v>7</v>
      </c>
      <c r="E830" t="s">
        <v>1447</v>
      </c>
      <c r="F830" t="s">
        <v>2048</v>
      </c>
      <c r="G830" t="s">
        <v>1737</v>
      </c>
      <c r="H830" t="s">
        <v>1799</v>
      </c>
      <c r="I830" t="s">
        <v>1799</v>
      </c>
      <c r="J830" t="s">
        <v>1799</v>
      </c>
      <c r="K830" t="s">
        <v>1799</v>
      </c>
      <c r="L830" t="s">
        <v>1460</v>
      </c>
      <c r="M830" t="s">
        <v>1799</v>
      </c>
      <c r="N830" t="s">
        <v>1799</v>
      </c>
      <c r="O830" s="184" t="str">
        <f>"["&amp;$C830&amp;"]["&amp;$D830&amp;"]["&amp;$F830&amp;"]"</f>
        <v>[S05_BiomassInstallations][7][BiomassInstallationCategory]</v>
      </c>
    </row>
    <row r="831" spans="1:15" x14ac:dyDescent="0.3">
      <c r="A831" t="s">
        <v>1793</v>
      </c>
      <c r="B831" t="s">
        <v>2044</v>
      </c>
      <c r="C831" t="s">
        <v>2047</v>
      </c>
      <c r="D831">
        <v>8</v>
      </c>
      <c r="E831" t="s">
        <v>1447</v>
      </c>
      <c r="F831" t="s">
        <v>2048</v>
      </c>
      <c r="G831" t="s">
        <v>1737</v>
      </c>
      <c r="H831" t="s">
        <v>1799</v>
      </c>
      <c r="I831" t="s">
        <v>1799</v>
      </c>
      <c r="J831" t="s">
        <v>1799</v>
      </c>
      <c r="K831" t="s">
        <v>1799</v>
      </c>
      <c r="L831" t="s">
        <v>1460</v>
      </c>
      <c r="M831" t="s">
        <v>1799</v>
      </c>
      <c r="N831" t="s">
        <v>1799</v>
      </c>
      <c r="O831" s="184" t="str">
        <f>"["&amp;$C831&amp;"]["&amp;$D831&amp;"]["&amp;$F831&amp;"]"</f>
        <v>[S05_BiomassInstallations][8][BiomassInstallationCategory]</v>
      </c>
    </row>
    <row r="832" spans="1:15" x14ac:dyDescent="0.3">
      <c r="A832" t="s">
        <v>1793</v>
      </c>
      <c r="B832" t="s">
        <v>2044</v>
      </c>
      <c r="C832" t="s">
        <v>2047</v>
      </c>
      <c r="D832">
        <v>9</v>
      </c>
      <c r="E832" t="s">
        <v>1447</v>
      </c>
      <c r="F832" t="s">
        <v>2048</v>
      </c>
      <c r="G832" t="s">
        <v>1737</v>
      </c>
      <c r="H832" t="s">
        <v>1799</v>
      </c>
      <c r="I832" t="s">
        <v>1799</v>
      </c>
      <c r="J832" t="s">
        <v>1799</v>
      </c>
      <c r="K832" t="s">
        <v>1799</v>
      </c>
      <c r="L832" t="s">
        <v>1432</v>
      </c>
      <c r="M832" t="s">
        <v>1799</v>
      </c>
      <c r="N832" t="s">
        <v>1799</v>
      </c>
      <c r="O832" s="184" t="str">
        <f>"["&amp;$C832&amp;"]["&amp;$D832&amp;"]["&amp;$F832&amp;"]"</f>
        <v>[S05_BiomassInstallations][9][BiomassInstallationCategory]</v>
      </c>
    </row>
    <row r="833" spans="1:15" x14ac:dyDescent="0.3">
      <c r="A833" t="s">
        <v>1793</v>
      </c>
      <c r="B833" t="s">
        <v>2044</v>
      </c>
      <c r="C833" t="s">
        <v>2047</v>
      </c>
      <c r="D833">
        <v>10</v>
      </c>
      <c r="E833" t="s">
        <v>1447</v>
      </c>
      <c r="F833" t="s">
        <v>2048</v>
      </c>
      <c r="G833" t="s">
        <v>1737</v>
      </c>
      <c r="H833" t="s">
        <v>1799</v>
      </c>
      <c r="I833" t="s">
        <v>1799</v>
      </c>
      <c r="J833" t="s">
        <v>1799</v>
      </c>
      <c r="K833" t="s">
        <v>1799</v>
      </c>
      <c r="L833" t="s">
        <v>1460</v>
      </c>
      <c r="M833" t="s">
        <v>1799</v>
      </c>
      <c r="N833" t="s">
        <v>1799</v>
      </c>
      <c r="O833" s="184" t="str">
        <f>"["&amp;$C833&amp;"]["&amp;$D833&amp;"]["&amp;$F833&amp;"]"</f>
        <v>[S05_BiomassInstallations][10][BiomassInstallationCategory]</v>
      </c>
    </row>
    <row r="834" spans="1:15" x14ac:dyDescent="0.3">
      <c r="A834" t="s">
        <v>1793</v>
      </c>
      <c r="B834" t="s">
        <v>2044</v>
      </c>
      <c r="C834" t="s">
        <v>2047</v>
      </c>
      <c r="D834">
        <v>11</v>
      </c>
      <c r="E834" t="s">
        <v>1447</v>
      </c>
      <c r="F834" t="s">
        <v>2048</v>
      </c>
      <c r="G834" t="s">
        <v>1737</v>
      </c>
      <c r="H834" t="s">
        <v>1799</v>
      </c>
      <c r="I834" t="s">
        <v>1799</v>
      </c>
      <c r="J834" t="s">
        <v>1799</v>
      </c>
      <c r="K834" t="s">
        <v>1799</v>
      </c>
      <c r="L834" t="s">
        <v>1432</v>
      </c>
      <c r="M834" t="s">
        <v>1799</v>
      </c>
      <c r="N834" t="s">
        <v>1799</v>
      </c>
      <c r="O834" s="184" t="str">
        <f>"["&amp;$C834&amp;"]["&amp;$D834&amp;"]["&amp;$F834&amp;"]"</f>
        <v>[S05_BiomassInstallations][11][BiomassInstallationCategory]</v>
      </c>
    </row>
    <row r="835" spans="1:15" x14ac:dyDescent="0.3">
      <c r="A835" t="s">
        <v>1793</v>
      </c>
      <c r="B835" t="s">
        <v>2044</v>
      </c>
      <c r="C835" t="s">
        <v>2047</v>
      </c>
      <c r="D835">
        <v>1</v>
      </c>
      <c r="E835" t="s">
        <v>1447</v>
      </c>
      <c r="F835" t="s">
        <v>2049</v>
      </c>
      <c r="G835" t="s">
        <v>1811</v>
      </c>
      <c r="H835" t="s">
        <v>1799</v>
      </c>
      <c r="I835">
        <v>14</v>
      </c>
      <c r="J835" t="s">
        <v>1799</v>
      </c>
      <c r="K835" t="s">
        <v>1799</v>
      </c>
      <c r="L835" t="s">
        <v>1799</v>
      </c>
      <c r="M835" t="s">
        <v>1799</v>
      </c>
      <c r="N835" t="s">
        <v>1799</v>
      </c>
      <c r="O835" s="184" t="str">
        <f>"["&amp;$C835&amp;"]["&amp;$D835&amp;"]["&amp;$F835&amp;"]"</f>
        <v>[S05_BiomassInstallations][1][NumberUsingBiomass]</v>
      </c>
    </row>
    <row r="836" spans="1:15" x14ac:dyDescent="0.3">
      <c r="A836" t="s">
        <v>1793</v>
      </c>
      <c r="B836" t="s">
        <v>2044</v>
      </c>
      <c r="C836" t="s">
        <v>2047</v>
      </c>
      <c r="D836">
        <v>2</v>
      </c>
      <c r="E836" t="s">
        <v>1447</v>
      </c>
      <c r="F836" t="s">
        <v>2049</v>
      </c>
      <c r="G836" t="s">
        <v>1811</v>
      </c>
      <c r="H836" t="s">
        <v>1799</v>
      </c>
      <c r="I836">
        <v>1</v>
      </c>
      <c r="J836" t="s">
        <v>1799</v>
      </c>
      <c r="K836" t="s">
        <v>1799</v>
      </c>
      <c r="L836" t="s">
        <v>1799</v>
      </c>
      <c r="M836" t="s">
        <v>1799</v>
      </c>
      <c r="N836" t="s">
        <v>1799</v>
      </c>
      <c r="O836" s="184" t="str">
        <f>"["&amp;$C836&amp;"]["&amp;$D836&amp;"]["&amp;$F836&amp;"]"</f>
        <v>[S05_BiomassInstallations][2][NumberUsingBiomass]</v>
      </c>
    </row>
    <row r="837" spans="1:15" x14ac:dyDescent="0.3">
      <c r="A837" t="s">
        <v>1793</v>
      </c>
      <c r="B837" t="s">
        <v>2044</v>
      </c>
      <c r="C837" t="s">
        <v>2047</v>
      </c>
      <c r="D837">
        <v>3</v>
      </c>
      <c r="E837" t="s">
        <v>1447</v>
      </c>
      <c r="F837" t="s">
        <v>2049</v>
      </c>
      <c r="G837" t="s">
        <v>1811</v>
      </c>
      <c r="H837" t="s">
        <v>1799</v>
      </c>
      <c r="I837">
        <v>1</v>
      </c>
      <c r="J837" t="s">
        <v>1799</v>
      </c>
      <c r="K837" t="s">
        <v>1799</v>
      </c>
      <c r="L837" t="s">
        <v>1799</v>
      </c>
      <c r="M837" t="s">
        <v>1799</v>
      </c>
      <c r="N837" t="s">
        <v>1799</v>
      </c>
      <c r="O837" s="184" t="str">
        <f>"["&amp;$C837&amp;"]["&amp;$D837&amp;"]["&amp;$F837&amp;"]"</f>
        <v>[S05_BiomassInstallations][3][NumberUsingBiomass]</v>
      </c>
    </row>
    <row r="838" spans="1:15" x14ac:dyDescent="0.3">
      <c r="A838" t="s">
        <v>1793</v>
      </c>
      <c r="B838" t="s">
        <v>2044</v>
      </c>
      <c r="C838" t="s">
        <v>2047</v>
      </c>
      <c r="D838">
        <v>4</v>
      </c>
      <c r="E838" t="s">
        <v>1447</v>
      </c>
      <c r="F838" t="s">
        <v>2049</v>
      </c>
      <c r="G838" t="s">
        <v>1811</v>
      </c>
      <c r="H838" t="s">
        <v>1799</v>
      </c>
      <c r="I838">
        <v>1</v>
      </c>
      <c r="J838" t="s">
        <v>1799</v>
      </c>
      <c r="K838" t="s">
        <v>1799</v>
      </c>
      <c r="L838" t="s">
        <v>1799</v>
      </c>
      <c r="M838" t="s">
        <v>1799</v>
      </c>
      <c r="N838" t="s">
        <v>1799</v>
      </c>
      <c r="O838" s="184" t="str">
        <f>"["&amp;$C838&amp;"]["&amp;$D838&amp;"]["&amp;$F838&amp;"]"</f>
        <v>[S05_BiomassInstallations][4][NumberUsingBiomass]</v>
      </c>
    </row>
    <row r="839" spans="1:15" x14ac:dyDescent="0.3">
      <c r="A839" t="s">
        <v>1793</v>
      </c>
      <c r="B839" t="s">
        <v>2044</v>
      </c>
      <c r="C839" t="s">
        <v>2047</v>
      </c>
      <c r="D839">
        <v>5</v>
      </c>
      <c r="E839" t="s">
        <v>1447</v>
      </c>
      <c r="F839" t="s">
        <v>2049</v>
      </c>
      <c r="G839" t="s">
        <v>1811</v>
      </c>
      <c r="H839" t="s">
        <v>1799</v>
      </c>
      <c r="I839">
        <v>2</v>
      </c>
      <c r="J839" t="s">
        <v>1799</v>
      </c>
      <c r="K839" t="s">
        <v>1799</v>
      </c>
      <c r="L839" t="s">
        <v>1799</v>
      </c>
      <c r="M839" t="s">
        <v>1799</v>
      </c>
      <c r="N839" t="s">
        <v>1799</v>
      </c>
      <c r="O839" s="184" t="str">
        <f>"["&amp;$C839&amp;"]["&amp;$D839&amp;"]["&amp;$F839&amp;"]"</f>
        <v>[S05_BiomassInstallations][5][NumberUsingBiomass]</v>
      </c>
    </row>
    <row r="840" spans="1:15" x14ac:dyDescent="0.3">
      <c r="A840" t="s">
        <v>1793</v>
      </c>
      <c r="B840" t="s">
        <v>2044</v>
      </c>
      <c r="C840" t="s">
        <v>2047</v>
      </c>
      <c r="D840">
        <v>6</v>
      </c>
      <c r="E840" t="s">
        <v>1447</v>
      </c>
      <c r="F840" t="s">
        <v>2049</v>
      </c>
      <c r="G840" t="s">
        <v>1811</v>
      </c>
      <c r="H840" t="s">
        <v>1799</v>
      </c>
      <c r="I840">
        <v>1</v>
      </c>
      <c r="J840" t="s">
        <v>1799</v>
      </c>
      <c r="K840" t="s">
        <v>1799</v>
      </c>
      <c r="L840" t="s">
        <v>1799</v>
      </c>
      <c r="M840" t="s">
        <v>1799</v>
      </c>
      <c r="N840" t="s">
        <v>1799</v>
      </c>
      <c r="O840" s="184" t="str">
        <f>"["&amp;$C840&amp;"]["&amp;$D840&amp;"]["&amp;$F840&amp;"]"</f>
        <v>[S05_BiomassInstallations][6][NumberUsingBiomass]</v>
      </c>
    </row>
    <row r="841" spans="1:15" x14ac:dyDescent="0.3">
      <c r="A841" t="s">
        <v>1793</v>
      </c>
      <c r="B841" t="s">
        <v>2044</v>
      </c>
      <c r="C841" t="s">
        <v>2047</v>
      </c>
      <c r="D841">
        <v>7</v>
      </c>
      <c r="E841" t="s">
        <v>1447</v>
      </c>
      <c r="F841" t="s">
        <v>2049</v>
      </c>
      <c r="G841" t="s">
        <v>1811</v>
      </c>
      <c r="H841" t="s">
        <v>1799</v>
      </c>
      <c r="I841">
        <v>5</v>
      </c>
      <c r="J841" t="s">
        <v>1799</v>
      </c>
      <c r="K841" t="s">
        <v>1799</v>
      </c>
      <c r="L841" t="s">
        <v>1799</v>
      </c>
      <c r="M841" t="s">
        <v>1799</v>
      </c>
      <c r="N841" t="s">
        <v>1799</v>
      </c>
      <c r="O841" s="184" t="str">
        <f>"["&amp;$C841&amp;"]["&amp;$D841&amp;"]["&amp;$F841&amp;"]"</f>
        <v>[S05_BiomassInstallations][7][NumberUsingBiomass]</v>
      </c>
    </row>
    <row r="842" spans="1:15" x14ac:dyDescent="0.3">
      <c r="A842" t="s">
        <v>1793</v>
      </c>
      <c r="B842" t="s">
        <v>2044</v>
      </c>
      <c r="C842" t="s">
        <v>2047</v>
      </c>
      <c r="D842">
        <v>8</v>
      </c>
      <c r="E842" t="s">
        <v>1447</v>
      </c>
      <c r="F842" t="s">
        <v>2049</v>
      </c>
      <c r="G842" t="s">
        <v>1811</v>
      </c>
      <c r="H842" t="s">
        <v>1799</v>
      </c>
      <c r="I842">
        <v>2</v>
      </c>
      <c r="J842" t="s">
        <v>1799</v>
      </c>
      <c r="K842" t="s">
        <v>1799</v>
      </c>
      <c r="L842" t="s">
        <v>1799</v>
      </c>
      <c r="M842" t="s">
        <v>1799</v>
      </c>
      <c r="N842" t="s">
        <v>1799</v>
      </c>
      <c r="O842" s="184" t="str">
        <f>"["&amp;$C842&amp;"]["&amp;$D842&amp;"]["&amp;$F842&amp;"]"</f>
        <v>[S05_BiomassInstallations][8][NumberUsingBiomass]</v>
      </c>
    </row>
    <row r="843" spans="1:15" x14ac:dyDescent="0.3">
      <c r="A843" t="s">
        <v>1793</v>
      </c>
      <c r="B843" t="s">
        <v>2044</v>
      </c>
      <c r="C843" t="s">
        <v>2047</v>
      </c>
      <c r="D843">
        <v>9</v>
      </c>
      <c r="E843" t="s">
        <v>1447</v>
      </c>
      <c r="F843" t="s">
        <v>2049</v>
      </c>
      <c r="G843" t="s">
        <v>1811</v>
      </c>
      <c r="H843" t="s">
        <v>1799</v>
      </c>
      <c r="I843">
        <v>1</v>
      </c>
      <c r="J843" t="s">
        <v>1799</v>
      </c>
      <c r="K843" t="s">
        <v>1799</v>
      </c>
      <c r="L843" t="s">
        <v>1799</v>
      </c>
      <c r="M843" t="s">
        <v>1799</v>
      </c>
      <c r="N843" t="s">
        <v>1799</v>
      </c>
      <c r="O843" s="184" t="str">
        <f>"["&amp;$C843&amp;"]["&amp;$D843&amp;"]["&amp;$F843&amp;"]"</f>
        <v>[S05_BiomassInstallations][9][NumberUsingBiomass]</v>
      </c>
    </row>
    <row r="844" spans="1:15" x14ac:dyDescent="0.3">
      <c r="A844" t="s">
        <v>1793</v>
      </c>
      <c r="B844" t="s">
        <v>2044</v>
      </c>
      <c r="C844" t="s">
        <v>2047</v>
      </c>
      <c r="D844">
        <v>10</v>
      </c>
      <c r="E844" t="s">
        <v>1447</v>
      </c>
      <c r="F844" t="s">
        <v>2049</v>
      </c>
      <c r="G844" t="s">
        <v>1811</v>
      </c>
      <c r="H844" t="s">
        <v>1799</v>
      </c>
      <c r="I844">
        <v>2</v>
      </c>
      <c r="J844" t="s">
        <v>1799</v>
      </c>
      <c r="K844" t="s">
        <v>1799</v>
      </c>
      <c r="L844" t="s">
        <v>1799</v>
      </c>
      <c r="M844" t="s">
        <v>1799</v>
      </c>
      <c r="N844" t="s">
        <v>1799</v>
      </c>
      <c r="O844" s="184" t="str">
        <f>"["&amp;$C844&amp;"]["&amp;$D844&amp;"]["&amp;$F844&amp;"]"</f>
        <v>[S05_BiomassInstallations][10][NumberUsingBiomass]</v>
      </c>
    </row>
    <row r="845" spans="1:15" x14ac:dyDescent="0.3">
      <c r="A845" t="s">
        <v>1793</v>
      </c>
      <c r="B845" t="s">
        <v>2044</v>
      </c>
      <c r="C845" t="s">
        <v>2047</v>
      </c>
      <c r="D845">
        <v>11</v>
      </c>
      <c r="E845" t="s">
        <v>1447</v>
      </c>
      <c r="F845" t="s">
        <v>2049</v>
      </c>
      <c r="G845" t="s">
        <v>1811</v>
      </c>
      <c r="H845" t="s">
        <v>1799</v>
      </c>
      <c r="I845">
        <v>1</v>
      </c>
      <c r="J845" t="s">
        <v>1799</v>
      </c>
      <c r="K845" t="s">
        <v>1799</v>
      </c>
      <c r="L845" t="s">
        <v>1799</v>
      </c>
      <c r="M845" t="s">
        <v>1799</v>
      </c>
      <c r="N845" t="s">
        <v>1799</v>
      </c>
      <c r="O845" s="184" t="str">
        <f>"["&amp;$C845&amp;"]["&amp;$D845&amp;"]["&amp;$F845&amp;"]"</f>
        <v>[S05_BiomassInstallations][11][NumberUsingBiomass]</v>
      </c>
    </row>
    <row r="846" spans="1:15" x14ac:dyDescent="0.3">
      <c r="A846" t="s">
        <v>1793</v>
      </c>
      <c r="B846" t="s">
        <v>2044</v>
      </c>
      <c r="C846" t="s">
        <v>2047</v>
      </c>
      <c r="D846">
        <v>1</v>
      </c>
      <c r="E846" t="s">
        <v>1447</v>
      </c>
      <c r="F846" t="s">
        <v>2050</v>
      </c>
      <c r="G846" t="s">
        <v>1922</v>
      </c>
      <c r="H846" t="s">
        <v>1799</v>
      </c>
      <c r="I846" t="s">
        <v>1799</v>
      </c>
      <c r="J846">
        <v>266929</v>
      </c>
      <c r="K846" t="s">
        <v>1799</v>
      </c>
      <c r="L846" t="s">
        <v>1799</v>
      </c>
      <c r="M846" t="s">
        <v>1799</v>
      </c>
      <c r="N846" t="s">
        <v>1799</v>
      </c>
      <c r="O846" s="184" t="str">
        <f>"["&amp;$C846&amp;"]["&amp;$D846&amp;"]["&amp;$F846&amp;"]"</f>
        <v>[S05_BiomassInstallations][1][EmissionsBiomassSustainabilitySatisfied]</v>
      </c>
    </row>
    <row r="847" spans="1:15" x14ac:dyDescent="0.3">
      <c r="A847" t="s">
        <v>1793</v>
      </c>
      <c r="B847" t="s">
        <v>2044</v>
      </c>
      <c r="C847" t="s">
        <v>2047</v>
      </c>
      <c r="D847">
        <v>2</v>
      </c>
      <c r="E847" t="s">
        <v>1447</v>
      </c>
      <c r="F847" t="s">
        <v>2050</v>
      </c>
      <c r="G847" t="s">
        <v>1922</v>
      </c>
      <c r="H847" t="s">
        <v>1799</v>
      </c>
      <c r="I847" t="s">
        <v>1799</v>
      </c>
      <c r="J847">
        <v>371</v>
      </c>
      <c r="K847" t="s">
        <v>1799</v>
      </c>
      <c r="L847" t="s">
        <v>1799</v>
      </c>
      <c r="M847" t="s">
        <v>1799</v>
      </c>
      <c r="N847" t="s">
        <v>1799</v>
      </c>
      <c r="O847" s="184" t="str">
        <f>"["&amp;$C847&amp;"]["&amp;$D847&amp;"]["&amp;$F847&amp;"]"</f>
        <v>[S05_BiomassInstallations][2][EmissionsBiomassSustainabilitySatisfied]</v>
      </c>
    </row>
    <row r="848" spans="1:15" x14ac:dyDescent="0.3">
      <c r="A848" t="s">
        <v>1793</v>
      </c>
      <c r="B848" t="s">
        <v>2044</v>
      </c>
      <c r="C848" t="s">
        <v>2047</v>
      </c>
      <c r="D848">
        <v>3</v>
      </c>
      <c r="E848" t="s">
        <v>1447</v>
      </c>
      <c r="F848" t="s">
        <v>2050</v>
      </c>
      <c r="G848" t="s">
        <v>1922</v>
      </c>
      <c r="H848" t="s">
        <v>1799</v>
      </c>
      <c r="I848" t="s">
        <v>1799</v>
      </c>
      <c r="J848">
        <v>24404</v>
      </c>
      <c r="K848" t="s">
        <v>1799</v>
      </c>
      <c r="L848" t="s">
        <v>1799</v>
      </c>
      <c r="M848" t="s">
        <v>1799</v>
      </c>
      <c r="N848" t="s">
        <v>1799</v>
      </c>
      <c r="O848" s="184" t="str">
        <f>"["&amp;$C848&amp;"]["&amp;$D848&amp;"]["&amp;$F848&amp;"]"</f>
        <v>[S05_BiomassInstallations][3][EmissionsBiomassSustainabilitySatisfied]</v>
      </c>
    </row>
    <row r="849" spans="1:15" x14ac:dyDescent="0.3">
      <c r="A849" t="s">
        <v>1793</v>
      </c>
      <c r="B849" t="s">
        <v>2044</v>
      </c>
      <c r="C849" t="s">
        <v>2047</v>
      </c>
      <c r="D849">
        <v>4</v>
      </c>
      <c r="E849" t="s">
        <v>1447</v>
      </c>
      <c r="F849" t="s">
        <v>2050</v>
      </c>
      <c r="G849" t="s">
        <v>1922</v>
      </c>
      <c r="H849" t="s">
        <v>1799</v>
      </c>
      <c r="I849" t="s">
        <v>1799</v>
      </c>
      <c r="J849">
        <v>105827</v>
      </c>
      <c r="K849" t="s">
        <v>1799</v>
      </c>
      <c r="L849" t="s">
        <v>1799</v>
      </c>
      <c r="M849" t="s">
        <v>1799</v>
      </c>
      <c r="N849" t="s">
        <v>1799</v>
      </c>
      <c r="O849" s="184" t="str">
        <f>"["&amp;$C849&amp;"]["&amp;$D849&amp;"]["&amp;$F849&amp;"]"</f>
        <v>[S05_BiomassInstallations][4][EmissionsBiomassSustainabilitySatisfied]</v>
      </c>
    </row>
    <row r="850" spans="1:15" x14ac:dyDescent="0.3">
      <c r="A850" t="s">
        <v>1793</v>
      </c>
      <c r="B850" t="s">
        <v>2044</v>
      </c>
      <c r="C850" t="s">
        <v>2047</v>
      </c>
      <c r="D850">
        <v>5</v>
      </c>
      <c r="E850" t="s">
        <v>1447</v>
      </c>
      <c r="F850" t="s">
        <v>2050</v>
      </c>
      <c r="G850" t="s">
        <v>1922</v>
      </c>
      <c r="H850" t="s">
        <v>1799</v>
      </c>
      <c r="I850" t="s">
        <v>1799</v>
      </c>
      <c r="J850">
        <v>627454</v>
      </c>
      <c r="K850" t="s">
        <v>1799</v>
      </c>
      <c r="L850" t="s">
        <v>1799</v>
      </c>
      <c r="M850" t="s">
        <v>1799</v>
      </c>
      <c r="N850" t="s">
        <v>1799</v>
      </c>
      <c r="O850" s="184" t="str">
        <f>"["&amp;$C850&amp;"]["&amp;$D850&amp;"]["&amp;$F850&amp;"]"</f>
        <v>[S05_BiomassInstallations][5][EmissionsBiomassSustainabilitySatisfied]</v>
      </c>
    </row>
    <row r="851" spans="1:15" x14ac:dyDescent="0.3">
      <c r="A851" t="s">
        <v>1793</v>
      </c>
      <c r="B851" t="s">
        <v>2044</v>
      </c>
      <c r="C851" t="s">
        <v>2047</v>
      </c>
      <c r="D851">
        <v>6</v>
      </c>
      <c r="E851" t="s">
        <v>1447</v>
      </c>
      <c r="F851" t="s">
        <v>2050</v>
      </c>
      <c r="G851" t="s">
        <v>1922</v>
      </c>
      <c r="H851" t="s">
        <v>1799</v>
      </c>
      <c r="I851" t="s">
        <v>1799</v>
      </c>
      <c r="J851">
        <v>176859</v>
      </c>
      <c r="K851" t="s">
        <v>1799</v>
      </c>
      <c r="L851" t="s">
        <v>1799</v>
      </c>
      <c r="M851" t="s">
        <v>1799</v>
      </c>
      <c r="N851" t="s">
        <v>1799</v>
      </c>
      <c r="O851" s="184" t="str">
        <f>"["&amp;$C851&amp;"]["&amp;$D851&amp;"]["&amp;$F851&amp;"]"</f>
        <v>[S05_BiomassInstallations][6][EmissionsBiomassSustainabilitySatisfied]</v>
      </c>
    </row>
    <row r="852" spans="1:15" x14ac:dyDescent="0.3">
      <c r="A852" t="s">
        <v>1793</v>
      </c>
      <c r="B852" t="s">
        <v>2044</v>
      </c>
      <c r="C852" t="s">
        <v>2047</v>
      </c>
      <c r="D852">
        <v>7</v>
      </c>
      <c r="E852" t="s">
        <v>1447</v>
      </c>
      <c r="F852" t="s">
        <v>2050</v>
      </c>
      <c r="G852" t="s">
        <v>1922</v>
      </c>
      <c r="H852" t="s">
        <v>1799</v>
      </c>
      <c r="I852" t="s">
        <v>1799</v>
      </c>
      <c r="J852">
        <v>304285</v>
      </c>
      <c r="K852" t="s">
        <v>1799</v>
      </c>
      <c r="L852" t="s">
        <v>1799</v>
      </c>
      <c r="M852" t="s">
        <v>1799</v>
      </c>
      <c r="N852" t="s">
        <v>1799</v>
      </c>
      <c r="O852" s="184" t="str">
        <f>"["&amp;$C852&amp;"]["&amp;$D852&amp;"]["&amp;$F852&amp;"]"</f>
        <v>[S05_BiomassInstallations][7][EmissionsBiomassSustainabilitySatisfied]</v>
      </c>
    </row>
    <row r="853" spans="1:15" x14ac:dyDescent="0.3">
      <c r="A853" t="s">
        <v>1793</v>
      </c>
      <c r="B853" t="s">
        <v>2044</v>
      </c>
      <c r="C853" t="s">
        <v>2047</v>
      </c>
      <c r="D853">
        <v>8</v>
      </c>
      <c r="E853" t="s">
        <v>1447</v>
      </c>
      <c r="F853" t="s">
        <v>2050</v>
      </c>
      <c r="G853" t="s">
        <v>1922</v>
      </c>
      <c r="H853" t="s">
        <v>1799</v>
      </c>
      <c r="I853" t="s">
        <v>1799</v>
      </c>
      <c r="J853">
        <v>148423</v>
      </c>
      <c r="K853" t="s">
        <v>1799</v>
      </c>
      <c r="L853" t="s">
        <v>1799</v>
      </c>
      <c r="M853" t="s">
        <v>1799</v>
      </c>
      <c r="N853" t="s">
        <v>1799</v>
      </c>
      <c r="O853" s="184" t="str">
        <f>"["&amp;$C853&amp;"]["&amp;$D853&amp;"]["&amp;$F853&amp;"]"</f>
        <v>[S05_BiomassInstallations][8][EmissionsBiomassSustainabilitySatisfied]</v>
      </c>
    </row>
    <row r="854" spans="1:15" x14ac:dyDescent="0.3">
      <c r="A854" t="s">
        <v>1793</v>
      </c>
      <c r="B854" t="s">
        <v>2044</v>
      </c>
      <c r="C854" t="s">
        <v>2047</v>
      </c>
      <c r="D854">
        <v>9</v>
      </c>
      <c r="E854" t="s">
        <v>1447</v>
      </c>
      <c r="F854" t="s">
        <v>2050</v>
      </c>
      <c r="G854" t="s">
        <v>1922</v>
      </c>
      <c r="H854" t="s">
        <v>1799</v>
      </c>
      <c r="I854" t="s">
        <v>1799</v>
      </c>
      <c r="J854">
        <v>1676</v>
      </c>
      <c r="K854" t="s">
        <v>1799</v>
      </c>
      <c r="L854" t="s">
        <v>1799</v>
      </c>
      <c r="M854" t="s">
        <v>1799</v>
      </c>
      <c r="N854" t="s">
        <v>1799</v>
      </c>
      <c r="O854" s="184" t="str">
        <f>"["&amp;$C854&amp;"]["&amp;$D854&amp;"]["&amp;$F854&amp;"]"</f>
        <v>[S05_BiomassInstallations][9][EmissionsBiomassSustainabilitySatisfied]</v>
      </c>
    </row>
    <row r="855" spans="1:15" x14ac:dyDescent="0.3">
      <c r="A855" t="s">
        <v>1793</v>
      </c>
      <c r="B855" t="s">
        <v>2044</v>
      </c>
      <c r="C855" t="s">
        <v>2047</v>
      </c>
      <c r="D855">
        <v>10</v>
      </c>
      <c r="E855" t="s">
        <v>1447</v>
      </c>
      <c r="F855" t="s">
        <v>2050</v>
      </c>
      <c r="G855" t="s">
        <v>1922</v>
      </c>
      <c r="H855" t="s">
        <v>1799</v>
      </c>
      <c r="I855" t="s">
        <v>1799</v>
      </c>
      <c r="J855">
        <v>1299</v>
      </c>
      <c r="K855" t="s">
        <v>1799</v>
      </c>
      <c r="L855" t="s">
        <v>1799</v>
      </c>
      <c r="M855" t="s">
        <v>1799</v>
      </c>
      <c r="N855" t="s">
        <v>1799</v>
      </c>
      <c r="O855" s="184" t="str">
        <f>"["&amp;$C855&amp;"]["&amp;$D855&amp;"]["&amp;$F855&amp;"]"</f>
        <v>[S05_BiomassInstallations][10][EmissionsBiomassSustainabilitySatisfied]</v>
      </c>
    </row>
    <row r="856" spans="1:15" x14ac:dyDescent="0.3">
      <c r="A856" t="s">
        <v>1793</v>
      </c>
      <c r="B856" t="s">
        <v>2044</v>
      </c>
      <c r="C856" t="s">
        <v>2047</v>
      </c>
      <c r="D856">
        <v>11</v>
      </c>
      <c r="E856" t="s">
        <v>1447</v>
      </c>
      <c r="F856" t="s">
        <v>2050</v>
      </c>
      <c r="G856" t="s">
        <v>1922</v>
      </c>
      <c r="H856" t="s">
        <v>1799</v>
      </c>
      <c r="I856" t="s">
        <v>1799</v>
      </c>
      <c r="J856">
        <v>170</v>
      </c>
      <c r="K856" t="s">
        <v>1799</v>
      </c>
      <c r="L856" t="s">
        <v>1799</v>
      </c>
      <c r="M856" t="s">
        <v>1799</v>
      </c>
      <c r="N856" t="s">
        <v>1799</v>
      </c>
      <c r="O856" s="184" t="str">
        <f>"["&amp;$C856&amp;"]["&amp;$D856&amp;"]["&amp;$F856&amp;"]"</f>
        <v>[S05_BiomassInstallations][11][EmissionsBiomassSustainabilitySatisfied]</v>
      </c>
    </row>
    <row r="857" spans="1:15" x14ac:dyDescent="0.3">
      <c r="A857" t="s">
        <v>1793</v>
      </c>
      <c r="B857" t="s">
        <v>2044</v>
      </c>
      <c r="C857" t="s">
        <v>2047</v>
      </c>
      <c r="D857">
        <v>1</v>
      </c>
      <c r="E857" t="s">
        <v>1447</v>
      </c>
      <c r="F857" t="s">
        <v>2051</v>
      </c>
      <c r="G857" t="s">
        <v>1922</v>
      </c>
      <c r="H857" t="s">
        <v>1799</v>
      </c>
      <c r="I857" t="s">
        <v>1799</v>
      </c>
      <c r="J857">
        <v>0</v>
      </c>
      <c r="K857" t="s">
        <v>1799</v>
      </c>
      <c r="L857" t="s">
        <v>1799</v>
      </c>
      <c r="M857" t="s">
        <v>1799</v>
      </c>
      <c r="N857" t="s">
        <v>1799</v>
      </c>
      <c r="O857" s="184" t="str">
        <f>"["&amp;$C857&amp;"]["&amp;$D857&amp;"]["&amp;$F857&amp;"]"</f>
        <v>[S05_BiomassInstallations][1][EmissionsBiomassSustainabilityNotSatisfied]</v>
      </c>
    </row>
    <row r="858" spans="1:15" x14ac:dyDescent="0.3">
      <c r="A858" t="s">
        <v>1793</v>
      </c>
      <c r="B858" t="s">
        <v>2044</v>
      </c>
      <c r="C858" t="s">
        <v>2047</v>
      </c>
      <c r="D858">
        <v>2</v>
      </c>
      <c r="E858" t="s">
        <v>1447</v>
      </c>
      <c r="F858" t="s">
        <v>2051</v>
      </c>
      <c r="G858" t="s">
        <v>1922</v>
      </c>
      <c r="H858" t="s">
        <v>1799</v>
      </c>
      <c r="I858" t="s">
        <v>1799</v>
      </c>
      <c r="J858">
        <v>0</v>
      </c>
      <c r="K858" t="s">
        <v>1799</v>
      </c>
      <c r="L858" t="s">
        <v>1799</v>
      </c>
      <c r="M858" t="s">
        <v>1799</v>
      </c>
      <c r="N858" t="s">
        <v>1799</v>
      </c>
      <c r="O858" s="184" t="str">
        <f>"["&amp;$C858&amp;"]["&amp;$D858&amp;"]["&amp;$F858&amp;"]"</f>
        <v>[S05_BiomassInstallations][2][EmissionsBiomassSustainabilityNotSatisfied]</v>
      </c>
    </row>
    <row r="859" spans="1:15" x14ac:dyDescent="0.3">
      <c r="A859" t="s">
        <v>1793</v>
      </c>
      <c r="B859" t="s">
        <v>2044</v>
      </c>
      <c r="C859" t="s">
        <v>2047</v>
      </c>
      <c r="D859">
        <v>3</v>
      </c>
      <c r="E859" t="s">
        <v>1447</v>
      </c>
      <c r="F859" t="s">
        <v>2051</v>
      </c>
      <c r="G859" t="s">
        <v>1922</v>
      </c>
      <c r="H859" t="s">
        <v>1799</v>
      </c>
      <c r="I859" t="s">
        <v>1799</v>
      </c>
      <c r="J859">
        <v>0</v>
      </c>
      <c r="K859" t="s">
        <v>1799</v>
      </c>
      <c r="L859" t="s">
        <v>1799</v>
      </c>
      <c r="M859" t="s">
        <v>1799</v>
      </c>
      <c r="N859" t="s">
        <v>1799</v>
      </c>
      <c r="O859" s="184" t="str">
        <f>"["&amp;$C859&amp;"]["&amp;$D859&amp;"]["&amp;$F859&amp;"]"</f>
        <v>[S05_BiomassInstallations][3][EmissionsBiomassSustainabilityNotSatisfied]</v>
      </c>
    </row>
    <row r="860" spans="1:15" x14ac:dyDescent="0.3">
      <c r="A860" t="s">
        <v>1793</v>
      </c>
      <c r="B860" t="s">
        <v>2044</v>
      </c>
      <c r="C860" t="s">
        <v>2047</v>
      </c>
      <c r="D860">
        <v>4</v>
      </c>
      <c r="E860" t="s">
        <v>1447</v>
      </c>
      <c r="F860" t="s">
        <v>2051</v>
      </c>
      <c r="G860" t="s">
        <v>1922</v>
      </c>
      <c r="H860" t="s">
        <v>1799</v>
      </c>
      <c r="I860" t="s">
        <v>1799</v>
      </c>
      <c r="J860">
        <v>0</v>
      </c>
      <c r="K860" t="s">
        <v>1799</v>
      </c>
      <c r="L860" t="s">
        <v>1799</v>
      </c>
      <c r="M860" t="s">
        <v>1799</v>
      </c>
      <c r="N860" t="s">
        <v>1799</v>
      </c>
      <c r="O860" s="184" t="str">
        <f>"["&amp;$C860&amp;"]["&amp;$D860&amp;"]["&amp;$F860&amp;"]"</f>
        <v>[S05_BiomassInstallations][4][EmissionsBiomassSustainabilityNotSatisfied]</v>
      </c>
    </row>
    <row r="861" spans="1:15" x14ac:dyDescent="0.3">
      <c r="A861" t="s">
        <v>1793</v>
      </c>
      <c r="B861" t="s">
        <v>2044</v>
      </c>
      <c r="C861" t="s">
        <v>2047</v>
      </c>
      <c r="D861">
        <v>5</v>
      </c>
      <c r="E861" t="s">
        <v>1447</v>
      </c>
      <c r="F861" t="s">
        <v>2051</v>
      </c>
      <c r="G861" t="s">
        <v>1922</v>
      </c>
      <c r="H861" t="s">
        <v>1799</v>
      </c>
      <c r="I861" t="s">
        <v>1799</v>
      </c>
      <c r="J861">
        <v>0</v>
      </c>
      <c r="K861" t="s">
        <v>1799</v>
      </c>
      <c r="L861" t="s">
        <v>1799</v>
      </c>
      <c r="M861" t="s">
        <v>1799</v>
      </c>
      <c r="N861" t="s">
        <v>1799</v>
      </c>
      <c r="O861" s="184" t="str">
        <f>"["&amp;$C861&amp;"]["&amp;$D861&amp;"]["&amp;$F861&amp;"]"</f>
        <v>[S05_BiomassInstallations][5][EmissionsBiomassSustainabilityNotSatisfied]</v>
      </c>
    </row>
    <row r="862" spans="1:15" x14ac:dyDescent="0.3">
      <c r="A862" t="s">
        <v>1793</v>
      </c>
      <c r="B862" t="s">
        <v>2044</v>
      </c>
      <c r="C862" t="s">
        <v>2047</v>
      </c>
      <c r="D862">
        <v>6</v>
      </c>
      <c r="E862" t="s">
        <v>1447</v>
      </c>
      <c r="F862" t="s">
        <v>2051</v>
      </c>
      <c r="G862" t="s">
        <v>1922</v>
      </c>
      <c r="H862" t="s">
        <v>1799</v>
      </c>
      <c r="I862" t="s">
        <v>1799</v>
      </c>
      <c r="J862">
        <v>0</v>
      </c>
      <c r="K862" t="s">
        <v>1799</v>
      </c>
      <c r="L862" t="s">
        <v>1799</v>
      </c>
      <c r="M862" t="s">
        <v>1799</v>
      </c>
      <c r="N862" t="s">
        <v>1799</v>
      </c>
      <c r="O862" s="184" t="str">
        <f>"["&amp;$C862&amp;"]["&amp;$D862&amp;"]["&amp;$F862&amp;"]"</f>
        <v>[S05_BiomassInstallations][6][EmissionsBiomassSustainabilityNotSatisfied]</v>
      </c>
    </row>
    <row r="863" spans="1:15" x14ac:dyDescent="0.3">
      <c r="A863" t="s">
        <v>1793</v>
      </c>
      <c r="B863" t="s">
        <v>2044</v>
      </c>
      <c r="C863" t="s">
        <v>2047</v>
      </c>
      <c r="D863">
        <v>7</v>
      </c>
      <c r="E863" t="s">
        <v>1447</v>
      </c>
      <c r="F863" t="s">
        <v>2051</v>
      </c>
      <c r="G863" t="s">
        <v>1922</v>
      </c>
      <c r="H863" t="s">
        <v>1799</v>
      </c>
      <c r="I863" t="s">
        <v>1799</v>
      </c>
      <c r="J863">
        <v>0</v>
      </c>
      <c r="K863" t="s">
        <v>1799</v>
      </c>
      <c r="L863" t="s">
        <v>1799</v>
      </c>
      <c r="M863" t="s">
        <v>1799</v>
      </c>
      <c r="N863" t="s">
        <v>1799</v>
      </c>
      <c r="O863" s="184" t="str">
        <f>"["&amp;$C863&amp;"]["&amp;$D863&amp;"]["&amp;$F863&amp;"]"</f>
        <v>[S05_BiomassInstallations][7][EmissionsBiomassSustainabilityNotSatisfied]</v>
      </c>
    </row>
    <row r="864" spans="1:15" x14ac:dyDescent="0.3">
      <c r="A864" t="s">
        <v>1793</v>
      </c>
      <c r="B864" t="s">
        <v>2044</v>
      </c>
      <c r="C864" t="s">
        <v>2047</v>
      </c>
      <c r="D864">
        <v>8</v>
      </c>
      <c r="E864" t="s">
        <v>1447</v>
      </c>
      <c r="F864" t="s">
        <v>2051</v>
      </c>
      <c r="G864" t="s">
        <v>1922</v>
      </c>
      <c r="H864" t="s">
        <v>1799</v>
      </c>
      <c r="I864" t="s">
        <v>1799</v>
      </c>
      <c r="J864">
        <v>0</v>
      </c>
      <c r="K864" t="s">
        <v>1799</v>
      </c>
      <c r="L864" t="s">
        <v>1799</v>
      </c>
      <c r="M864" t="s">
        <v>1799</v>
      </c>
      <c r="N864" t="s">
        <v>1799</v>
      </c>
      <c r="O864" s="184" t="str">
        <f>"["&amp;$C864&amp;"]["&amp;$D864&amp;"]["&amp;$F864&amp;"]"</f>
        <v>[S05_BiomassInstallations][8][EmissionsBiomassSustainabilityNotSatisfied]</v>
      </c>
    </row>
    <row r="865" spans="1:15" x14ac:dyDescent="0.3">
      <c r="A865" t="s">
        <v>1793</v>
      </c>
      <c r="B865" t="s">
        <v>2044</v>
      </c>
      <c r="C865" t="s">
        <v>2047</v>
      </c>
      <c r="D865">
        <v>9</v>
      </c>
      <c r="E865" t="s">
        <v>1447</v>
      </c>
      <c r="F865" t="s">
        <v>2051</v>
      </c>
      <c r="G865" t="s">
        <v>1922</v>
      </c>
      <c r="H865" t="s">
        <v>1799</v>
      </c>
      <c r="I865" t="s">
        <v>1799</v>
      </c>
      <c r="J865">
        <v>0</v>
      </c>
      <c r="K865" t="s">
        <v>1799</v>
      </c>
      <c r="L865" t="s">
        <v>1799</v>
      </c>
      <c r="M865" t="s">
        <v>1799</v>
      </c>
      <c r="N865" t="s">
        <v>1799</v>
      </c>
      <c r="O865" s="184" t="str">
        <f>"["&amp;$C865&amp;"]["&amp;$D865&amp;"]["&amp;$F865&amp;"]"</f>
        <v>[S05_BiomassInstallations][9][EmissionsBiomassSustainabilityNotSatisfied]</v>
      </c>
    </row>
    <row r="866" spans="1:15" x14ac:dyDescent="0.3">
      <c r="A866" t="s">
        <v>1793</v>
      </c>
      <c r="B866" t="s">
        <v>2044</v>
      </c>
      <c r="C866" t="s">
        <v>2047</v>
      </c>
      <c r="D866">
        <v>10</v>
      </c>
      <c r="E866" t="s">
        <v>1447</v>
      </c>
      <c r="F866" t="s">
        <v>2051</v>
      </c>
      <c r="G866" t="s">
        <v>1922</v>
      </c>
      <c r="H866" t="s">
        <v>1799</v>
      </c>
      <c r="I866" t="s">
        <v>1799</v>
      </c>
      <c r="J866">
        <v>0</v>
      </c>
      <c r="K866" t="s">
        <v>1799</v>
      </c>
      <c r="L866" t="s">
        <v>1799</v>
      </c>
      <c r="M866" t="s">
        <v>1799</v>
      </c>
      <c r="N866" t="s">
        <v>1799</v>
      </c>
      <c r="O866" s="184" t="str">
        <f>"["&amp;$C866&amp;"]["&amp;$D866&amp;"]["&amp;$F866&amp;"]"</f>
        <v>[S05_BiomassInstallations][10][EmissionsBiomassSustainabilityNotSatisfied]</v>
      </c>
    </row>
    <row r="867" spans="1:15" x14ac:dyDescent="0.3">
      <c r="A867" t="s">
        <v>1793</v>
      </c>
      <c r="B867" t="s">
        <v>2044</v>
      </c>
      <c r="C867" t="s">
        <v>2047</v>
      </c>
      <c r="D867">
        <v>11</v>
      </c>
      <c r="E867" t="s">
        <v>1447</v>
      </c>
      <c r="F867" t="s">
        <v>2051</v>
      </c>
      <c r="G867" t="s">
        <v>1922</v>
      </c>
      <c r="H867" t="s">
        <v>1799</v>
      </c>
      <c r="I867" t="s">
        <v>1799</v>
      </c>
      <c r="J867">
        <v>0</v>
      </c>
      <c r="K867" t="s">
        <v>1799</v>
      </c>
      <c r="L867" t="s">
        <v>1799</v>
      </c>
      <c r="M867" t="s">
        <v>1799</v>
      </c>
      <c r="N867" t="s">
        <v>1799</v>
      </c>
      <c r="O867" s="184" t="str">
        <f>"["&amp;$C867&amp;"]["&amp;$D867&amp;"]["&amp;$F867&amp;"]"</f>
        <v>[S05_BiomassInstallations][11][EmissionsBiomassSustainabilityNotSatisfied]</v>
      </c>
    </row>
    <row r="868" spans="1:15" x14ac:dyDescent="0.3">
      <c r="A868" t="s">
        <v>1793</v>
      </c>
      <c r="B868" t="s">
        <v>2044</v>
      </c>
      <c r="C868" t="s">
        <v>2047</v>
      </c>
      <c r="D868">
        <v>1</v>
      </c>
      <c r="E868" t="s">
        <v>1447</v>
      </c>
      <c r="F868" t="s">
        <v>2052</v>
      </c>
      <c r="G868" t="s">
        <v>1922</v>
      </c>
      <c r="H868" t="s">
        <v>1799</v>
      </c>
      <c r="I868" t="s">
        <v>1799</v>
      </c>
      <c r="J868">
        <v>107256</v>
      </c>
      <c r="K868" t="s">
        <v>1799</v>
      </c>
      <c r="L868" t="s">
        <v>1799</v>
      </c>
      <c r="M868" t="s">
        <v>1799</v>
      </c>
      <c r="N868" t="s">
        <v>1799</v>
      </c>
      <c r="O868" s="184" t="str">
        <f>"["&amp;$C868&amp;"]["&amp;$D868&amp;"]["&amp;$F868&amp;"]"</f>
        <v>[S05_BiomassInstallations][1][EmissionsFossil]</v>
      </c>
    </row>
    <row r="869" spans="1:15" x14ac:dyDescent="0.3">
      <c r="A869" t="s">
        <v>1793</v>
      </c>
      <c r="B869" t="s">
        <v>2044</v>
      </c>
      <c r="C869" t="s">
        <v>2047</v>
      </c>
      <c r="D869">
        <v>2</v>
      </c>
      <c r="E869" t="s">
        <v>1447</v>
      </c>
      <c r="F869" t="s">
        <v>2052</v>
      </c>
      <c r="G869" t="s">
        <v>1922</v>
      </c>
      <c r="H869" t="s">
        <v>1799</v>
      </c>
      <c r="I869" t="s">
        <v>1799</v>
      </c>
      <c r="J869">
        <v>102977</v>
      </c>
      <c r="K869" t="s">
        <v>1799</v>
      </c>
      <c r="L869" t="s">
        <v>1799</v>
      </c>
      <c r="M869" t="s">
        <v>1799</v>
      </c>
      <c r="N869" t="s">
        <v>1799</v>
      </c>
      <c r="O869" s="184" t="str">
        <f>"["&amp;$C869&amp;"]["&amp;$D869&amp;"]["&amp;$F869&amp;"]"</f>
        <v>[S05_BiomassInstallations][2][EmissionsFossil]</v>
      </c>
    </row>
    <row r="870" spans="1:15" x14ac:dyDescent="0.3">
      <c r="A870" t="s">
        <v>1793</v>
      </c>
      <c r="B870" t="s">
        <v>2044</v>
      </c>
      <c r="C870" t="s">
        <v>2047</v>
      </c>
      <c r="D870">
        <v>3</v>
      </c>
      <c r="E870" t="s">
        <v>1447</v>
      </c>
      <c r="F870" t="s">
        <v>2052</v>
      </c>
      <c r="G870" t="s">
        <v>1922</v>
      </c>
      <c r="H870" t="s">
        <v>1799</v>
      </c>
      <c r="I870" t="s">
        <v>1799</v>
      </c>
      <c r="J870">
        <v>289601</v>
      </c>
      <c r="K870" t="s">
        <v>1799</v>
      </c>
      <c r="L870" t="s">
        <v>1799</v>
      </c>
      <c r="M870" t="s">
        <v>1799</v>
      </c>
      <c r="N870" t="s">
        <v>1799</v>
      </c>
      <c r="O870" s="184" t="str">
        <f>"["&amp;$C870&amp;"]["&amp;$D870&amp;"]["&amp;$F870&amp;"]"</f>
        <v>[S05_BiomassInstallations][3][EmissionsFossil]</v>
      </c>
    </row>
    <row r="871" spans="1:15" x14ac:dyDescent="0.3">
      <c r="A871" t="s">
        <v>1793</v>
      </c>
      <c r="B871" t="s">
        <v>2044</v>
      </c>
      <c r="C871" t="s">
        <v>2047</v>
      </c>
      <c r="D871">
        <v>4</v>
      </c>
      <c r="E871" t="s">
        <v>1447</v>
      </c>
      <c r="F871" t="s">
        <v>2052</v>
      </c>
      <c r="G871" t="s">
        <v>1922</v>
      </c>
      <c r="H871" t="s">
        <v>1799</v>
      </c>
      <c r="I871" t="s">
        <v>1799</v>
      </c>
      <c r="J871">
        <v>750626</v>
      </c>
      <c r="K871" t="s">
        <v>1799</v>
      </c>
      <c r="L871" t="s">
        <v>1799</v>
      </c>
      <c r="M871" t="s">
        <v>1799</v>
      </c>
      <c r="N871" t="s">
        <v>1799</v>
      </c>
      <c r="O871" s="184" t="str">
        <f>"["&amp;$C871&amp;"]["&amp;$D871&amp;"]["&amp;$F871&amp;"]"</f>
        <v>[S05_BiomassInstallations][4][EmissionsFossil]</v>
      </c>
    </row>
    <row r="872" spans="1:15" x14ac:dyDescent="0.3">
      <c r="A872" t="s">
        <v>1793</v>
      </c>
      <c r="B872" t="s">
        <v>2044</v>
      </c>
      <c r="C872" t="s">
        <v>2047</v>
      </c>
      <c r="D872">
        <v>5</v>
      </c>
      <c r="E872" t="s">
        <v>1447</v>
      </c>
      <c r="F872" t="s">
        <v>2052</v>
      </c>
      <c r="G872" t="s">
        <v>1922</v>
      </c>
      <c r="H872" t="s">
        <v>1799</v>
      </c>
      <c r="I872" t="s">
        <v>1799</v>
      </c>
      <c r="J872">
        <v>6376</v>
      </c>
      <c r="K872" t="s">
        <v>1799</v>
      </c>
      <c r="L872" t="s">
        <v>1799</v>
      </c>
      <c r="M872" t="s">
        <v>1799</v>
      </c>
      <c r="N872" t="s">
        <v>1799</v>
      </c>
      <c r="O872" s="184" t="str">
        <f>"["&amp;$C872&amp;"]["&amp;$D872&amp;"]["&amp;$F872&amp;"]"</f>
        <v>[S05_BiomassInstallations][5][EmissionsFossil]</v>
      </c>
    </row>
    <row r="873" spans="1:15" x14ac:dyDescent="0.3">
      <c r="A873" t="s">
        <v>1793</v>
      </c>
      <c r="B873" t="s">
        <v>2044</v>
      </c>
      <c r="C873" t="s">
        <v>2047</v>
      </c>
      <c r="D873">
        <v>6</v>
      </c>
      <c r="E873" t="s">
        <v>1447</v>
      </c>
      <c r="F873" t="s">
        <v>2052</v>
      </c>
      <c r="G873" t="s">
        <v>1922</v>
      </c>
      <c r="H873" t="s">
        <v>1799</v>
      </c>
      <c r="I873" t="s">
        <v>1799</v>
      </c>
      <c r="J873">
        <v>137579</v>
      </c>
      <c r="K873" t="s">
        <v>1799</v>
      </c>
      <c r="L873" t="s">
        <v>1799</v>
      </c>
      <c r="M873" t="s">
        <v>1799</v>
      </c>
      <c r="N873" t="s">
        <v>1799</v>
      </c>
      <c r="O873" s="184" t="str">
        <f>"["&amp;$C873&amp;"]["&amp;$D873&amp;"]["&amp;$F873&amp;"]"</f>
        <v>[S05_BiomassInstallations][6][EmissionsFossil]</v>
      </c>
    </row>
    <row r="874" spans="1:15" x14ac:dyDescent="0.3">
      <c r="A874" t="s">
        <v>1793</v>
      </c>
      <c r="B874" t="s">
        <v>2044</v>
      </c>
      <c r="C874" t="s">
        <v>2047</v>
      </c>
      <c r="D874">
        <v>7</v>
      </c>
      <c r="E874" t="s">
        <v>1447</v>
      </c>
      <c r="F874" t="s">
        <v>2052</v>
      </c>
      <c r="G874" t="s">
        <v>1922</v>
      </c>
      <c r="H874" t="s">
        <v>1799</v>
      </c>
      <c r="I874" t="s">
        <v>1799</v>
      </c>
      <c r="J874">
        <v>1290269</v>
      </c>
      <c r="K874" t="s">
        <v>1799</v>
      </c>
      <c r="L874" t="s">
        <v>1799</v>
      </c>
      <c r="M874" t="s">
        <v>1799</v>
      </c>
      <c r="N874" t="s">
        <v>1799</v>
      </c>
      <c r="O874" s="184" t="str">
        <f>"["&amp;$C874&amp;"]["&amp;$D874&amp;"]["&amp;$F874&amp;"]"</f>
        <v>[S05_BiomassInstallations][7][EmissionsFossil]</v>
      </c>
    </row>
    <row r="875" spans="1:15" x14ac:dyDescent="0.3">
      <c r="A875" t="s">
        <v>1793</v>
      </c>
      <c r="B875" t="s">
        <v>2044</v>
      </c>
      <c r="C875" t="s">
        <v>2047</v>
      </c>
      <c r="D875">
        <v>8</v>
      </c>
      <c r="E875" t="s">
        <v>1447</v>
      </c>
      <c r="F875" t="s">
        <v>2052</v>
      </c>
      <c r="G875" t="s">
        <v>1922</v>
      </c>
      <c r="H875" t="s">
        <v>1799</v>
      </c>
      <c r="I875" t="s">
        <v>1799</v>
      </c>
      <c r="J875">
        <v>637815</v>
      </c>
      <c r="K875" t="s">
        <v>1799</v>
      </c>
      <c r="L875" t="s">
        <v>1799</v>
      </c>
      <c r="M875" t="s">
        <v>1799</v>
      </c>
      <c r="N875" t="s">
        <v>1799</v>
      </c>
      <c r="O875" s="184" t="str">
        <f>"["&amp;$C875&amp;"]["&amp;$D875&amp;"]["&amp;$F875&amp;"]"</f>
        <v>[S05_BiomassInstallations][8][EmissionsFossil]</v>
      </c>
    </row>
    <row r="876" spans="1:15" x14ac:dyDescent="0.3">
      <c r="A876" t="s">
        <v>1793</v>
      </c>
      <c r="B876" t="s">
        <v>2044</v>
      </c>
      <c r="C876" t="s">
        <v>2047</v>
      </c>
      <c r="D876">
        <v>9</v>
      </c>
      <c r="E876" t="s">
        <v>1447</v>
      </c>
      <c r="F876" t="s">
        <v>2052</v>
      </c>
      <c r="G876" t="s">
        <v>1922</v>
      </c>
      <c r="H876" t="s">
        <v>1799</v>
      </c>
      <c r="I876" t="s">
        <v>1799</v>
      </c>
      <c r="J876">
        <v>620</v>
      </c>
      <c r="K876" t="s">
        <v>1799</v>
      </c>
      <c r="L876" t="s">
        <v>1799</v>
      </c>
      <c r="M876" t="s">
        <v>1799</v>
      </c>
      <c r="N876" t="s">
        <v>1799</v>
      </c>
      <c r="O876" s="184" t="str">
        <f>"["&amp;$C876&amp;"]["&amp;$D876&amp;"]["&amp;$F876&amp;"]"</f>
        <v>[S05_BiomassInstallations][9][EmissionsFossil]</v>
      </c>
    </row>
    <row r="877" spans="1:15" x14ac:dyDescent="0.3">
      <c r="A877" t="s">
        <v>1793</v>
      </c>
      <c r="B877" t="s">
        <v>2044</v>
      </c>
      <c r="C877" t="s">
        <v>2047</v>
      </c>
      <c r="D877">
        <v>10</v>
      </c>
      <c r="E877" t="s">
        <v>1447</v>
      </c>
      <c r="F877" t="s">
        <v>2052</v>
      </c>
      <c r="G877" t="s">
        <v>1922</v>
      </c>
      <c r="H877" t="s">
        <v>1799</v>
      </c>
      <c r="I877" t="s">
        <v>1799</v>
      </c>
      <c r="J877">
        <v>801500</v>
      </c>
      <c r="K877" t="s">
        <v>1799</v>
      </c>
      <c r="L877" t="s">
        <v>1799</v>
      </c>
      <c r="M877" t="s">
        <v>1799</v>
      </c>
      <c r="N877" t="s">
        <v>1799</v>
      </c>
      <c r="O877" s="184" t="str">
        <f>"["&amp;$C877&amp;"]["&amp;$D877&amp;"]["&amp;$F877&amp;"]"</f>
        <v>[S05_BiomassInstallations][10][EmissionsFossil]</v>
      </c>
    </row>
    <row r="878" spans="1:15" x14ac:dyDescent="0.3">
      <c r="A878" t="s">
        <v>1793</v>
      </c>
      <c r="B878" t="s">
        <v>2044</v>
      </c>
      <c r="C878" t="s">
        <v>2047</v>
      </c>
      <c r="D878">
        <v>11</v>
      </c>
      <c r="E878" t="s">
        <v>1447</v>
      </c>
      <c r="F878" t="s">
        <v>2052</v>
      </c>
      <c r="G878" t="s">
        <v>1922</v>
      </c>
      <c r="H878" t="s">
        <v>1799</v>
      </c>
      <c r="I878" t="s">
        <v>1799</v>
      </c>
      <c r="J878">
        <v>16862</v>
      </c>
      <c r="K878" t="s">
        <v>1799</v>
      </c>
      <c r="L878" t="s">
        <v>1799</v>
      </c>
      <c r="M878" t="s">
        <v>1799</v>
      </c>
      <c r="N878" t="s">
        <v>1799</v>
      </c>
      <c r="O878" s="184" t="str">
        <f>"["&amp;$C878&amp;"]["&amp;$D878&amp;"]["&amp;$F878&amp;"]"</f>
        <v>[S05_BiomassInstallations][11][EmissionsFossil]</v>
      </c>
    </row>
    <row r="879" spans="1:15" x14ac:dyDescent="0.3">
      <c r="A879" t="s">
        <v>1793</v>
      </c>
      <c r="B879" t="s">
        <v>2044</v>
      </c>
      <c r="C879" t="s">
        <v>2047</v>
      </c>
      <c r="D879">
        <v>1</v>
      </c>
      <c r="E879" t="s">
        <v>1447</v>
      </c>
      <c r="F879" t="s">
        <v>2053</v>
      </c>
      <c r="G879" t="s">
        <v>1922</v>
      </c>
      <c r="H879" t="s">
        <v>1799</v>
      </c>
      <c r="I879" t="s">
        <v>1799</v>
      </c>
      <c r="J879">
        <v>2535</v>
      </c>
      <c r="K879" t="s">
        <v>1799</v>
      </c>
      <c r="L879" t="s">
        <v>1799</v>
      </c>
      <c r="M879" t="s">
        <v>1799</v>
      </c>
      <c r="N879" t="s">
        <v>1799</v>
      </c>
      <c r="O879" s="184" t="str">
        <f>"["&amp;$C879&amp;"]["&amp;$D879&amp;"]["&amp;$F879&amp;"]"</f>
        <v>[S05_BiomassInstallations][1][EnergyZeroRatedBiomass]</v>
      </c>
    </row>
    <row r="880" spans="1:15" x14ac:dyDescent="0.3">
      <c r="A880" t="s">
        <v>1793</v>
      </c>
      <c r="B880" t="s">
        <v>2044</v>
      </c>
      <c r="C880" t="s">
        <v>2047</v>
      </c>
      <c r="D880">
        <v>2</v>
      </c>
      <c r="E880" t="s">
        <v>1447</v>
      </c>
      <c r="F880" t="s">
        <v>2053</v>
      </c>
      <c r="G880" t="s">
        <v>1922</v>
      </c>
      <c r="H880" t="s">
        <v>1799</v>
      </c>
      <c r="I880" t="s">
        <v>1799</v>
      </c>
      <c r="J880">
        <v>5</v>
      </c>
      <c r="K880" t="s">
        <v>1799</v>
      </c>
      <c r="L880" t="s">
        <v>1799</v>
      </c>
      <c r="M880" t="s">
        <v>1799</v>
      </c>
      <c r="N880" t="s">
        <v>1799</v>
      </c>
      <c r="O880" s="184" t="str">
        <f>"["&amp;$C880&amp;"]["&amp;$D880&amp;"]["&amp;$F880&amp;"]"</f>
        <v>[S05_BiomassInstallations][2][EnergyZeroRatedBiomass]</v>
      </c>
    </row>
    <row r="881" spans="1:15" x14ac:dyDescent="0.3">
      <c r="A881" t="s">
        <v>1793</v>
      </c>
      <c r="B881" t="s">
        <v>2044</v>
      </c>
      <c r="C881" t="s">
        <v>2047</v>
      </c>
      <c r="D881">
        <v>3</v>
      </c>
      <c r="E881" t="s">
        <v>1447</v>
      </c>
      <c r="F881" t="s">
        <v>2053</v>
      </c>
      <c r="G881" t="s">
        <v>1922</v>
      </c>
      <c r="H881" t="s">
        <v>1799</v>
      </c>
      <c r="I881" t="s">
        <v>1799</v>
      </c>
      <c r="J881">
        <v>220</v>
      </c>
      <c r="K881" t="s">
        <v>1799</v>
      </c>
      <c r="L881" t="s">
        <v>1799</v>
      </c>
      <c r="M881" t="s">
        <v>1799</v>
      </c>
      <c r="N881" t="s">
        <v>1799</v>
      </c>
      <c r="O881" s="184" t="str">
        <f>"["&amp;$C881&amp;"]["&amp;$D881&amp;"]["&amp;$F881&amp;"]"</f>
        <v>[S05_BiomassInstallations][3][EnergyZeroRatedBiomass]</v>
      </c>
    </row>
    <row r="882" spans="1:15" x14ac:dyDescent="0.3">
      <c r="A882" t="s">
        <v>1793</v>
      </c>
      <c r="B882" t="s">
        <v>2044</v>
      </c>
      <c r="C882" t="s">
        <v>2047</v>
      </c>
      <c r="D882">
        <v>4</v>
      </c>
      <c r="E882" t="s">
        <v>1447</v>
      </c>
      <c r="F882" t="s">
        <v>2053</v>
      </c>
      <c r="G882" t="s">
        <v>1922</v>
      </c>
      <c r="H882" t="s">
        <v>1799</v>
      </c>
      <c r="I882" t="s">
        <v>1799</v>
      </c>
      <c r="J882">
        <v>959</v>
      </c>
      <c r="K882" t="s">
        <v>1799</v>
      </c>
      <c r="L882" t="s">
        <v>1799</v>
      </c>
      <c r="M882" t="s">
        <v>1799</v>
      </c>
      <c r="N882" t="s">
        <v>1799</v>
      </c>
      <c r="O882" s="184" t="str">
        <f>"["&amp;$C882&amp;"]["&amp;$D882&amp;"]["&amp;$F882&amp;"]"</f>
        <v>[S05_BiomassInstallations][4][EnergyZeroRatedBiomass]</v>
      </c>
    </row>
    <row r="883" spans="1:15" x14ac:dyDescent="0.3">
      <c r="A883" t="s">
        <v>1793</v>
      </c>
      <c r="B883" t="s">
        <v>2044</v>
      </c>
      <c r="C883" t="s">
        <v>2047</v>
      </c>
      <c r="D883">
        <v>5</v>
      </c>
      <c r="E883" t="s">
        <v>1447</v>
      </c>
      <c r="F883" t="s">
        <v>2053</v>
      </c>
      <c r="G883" t="s">
        <v>1922</v>
      </c>
      <c r="H883" t="s">
        <v>1799</v>
      </c>
      <c r="I883" t="s">
        <v>1799</v>
      </c>
      <c r="J883">
        <v>5631</v>
      </c>
      <c r="K883" t="s">
        <v>1799</v>
      </c>
      <c r="L883" t="s">
        <v>1799</v>
      </c>
      <c r="M883" t="s">
        <v>1799</v>
      </c>
      <c r="N883" t="s">
        <v>1799</v>
      </c>
      <c r="O883" s="184" t="str">
        <f>"["&amp;$C883&amp;"]["&amp;$D883&amp;"]["&amp;$F883&amp;"]"</f>
        <v>[S05_BiomassInstallations][5][EnergyZeroRatedBiomass]</v>
      </c>
    </row>
    <row r="884" spans="1:15" x14ac:dyDescent="0.3">
      <c r="A884" t="s">
        <v>1793</v>
      </c>
      <c r="B884" t="s">
        <v>2044</v>
      </c>
      <c r="C884" t="s">
        <v>2047</v>
      </c>
      <c r="D884">
        <v>6</v>
      </c>
      <c r="E884" t="s">
        <v>1447</v>
      </c>
      <c r="F884" t="s">
        <v>2053</v>
      </c>
      <c r="G884" t="s">
        <v>1922</v>
      </c>
      <c r="H884" t="s">
        <v>1799</v>
      </c>
      <c r="I884" t="s">
        <v>1799</v>
      </c>
      <c r="J884">
        <v>1959</v>
      </c>
      <c r="K884" t="s">
        <v>1799</v>
      </c>
      <c r="L884" t="s">
        <v>1799</v>
      </c>
      <c r="M884" t="s">
        <v>1799</v>
      </c>
      <c r="N884" t="s">
        <v>1799</v>
      </c>
      <c r="O884" s="184" t="str">
        <f>"["&amp;$C884&amp;"]["&amp;$D884&amp;"]["&amp;$F884&amp;"]"</f>
        <v>[S05_BiomassInstallations][6][EnergyZeroRatedBiomass]</v>
      </c>
    </row>
    <row r="885" spans="1:15" x14ac:dyDescent="0.3">
      <c r="A885" t="s">
        <v>1793</v>
      </c>
      <c r="B885" t="s">
        <v>2044</v>
      </c>
      <c r="C885" t="s">
        <v>2047</v>
      </c>
      <c r="D885">
        <v>7</v>
      </c>
      <c r="E885" t="s">
        <v>1447</v>
      </c>
      <c r="F885" t="s">
        <v>2053</v>
      </c>
      <c r="G885" t="s">
        <v>1922</v>
      </c>
      <c r="H885" t="s">
        <v>1799</v>
      </c>
      <c r="I885" t="s">
        <v>1799</v>
      </c>
      <c r="J885">
        <v>2717</v>
      </c>
      <c r="K885" t="s">
        <v>1799</v>
      </c>
      <c r="L885" t="s">
        <v>1799</v>
      </c>
      <c r="M885" t="s">
        <v>1799</v>
      </c>
      <c r="N885" t="s">
        <v>1799</v>
      </c>
      <c r="O885" s="184" t="str">
        <f>"["&amp;$C885&amp;"]["&amp;$D885&amp;"]["&amp;$F885&amp;"]"</f>
        <v>[S05_BiomassInstallations][7][EnergyZeroRatedBiomass]</v>
      </c>
    </row>
    <row r="886" spans="1:15" x14ac:dyDescent="0.3">
      <c r="A886" t="s">
        <v>1793</v>
      </c>
      <c r="B886" t="s">
        <v>2044</v>
      </c>
      <c r="C886" t="s">
        <v>2047</v>
      </c>
      <c r="D886">
        <v>8</v>
      </c>
      <c r="E886" t="s">
        <v>1447</v>
      </c>
      <c r="F886" t="s">
        <v>2053</v>
      </c>
      <c r="G886" t="s">
        <v>1922</v>
      </c>
      <c r="H886" t="s">
        <v>1799</v>
      </c>
      <c r="I886" t="s">
        <v>1799</v>
      </c>
      <c r="J886">
        <v>1325</v>
      </c>
      <c r="K886" t="s">
        <v>1799</v>
      </c>
      <c r="L886" t="s">
        <v>1799</v>
      </c>
      <c r="M886" t="s">
        <v>1799</v>
      </c>
      <c r="N886" t="s">
        <v>1799</v>
      </c>
      <c r="O886" s="184" t="str">
        <f>"["&amp;$C886&amp;"]["&amp;$D886&amp;"]["&amp;$F886&amp;"]"</f>
        <v>[S05_BiomassInstallations][8][EnergyZeroRatedBiomass]</v>
      </c>
    </row>
    <row r="887" spans="1:15" x14ac:dyDescent="0.3">
      <c r="A887" t="s">
        <v>1793</v>
      </c>
      <c r="B887" t="s">
        <v>2044</v>
      </c>
      <c r="C887" t="s">
        <v>2047</v>
      </c>
      <c r="D887">
        <v>9</v>
      </c>
      <c r="E887" t="s">
        <v>1447</v>
      </c>
      <c r="F887" t="s">
        <v>2053</v>
      </c>
      <c r="G887" t="s">
        <v>1922</v>
      </c>
      <c r="H887" t="s">
        <v>1799</v>
      </c>
      <c r="I887" t="s">
        <v>1799</v>
      </c>
      <c r="J887">
        <v>22</v>
      </c>
      <c r="K887" t="s">
        <v>1799</v>
      </c>
      <c r="L887" t="s">
        <v>1799</v>
      </c>
      <c r="M887" t="s">
        <v>1799</v>
      </c>
      <c r="N887" t="s">
        <v>1799</v>
      </c>
      <c r="O887" s="184" t="str">
        <f>"["&amp;$C887&amp;"]["&amp;$D887&amp;"]["&amp;$F887&amp;"]"</f>
        <v>[S05_BiomassInstallations][9][EnergyZeroRatedBiomass]</v>
      </c>
    </row>
    <row r="888" spans="1:15" x14ac:dyDescent="0.3">
      <c r="A888" t="s">
        <v>1793</v>
      </c>
      <c r="B888" t="s">
        <v>2044</v>
      </c>
      <c r="C888" t="s">
        <v>2047</v>
      </c>
      <c r="D888">
        <v>10</v>
      </c>
      <c r="E888" t="s">
        <v>1447</v>
      </c>
      <c r="F888" t="s">
        <v>2053</v>
      </c>
      <c r="G888" t="s">
        <v>1922</v>
      </c>
      <c r="H888" t="s">
        <v>1799</v>
      </c>
      <c r="I888" t="s">
        <v>1799</v>
      </c>
      <c r="J888">
        <v>18</v>
      </c>
      <c r="K888" t="s">
        <v>1799</v>
      </c>
      <c r="L888" t="s">
        <v>1799</v>
      </c>
      <c r="M888" t="s">
        <v>1799</v>
      </c>
      <c r="N888" t="s">
        <v>1799</v>
      </c>
      <c r="O888" s="184" t="str">
        <f>"["&amp;$C888&amp;"]["&amp;$D888&amp;"]["&amp;$F888&amp;"]"</f>
        <v>[S05_BiomassInstallations][10][EnergyZeroRatedBiomass]</v>
      </c>
    </row>
    <row r="889" spans="1:15" x14ac:dyDescent="0.3">
      <c r="A889" t="s">
        <v>1793</v>
      </c>
      <c r="B889" t="s">
        <v>2044</v>
      </c>
      <c r="C889" t="s">
        <v>2047</v>
      </c>
      <c r="D889">
        <v>11</v>
      </c>
      <c r="E889" t="s">
        <v>1447</v>
      </c>
      <c r="F889" t="s">
        <v>2053</v>
      </c>
      <c r="G889" t="s">
        <v>1922</v>
      </c>
      <c r="H889" t="s">
        <v>1799</v>
      </c>
      <c r="I889" t="s">
        <v>1799</v>
      </c>
      <c r="J889">
        <v>2</v>
      </c>
      <c r="K889" t="s">
        <v>1799</v>
      </c>
      <c r="L889" t="s">
        <v>1799</v>
      </c>
      <c r="M889" t="s">
        <v>1799</v>
      </c>
      <c r="N889" t="s">
        <v>1799</v>
      </c>
      <c r="O889" s="184" t="str">
        <f>"["&amp;$C889&amp;"]["&amp;$D889&amp;"]["&amp;$F889&amp;"]"</f>
        <v>[S05_BiomassInstallations][11][EnergyZeroRatedBiomass]</v>
      </c>
    </row>
    <row r="890" spans="1:15" x14ac:dyDescent="0.3">
      <c r="A890" t="s">
        <v>1793</v>
      </c>
      <c r="B890" t="s">
        <v>2044</v>
      </c>
      <c r="C890" t="s">
        <v>2047</v>
      </c>
      <c r="D890">
        <v>1</v>
      </c>
      <c r="E890" t="s">
        <v>1447</v>
      </c>
      <c r="F890" t="s">
        <v>2054</v>
      </c>
      <c r="G890" t="s">
        <v>1922</v>
      </c>
      <c r="H890" t="s">
        <v>1799</v>
      </c>
      <c r="I890" t="s">
        <v>1799</v>
      </c>
      <c r="J890">
        <v>0</v>
      </c>
      <c r="K890" t="s">
        <v>1799</v>
      </c>
      <c r="L890" t="s">
        <v>1799</v>
      </c>
      <c r="M890" t="s">
        <v>1799</v>
      </c>
      <c r="N890" t="s">
        <v>1799</v>
      </c>
      <c r="O890" s="184" t="str">
        <f>"["&amp;$C890&amp;"]["&amp;$D890&amp;"]["&amp;$F890&amp;"]"</f>
        <v>[S05_BiomassInstallations][1][EnergyNonZeroRatedBiomass]</v>
      </c>
    </row>
    <row r="891" spans="1:15" x14ac:dyDescent="0.3">
      <c r="A891" t="s">
        <v>1793</v>
      </c>
      <c r="B891" t="s">
        <v>2044</v>
      </c>
      <c r="C891" t="s">
        <v>2047</v>
      </c>
      <c r="D891">
        <v>2</v>
      </c>
      <c r="E891" t="s">
        <v>1447</v>
      </c>
      <c r="F891" t="s">
        <v>2054</v>
      </c>
      <c r="G891" t="s">
        <v>1922</v>
      </c>
      <c r="H891" t="s">
        <v>1799</v>
      </c>
      <c r="I891" t="s">
        <v>1799</v>
      </c>
      <c r="J891">
        <v>0</v>
      </c>
      <c r="K891" t="s">
        <v>1799</v>
      </c>
      <c r="L891" t="s">
        <v>1799</v>
      </c>
      <c r="M891" t="s">
        <v>1799</v>
      </c>
      <c r="N891" t="s">
        <v>1799</v>
      </c>
      <c r="O891" s="184" t="str">
        <f>"["&amp;$C891&amp;"]["&amp;$D891&amp;"]["&amp;$F891&amp;"]"</f>
        <v>[S05_BiomassInstallations][2][EnergyNonZeroRatedBiomass]</v>
      </c>
    </row>
    <row r="892" spans="1:15" x14ac:dyDescent="0.3">
      <c r="A892" t="s">
        <v>1793</v>
      </c>
      <c r="B892" t="s">
        <v>2044</v>
      </c>
      <c r="C892" t="s">
        <v>2047</v>
      </c>
      <c r="D892">
        <v>3</v>
      </c>
      <c r="E892" t="s">
        <v>1447</v>
      </c>
      <c r="F892" t="s">
        <v>2054</v>
      </c>
      <c r="G892" t="s">
        <v>1922</v>
      </c>
      <c r="H892" t="s">
        <v>1799</v>
      </c>
      <c r="I892" t="s">
        <v>1799</v>
      </c>
      <c r="J892">
        <v>0</v>
      </c>
      <c r="K892" t="s">
        <v>1799</v>
      </c>
      <c r="L892" t="s">
        <v>1799</v>
      </c>
      <c r="M892" t="s">
        <v>1799</v>
      </c>
      <c r="N892" t="s">
        <v>1799</v>
      </c>
      <c r="O892" s="184" t="str">
        <f>"["&amp;$C892&amp;"]["&amp;$D892&amp;"]["&amp;$F892&amp;"]"</f>
        <v>[S05_BiomassInstallations][3][EnergyNonZeroRatedBiomass]</v>
      </c>
    </row>
    <row r="893" spans="1:15" x14ac:dyDescent="0.3">
      <c r="A893" t="s">
        <v>1793</v>
      </c>
      <c r="B893" t="s">
        <v>2044</v>
      </c>
      <c r="C893" t="s">
        <v>2047</v>
      </c>
      <c r="D893">
        <v>4</v>
      </c>
      <c r="E893" t="s">
        <v>1447</v>
      </c>
      <c r="F893" t="s">
        <v>2054</v>
      </c>
      <c r="G893" t="s">
        <v>1922</v>
      </c>
      <c r="H893" t="s">
        <v>1799</v>
      </c>
      <c r="I893" t="s">
        <v>1799</v>
      </c>
      <c r="J893">
        <v>0</v>
      </c>
      <c r="K893" t="s">
        <v>1799</v>
      </c>
      <c r="L893" t="s">
        <v>1799</v>
      </c>
      <c r="M893" t="s">
        <v>1799</v>
      </c>
      <c r="N893" t="s">
        <v>1799</v>
      </c>
      <c r="O893" s="184" t="str">
        <f>"["&amp;$C893&amp;"]["&amp;$D893&amp;"]["&amp;$F893&amp;"]"</f>
        <v>[S05_BiomassInstallations][4][EnergyNonZeroRatedBiomass]</v>
      </c>
    </row>
    <row r="894" spans="1:15" x14ac:dyDescent="0.3">
      <c r="A894" t="s">
        <v>1793</v>
      </c>
      <c r="B894" t="s">
        <v>2044</v>
      </c>
      <c r="C894" t="s">
        <v>2047</v>
      </c>
      <c r="D894">
        <v>5</v>
      </c>
      <c r="E894" t="s">
        <v>1447</v>
      </c>
      <c r="F894" t="s">
        <v>2054</v>
      </c>
      <c r="G894" t="s">
        <v>1922</v>
      </c>
      <c r="H894" t="s">
        <v>1799</v>
      </c>
      <c r="I894" t="s">
        <v>1799</v>
      </c>
      <c r="J894">
        <v>0</v>
      </c>
      <c r="K894" t="s">
        <v>1799</v>
      </c>
      <c r="L894" t="s">
        <v>1799</v>
      </c>
      <c r="M894" t="s">
        <v>1799</v>
      </c>
      <c r="N894" t="s">
        <v>1799</v>
      </c>
      <c r="O894" s="184" t="str">
        <f>"["&amp;$C894&amp;"]["&amp;$D894&amp;"]["&amp;$F894&amp;"]"</f>
        <v>[S05_BiomassInstallations][5][EnergyNonZeroRatedBiomass]</v>
      </c>
    </row>
    <row r="895" spans="1:15" x14ac:dyDescent="0.3">
      <c r="A895" t="s">
        <v>1793</v>
      </c>
      <c r="B895" t="s">
        <v>2044</v>
      </c>
      <c r="C895" t="s">
        <v>2047</v>
      </c>
      <c r="D895">
        <v>6</v>
      </c>
      <c r="E895" t="s">
        <v>1447</v>
      </c>
      <c r="F895" t="s">
        <v>2054</v>
      </c>
      <c r="G895" t="s">
        <v>1922</v>
      </c>
      <c r="H895" t="s">
        <v>1799</v>
      </c>
      <c r="I895" t="s">
        <v>1799</v>
      </c>
      <c r="J895">
        <v>0</v>
      </c>
      <c r="K895" t="s">
        <v>1799</v>
      </c>
      <c r="L895" t="s">
        <v>1799</v>
      </c>
      <c r="M895" t="s">
        <v>1799</v>
      </c>
      <c r="N895" t="s">
        <v>1799</v>
      </c>
      <c r="O895" s="184" t="str">
        <f>"["&amp;$C895&amp;"]["&amp;$D895&amp;"]["&amp;$F895&amp;"]"</f>
        <v>[S05_BiomassInstallations][6][EnergyNonZeroRatedBiomass]</v>
      </c>
    </row>
    <row r="896" spans="1:15" x14ac:dyDescent="0.3">
      <c r="A896" t="s">
        <v>1793</v>
      </c>
      <c r="B896" t="s">
        <v>2044</v>
      </c>
      <c r="C896" t="s">
        <v>2047</v>
      </c>
      <c r="D896">
        <v>7</v>
      </c>
      <c r="E896" t="s">
        <v>1447</v>
      </c>
      <c r="F896" t="s">
        <v>2054</v>
      </c>
      <c r="G896" t="s">
        <v>1922</v>
      </c>
      <c r="H896" t="s">
        <v>1799</v>
      </c>
      <c r="I896" t="s">
        <v>1799</v>
      </c>
      <c r="J896">
        <v>0</v>
      </c>
      <c r="K896" t="s">
        <v>1799</v>
      </c>
      <c r="L896" t="s">
        <v>1799</v>
      </c>
      <c r="M896" t="s">
        <v>1799</v>
      </c>
      <c r="N896" t="s">
        <v>1799</v>
      </c>
      <c r="O896" s="184" t="str">
        <f>"["&amp;$C896&amp;"]["&amp;$D896&amp;"]["&amp;$F896&amp;"]"</f>
        <v>[S05_BiomassInstallations][7][EnergyNonZeroRatedBiomass]</v>
      </c>
    </row>
    <row r="897" spans="1:15" x14ac:dyDescent="0.3">
      <c r="A897" t="s">
        <v>1793</v>
      </c>
      <c r="B897" t="s">
        <v>2044</v>
      </c>
      <c r="C897" t="s">
        <v>2047</v>
      </c>
      <c r="D897">
        <v>8</v>
      </c>
      <c r="E897" t="s">
        <v>1447</v>
      </c>
      <c r="F897" t="s">
        <v>2054</v>
      </c>
      <c r="G897" t="s">
        <v>1922</v>
      </c>
      <c r="H897" t="s">
        <v>1799</v>
      </c>
      <c r="I897" t="s">
        <v>1799</v>
      </c>
      <c r="J897">
        <v>0</v>
      </c>
      <c r="K897" t="s">
        <v>1799</v>
      </c>
      <c r="L897" t="s">
        <v>1799</v>
      </c>
      <c r="M897" t="s">
        <v>1799</v>
      </c>
      <c r="N897" t="s">
        <v>1799</v>
      </c>
      <c r="O897" s="184" t="str">
        <f>"["&amp;$C897&amp;"]["&amp;$D897&amp;"]["&amp;$F897&amp;"]"</f>
        <v>[S05_BiomassInstallations][8][EnergyNonZeroRatedBiomass]</v>
      </c>
    </row>
    <row r="898" spans="1:15" x14ac:dyDescent="0.3">
      <c r="A898" t="s">
        <v>1793</v>
      </c>
      <c r="B898" t="s">
        <v>2044</v>
      </c>
      <c r="C898" t="s">
        <v>2047</v>
      </c>
      <c r="D898">
        <v>9</v>
      </c>
      <c r="E898" t="s">
        <v>1447</v>
      </c>
      <c r="F898" t="s">
        <v>2054</v>
      </c>
      <c r="G898" t="s">
        <v>1922</v>
      </c>
      <c r="H898" t="s">
        <v>1799</v>
      </c>
      <c r="I898" t="s">
        <v>1799</v>
      </c>
      <c r="J898">
        <v>0</v>
      </c>
      <c r="K898" t="s">
        <v>1799</v>
      </c>
      <c r="L898" t="s">
        <v>1799</v>
      </c>
      <c r="M898" t="s">
        <v>1799</v>
      </c>
      <c r="N898" t="s">
        <v>1799</v>
      </c>
      <c r="O898" s="184" t="str">
        <f>"["&amp;$C898&amp;"]["&amp;$D898&amp;"]["&amp;$F898&amp;"]"</f>
        <v>[S05_BiomassInstallations][9][EnergyNonZeroRatedBiomass]</v>
      </c>
    </row>
    <row r="899" spans="1:15" x14ac:dyDescent="0.3">
      <c r="A899" t="s">
        <v>1793</v>
      </c>
      <c r="B899" t="s">
        <v>2044</v>
      </c>
      <c r="C899" t="s">
        <v>2047</v>
      </c>
      <c r="D899">
        <v>10</v>
      </c>
      <c r="E899" t="s">
        <v>1447</v>
      </c>
      <c r="F899" t="s">
        <v>2054</v>
      </c>
      <c r="G899" t="s">
        <v>1922</v>
      </c>
      <c r="H899" t="s">
        <v>1799</v>
      </c>
      <c r="I899" t="s">
        <v>1799</v>
      </c>
      <c r="J899">
        <v>0</v>
      </c>
      <c r="K899" t="s">
        <v>1799</v>
      </c>
      <c r="L899" t="s">
        <v>1799</v>
      </c>
      <c r="M899" t="s">
        <v>1799</v>
      </c>
      <c r="N899" t="s">
        <v>1799</v>
      </c>
      <c r="O899" s="184" t="str">
        <f>"["&amp;$C899&amp;"]["&amp;$D899&amp;"]["&amp;$F899&amp;"]"</f>
        <v>[S05_BiomassInstallations][10][EnergyNonZeroRatedBiomass]</v>
      </c>
    </row>
    <row r="900" spans="1:15" x14ac:dyDescent="0.3">
      <c r="A900" t="s">
        <v>1793</v>
      </c>
      <c r="B900" t="s">
        <v>2044</v>
      </c>
      <c r="C900" t="s">
        <v>2047</v>
      </c>
      <c r="D900">
        <v>11</v>
      </c>
      <c r="E900" t="s">
        <v>1447</v>
      </c>
      <c r="F900" t="s">
        <v>2054</v>
      </c>
      <c r="G900" t="s">
        <v>1922</v>
      </c>
      <c r="H900" t="s">
        <v>1799</v>
      </c>
      <c r="I900" t="s">
        <v>1799</v>
      </c>
      <c r="J900">
        <v>0</v>
      </c>
      <c r="K900" t="s">
        <v>1799</v>
      </c>
      <c r="L900" t="s">
        <v>1799</v>
      </c>
      <c r="M900" t="s">
        <v>1799</v>
      </c>
      <c r="N900" t="s">
        <v>1799</v>
      </c>
      <c r="O900" s="184" t="str">
        <f>"["&amp;$C900&amp;"]["&amp;$D900&amp;"]["&amp;$F900&amp;"]"</f>
        <v>[S05_BiomassInstallations][11][EnergyNonZeroRatedBiomass]</v>
      </c>
    </row>
    <row r="901" spans="1:15" x14ac:dyDescent="0.3">
      <c r="A901" t="s">
        <v>1793</v>
      </c>
      <c r="B901" t="s">
        <v>2055</v>
      </c>
      <c r="C901" t="s">
        <v>2056</v>
      </c>
      <c r="D901">
        <v>0</v>
      </c>
      <c r="E901" t="s">
        <v>1447</v>
      </c>
      <c r="F901" t="s">
        <v>2056</v>
      </c>
      <c r="G901" t="s">
        <v>1833</v>
      </c>
      <c r="H901" t="s">
        <v>1799</v>
      </c>
      <c r="I901" t="s">
        <v>1799</v>
      </c>
      <c r="J901" t="s">
        <v>1799</v>
      </c>
      <c r="K901" t="s">
        <v>1799</v>
      </c>
      <c r="L901" t="s">
        <v>1447</v>
      </c>
      <c r="M901" t="s">
        <v>1799</v>
      </c>
      <c r="N901" t="s">
        <v>1799</v>
      </c>
      <c r="O901" s="184" t="str">
        <f>"["&amp;$C901&amp;"]["&amp;$D901&amp;"]["&amp;$F901&amp;"]"</f>
        <v>[SimplifiedMonitoringArt13][0][SimplifiedMonitoringArt13]</v>
      </c>
    </row>
    <row r="902" spans="1:15" x14ac:dyDescent="0.3">
      <c r="A902" t="s">
        <v>1793</v>
      </c>
      <c r="B902" t="s">
        <v>2057</v>
      </c>
      <c r="C902" t="s">
        <v>2058</v>
      </c>
      <c r="D902">
        <v>1</v>
      </c>
      <c r="E902" t="s">
        <v>1447</v>
      </c>
      <c r="F902" t="s">
        <v>2059</v>
      </c>
      <c r="G902" t="s">
        <v>1811</v>
      </c>
      <c r="H902" t="s">
        <v>1799</v>
      </c>
      <c r="I902">
        <v>1</v>
      </c>
      <c r="J902" t="s">
        <v>1799</v>
      </c>
      <c r="K902" t="s">
        <v>1799</v>
      </c>
      <c r="L902" t="s">
        <v>1799</v>
      </c>
      <c r="M902" t="s">
        <v>1799</v>
      </c>
      <c r="N902" t="s">
        <v>1799</v>
      </c>
      <c r="O902" s="184" t="str">
        <f>"["&amp;$C902&amp;"]["&amp;$D902&amp;"]["&amp;$F902&amp;"]"</f>
        <v>[S05_AircraftMethodFuelConsumption][1][CountAircraftOperators]</v>
      </c>
    </row>
    <row r="903" spans="1:15" x14ac:dyDescent="0.3">
      <c r="A903" t="s">
        <v>1793</v>
      </c>
      <c r="B903" t="s">
        <v>2057</v>
      </c>
      <c r="C903" t="s">
        <v>2058</v>
      </c>
      <c r="D903">
        <v>2</v>
      </c>
      <c r="E903" t="s">
        <v>1447</v>
      </c>
      <c r="F903" t="s">
        <v>2059</v>
      </c>
      <c r="G903" t="s">
        <v>1811</v>
      </c>
      <c r="H903" t="s">
        <v>1799</v>
      </c>
      <c r="I903">
        <v>4</v>
      </c>
      <c r="J903" t="s">
        <v>1799</v>
      </c>
      <c r="K903" t="s">
        <v>1799</v>
      </c>
      <c r="L903" t="s">
        <v>1799</v>
      </c>
      <c r="M903" t="s">
        <v>1799</v>
      </c>
      <c r="N903" t="s">
        <v>1799</v>
      </c>
      <c r="O903" s="184" t="str">
        <f>"["&amp;$C903&amp;"]["&amp;$D903&amp;"]["&amp;$F903&amp;"]"</f>
        <v>[S05_AircraftMethodFuelConsumption][2][CountAircraftOperators]</v>
      </c>
    </row>
    <row r="904" spans="1:15" x14ac:dyDescent="0.3">
      <c r="A904" t="s">
        <v>1793</v>
      </c>
      <c r="B904" t="s">
        <v>2057</v>
      </c>
      <c r="C904" t="s">
        <v>2058</v>
      </c>
      <c r="D904">
        <v>3</v>
      </c>
      <c r="E904" t="s">
        <v>1447</v>
      </c>
      <c r="F904" t="s">
        <v>2059</v>
      </c>
      <c r="G904" t="s">
        <v>1811</v>
      </c>
      <c r="H904" t="s">
        <v>1799</v>
      </c>
      <c r="I904">
        <v>0</v>
      </c>
      <c r="J904" t="s">
        <v>1799</v>
      </c>
      <c r="K904" t="s">
        <v>1799</v>
      </c>
      <c r="L904" t="s">
        <v>1799</v>
      </c>
      <c r="M904" t="s">
        <v>1799</v>
      </c>
      <c r="N904" t="s">
        <v>1799</v>
      </c>
      <c r="O904" s="184" t="str">
        <f>"["&amp;$C904&amp;"]["&amp;$D904&amp;"]["&amp;$F904&amp;"]"</f>
        <v>[S05_AircraftMethodFuelConsumption][3][CountAircraftOperators]</v>
      </c>
    </row>
    <row r="905" spans="1:15" x14ac:dyDescent="0.3">
      <c r="A905" t="s">
        <v>1793</v>
      </c>
      <c r="B905" t="s">
        <v>2057</v>
      </c>
      <c r="C905" t="s">
        <v>2058</v>
      </c>
      <c r="D905">
        <v>1</v>
      </c>
      <c r="E905" t="s">
        <v>1447</v>
      </c>
      <c r="F905" t="s">
        <v>2060</v>
      </c>
      <c r="G905" t="s">
        <v>1922</v>
      </c>
      <c r="H905" t="s">
        <v>1799</v>
      </c>
      <c r="I905" t="s">
        <v>1799</v>
      </c>
      <c r="J905">
        <v>0</v>
      </c>
      <c r="K905" t="s">
        <v>1799</v>
      </c>
      <c r="L905" t="s">
        <v>1799</v>
      </c>
      <c r="M905" t="s">
        <v>1799</v>
      </c>
      <c r="N905" t="s">
        <v>1799</v>
      </c>
      <c r="O905" s="184" t="str">
        <f>"["&amp;$C905&amp;"]["&amp;$D905&amp;"]["&amp;$F905&amp;"]"</f>
        <v>[S05_AircraftMethodFuelConsumption][1][SmallEmittersShare]</v>
      </c>
    </row>
    <row r="906" spans="1:15" x14ac:dyDescent="0.3">
      <c r="A906" t="s">
        <v>1793</v>
      </c>
      <c r="B906" t="s">
        <v>2057</v>
      </c>
      <c r="C906" t="s">
        <v>2058</v>
      </c>
      <c r="D906">
        <v>2</v>
      </c>
      <c r="E906" t="s">
        <v>1447</v>
      </c>
      <c r="F906" t="s">
        <v>2060</v>
      </c>
      <c r="G906" t="s">
        <v>1922</v>
      </c>
      <c r="H906" t="s">
        <v>1799</v>
      </c>
      <c r="I906" t="s">
        <v>1799</v>
      </c>
      <c r="J906">
        <v>0</v>
      </c>
      <c r="K906" t="s">
        <v>1799</v>
      </c>
      <c r="L906" t="s">
        <v>1799</v>
      </c>
      <c r="M906" t="s">
        <v>1799</v>
      </c>
      <c r="N906" t="s">
        <v>1799</v>
      </c>
      <c r="O906" s="184" t="str">
        <f>"["&amp;$C906&amp;"]["&amp;$D906&amp;"]["&amp;$F906&amp;"]"</f>
        <v>[S05_AircraftMethodFuelConsumption][2][SmallEmittersShare]</v>
      </c>
    </row>
    <row r="907" spans="1:15" x14ac:dyDescent="0.3">
      <c r="A907" t="s">
        <v>1793</v>
      </c>
      <c r="B907" t="s">
        <v>2057</v>
      </c>
      <c r="C907" t="s">
        <v>2058</v>
      </c>
      <c r="D907">
        <v>3</v>
      </c>
      <c r="E907" t="s">
        <v>1447</v>
      </c>
      <c r="F907" t="s">
        <v>2060</v>
      </c>
      <c r="G907" t="s">
        <v>1922</v>
      </c>
      <c r="H907" t="s">
        <v>1799</v>
      </c>
      <c r="I907" t="s">
        <v>1799</v>
      </c>
      <c r="J907">
        <v>0</v>
      </c>
      <c r="K907" t="s">
        <v>1799</v>
      </c>
      <c r="L907" t="s">
        <v>1799</v>
      </c>
      <c r="M907" t="s">
        <v>1799</v>
      </c>
      <c r="N907" t="s">
        <v>1799</v>
      </c>
      <c r="O907" s="184" t="str">
        <f>"["&amp;$C907&amp;"]["&amp;$D907&amp;"]["&amp;$F907&amp;"]"</f>
        <v>[S05_AircraftMethodFuelConsumption][3][SmallEmittersShare]</v>
      </c>
    </row>
    <row r="908" spans="1:15" x14ac:dyDescent="0.3">
      <c r="A908" t="s">
        <v>1793</v>
      </c>
      <c r="B908" t="s">
        <v>2061</v>
      </c>
      <c r="C908" t="s">
        <v>2062</v>
      </c>
      <c r="D908">
        <v>1</v>
      </c>
      <c r="E908" t="s">
        <v>1447</v>
      </c>
      <c r="F908" t="s">
        <v>2063</v>
      </c>
      <c r="G908" t="s">
        <v>1922</v>
      </c>
      <c r="H908" t="s">
        <v>1799</v>
      </c>
      <c r="I908" t="s">
        <v>1799</v>
      </c>
      <c r="J908">
        <v>742621</v>
      </c>
      <c r="K908" t="s">
        <v>1799</v>
      </c>
      <c r="L908" t="s">
        <v>1799</v>
      </c>
      <c r="M908" t="s">
        <v>1799</v>
      </c>
      <c r="N908" t="s">
        <v>1799</v>
      </c>
      <c r="O908" s="184" t="str">
        <f>"["&amp;$C908&amp;"]["&amp;$D908&amp;"]["&amp;$F908&amp;"]"</f>
        <v>[S05_TotalFlightEmissions][1][TotalFlightEmissions]</v>
      </c>
    </row>
    <row r="909" spans="1:15" x14ac:dyDescent="0.3">
      <c r="A909" t="s">
        <v>1793</v>
      </c>
      <c r="B909" t="s">
        <v>2061</v>
      </c>
      <c r="C909" t="s">
        <v>2062</v>
      </c>
      <c r="D909">
        <v>2</v>
      </c>
      <c r="E909" t="s">
        <v>1447</v>
      </c>
      <c r="F909" t="s">
        <v>2063</v>
      </c>
      <c r="G909" t="s">
        <v>1922</v>
      </c>
      <c r="H909" t="s">
        <v>1799</v>
      </c>
      <c r="I909" t="s">
        <v>1799</v>
      </c>
      <c r="J909">
        <v>441669</v>
      </c>
      <c r="K909" t="s">
        <v>1799</v>
      </c>
      <c r="L909" t="s">
        <v>1799</v>
      </c>
      <c r="M909" t="s">
        <v>1799</v>
      </c>
      <c r="N909" t="s">
        <v>1799</v>
      </c>
      <c r="O909" s="184" t="str">
        <f>"["&amp;$C909&amp;"]["&amp;$D909&amp;"]["&amp;$F909&amp;"]"</f>
        <v>[S05_TotalFlightEmissions][2][TotalFlightEmissions]</v>
      </c>
    </row>
    <row r="910" spans="1:15" x14ac:dyDescent="0.3">
      <c r="A910" t="s">
        <v>1793</v>
      </c>
      <c r="B910" t="s">
        <v>2061</v>
      </c>
      <c r="C910" t="s">
        <v>2062</v>
      </c>
      <c r="D910">
        <v>3</v>
      </c>
      <c r="E910" t="s">
        <v>1447</v>
      </c>
      <c r="F910" t="s">
        <v>2063</v>
      </c>
      <c r="G910" t="s">
        <v>1922</v>
      </c>
      <c r="H910" t="s">
        <v>1799</v>
      </c>
      <c r="I910" t="s">
        <v>1799</v>
      </c>
      <c r="J910">
        <v>339575</v>
      </c>
      <c r="K910" t="s">
        <v>1799</v>
      </c>
      <c r="L910" t="s">
        <v>1799</v>
      </c>
      <c r="M910" t="s">
        <v>1799</v>
      </c>
      <c r="N910" t="s">
        <v>1799</v>
      </c>
      <c r="O910" s="184" t="str">
        <f>"["&amp;$C910&amp;"]["&amp;$D910&amp;"]["&amp;$F910&amp;"]"</f>
        <v>[S05_TotalFlightEmissions][3][TotalFlightEmissions]</v>
      </c>
    </row>
    <row r="911" spans="1:15" x14ac:dyDescent="0.3">
      <c r="A911" t="s">
        <v>1793</v>
      </c>
      <c r="B911" t="s">
        <v>2061</v>
      </c>
      <c r="C911" t="s">
        <v>2062</v>
      </c>
      <c r="D911">
        <v>4</v>
      </c>
      <c r="E911" t="s">
        <v>1447</v>
      </c>
      <c r="F911" t="s">
        <v>2063</v>
      </c>
      <c r="G911" t="s">
        <v>1922</v>
      </c>
      <c r="H911" t="s">
        <v>1799</v>
      </c>
      <c r="I911" t="s">
        <v>1799</v>
      </c>
      <c r="J911">
        <v>339575</v>
      </c>
      <c r="K911" t="s">
        <v>1799</v>
      </c>
      <c r="L911" t="s">
        <v>1799</v>
      </c>
      <c r="M911" t="s">
        <v>1799</v>
      </c>
      <c r="N911" t="s">
        <v>1799</v>
      </c>
      <c r="O911" s="184" t="str">
        <f>"["&amp;$C911&amp;"]["&amp;$D911&amp;"]["&amp;$F911&amp;"]"</f>
        <v>[S05_TotalFlightEmissions][4][TotalFlightEmissions]</v>
      </c>
    </row>
    <row r="912" spans="1:15" x14ac:dyDescent="0.3">
      <c r="A912" t="s">
        <v>1793</v>
      </c>
      <c r="B912" t="s">
        <v>2061</v>
      </c>
      <c r="C912" t="s">
        <v>2062</v>
      </c>
      <c r="D912">
        <v>5</v>
      </c>
      <c r="E912" t="s">
        <v>1447</v>
      </c>
      <c r="F912" t="s">
        <v>2063</v>
      </c>
      <c r="G912" t="s">
        <v>1922</v>
      </c>
      <c r="H912" t="s">
        <v>1799</v>
      </c>
      <c r="I912" t="s">
        <v>1799</v>
      </c>
      <c r="J912">
        <v>62</v>
      </c>
      <c r="K912" t="s">
        <v>1799</v>
      </c>
      <c r="L912" t="s">
        <v>1799</v>
      </c>
      <c r="M912" t="s">
        <v>1799</v>
      </c>
      <c r="N912" t="s">
        <v>1799</v>
      </c>
      <c r="O912" s="184" t="str">
        <f>"["&amp;$C912&amp;"]["&amp;$D912&amp;"]["&amp;$F912&amp;"]"</f>
        <v>[S05_TotalFlightEmissions][5][TotalFlightEmissions]</v>
      </c>
    </row>
    <row r="913" spans="1:15" x14ac:dyDescent="0.3">
      <c r="A913" t="s">
        <v>1793</v>
      </c>
      <c r="B913" t="s">
        <v>2061</v>
      </c>
      <c r="C913" t="s">
        <v>2064</v>
      </c>
      <c r="D913">
        <v>0</v>
      </c>
      <c r="E913" t="s">
        <v>1447</v>
      </c>
      <c r="F913" t="s">
        <v>2064</v>
      </c>
      <c r="G913" t="s">
        <v>1811</v>
      </c>
      <c r="H913" t="s">
        <v>1799</v>
      </c>
      <c r="I913">
        <v>1</v>
      </c>
      <c r="J913" t="s">
        <v>1799</v>
      </c>
      <c r="K913" t="s">
        <v>1799</v>
      </c>
      <c r="L913" t="s">
        <v>1799</v>
      </c>
      <c r="M913" t="s">
        <v>1799</v>
      </c>
      <c r="N913" t="s">
        <v>1799</v>
      </c>
      <c r="O913" s="184" t="str">
        <f>"["&amp;$C913&amp;"]["&amp;$D913&amp;"]["&amp;$F913&amp;"]"</f>
        <v>[CountOperatorsThirdCountries][0][CountOperatorsThirdCountries]</v>
      </c>
    </row>
    <row r="914" spans="1:15" x14ac:dyDescent="0.3">
      <c r="A914" t="s">
        <v>1793</v>
      </c>
      <c r="B914" t="s">
        <v>2065</v>
      </c>
      <c r="C914" t="s">
        <v>2066</v>
      </c>
      <c r="D914">
        <v>0</v>
      </c>
      <c r="E914" t="s">
        <v>1447</v>
      </c>
      <c r="F914" t="s">
        <v>2066</v>
      </c>
      <c r="G914" t="s">
        <v>1811</v>
      </c>
      <c r="H914" t="s">
        <v>1799</v>
      </c>
      <c r="I914">
        <v>1</v>
      </c>
      <c r="J914" t="s">
        <v>1799</v>
      </c>
      <c r="K914" t="s">
        <v>1799</v>
      </c>
      <c r="L914" t="s">
        <v>1799</v>
      </c>
      <c r="M914" t="s">
        <v>1799</v>
      </c>
      <c r="N914" t="s">
        <v>1799</v>
      </c>
      <c r="O914" s="184" t="str">
        <f>"["&amp;$C914&amp;"]["&amp;$D914&amp;"]["&amp;$F914&amp;"]"</f>
        <v>[CountOperatorsUsingBiofuels][0][CountOperatorsUsingBiofuels]</v>
      </c>
    </row>
    <row r="915" spans="1:15" x14ac:dyDescent="0.3">
      <c r="A915" t="s">
        <v>1793</v>
      </c>
      <c r="B915" t="s">
        <v>2065</v>
      </c>
      <c r="C915" t="s">
        <v>2067</v>
      </c>
      <c r="D915">
        <v>0</v>
      </c>
      <c r="E915" t="s">
        <v>1447</v>
      </c>
      <c r="F915" t="s">
        <v>2067</v>
      </c>
      <c r="G915" t="s">
        <v>1922</v>
      </c>
      <c r="H915" t="s">
        <v>1799</v>
      </c>
      <c r="I915" t="s">
        <v>1799</v>
      </c>
      <c r="J915">
        <v>0</v>
      </c>
      <c r="K915" t="s">
        <v>1799</v>
      </c>
      <c r="L915" t="s">
        <v>1799</v>
      </c>
      <c r="M915" t="s">
        <v>1799</v>
      </c>
      <c r="N915" t="s">
        <v>1799</v>
      </c>
      <c r="O915" s="184" t="str">
        <f>"["&amp;$C915&amp;"]["&amp;$D915&amp;"]["&amp;$F915&amp;"]"</f>
        <v>[EmissionsBiofuelsSustainabilitySatisfied][0][EmissionsBiofuelsSustainabilitySatisfied]</v>
      </c>
    </row>
    <row r="916" spans="1:15" x14ac:dyDescent="0.3">
      <c r="A916" t="s">
        <v>1793</v>
      </c>
      <c r="B916" t="s">
        <v>2065</v>
      </c>
      <c r="C916" t="s">
        <v>2068</v>
      </c>
      <c r="D916">
        <v>0</v>
      </c>
      <c r="E916" t="s">
        <v>1447</v>
      </c>
      <c r="F916" t="s">
        <v>2068</v>
      </c>
      <c r="G916" t="s">
        <v>1922</v>
      </c>
      <c r="H916" t="s">
        <v>1799</v>
      </c>
      <c r="I916" t="s">
        <v>1799</v>
      </c>
      <c r="J916">
        <v>1629</v>
      </c>
      <c r="K916" t="s">
        <v>1799</v>
      </c>
      <c r="L916" t="s">
        <v>1799</v>
      </c>
      <c r="M916" t="s">
        <v>1799</v>
      </c>
      <c r="N916" t="s">
        <v>1799</v>
      </c>
      <c r="O916" s="184" t="str">
        <f>"["&amp;$C916&amp;"]["&amp;$D916&amp;"]["&amp;$F916&amp;"]"</f>
        <v>[EmissionsBiofuelsSustainabilityNotSatisfied][0][EmissionsBiofuelsSustainabilityNotSatisfied]</v>
      </c>
    </row>
    <row r="917" spans="1:15" x14ac:dyDescent="0.3">
      <c r="A917" t="s">
        <v>1793</v>
      </c>
      <c r="B917" t="s">
        <v>2069</v>
      </c>
      <c r="C917" t="s">
        <v>2070</v>
      </c>
      <c r="D917">
        <v>1</v>
      </c>
      <c r="E917" t="s">
        <v>1447</v>
      </c>
      <c r="F917" t="s">
        <v>2071</v>
      </c>
      <c r="G917" t="s">
        <v>1811</v>
      </c>
      <c r="H917" t="s">
        <v>1799</v>
      </c>
      <c r="I917">
        <v>0</v>
      </c>
      <c r="J917" t="s">
        <v>1799</v>
      </c>
      <c r="K917" t="s">
        <v>1799</v>
      </c>
      <c r="L917" t="s">
        <v>1799</v>
      </c>
      <c r="M917" t="s">
        <v>1799</v>
      </c>
      <c r="N917" t="s">
        <v>1799</v>
      </c>
      <c r="O917" s="184" t="str">
        <f>"["&amp;$C917&amp;"]["&amp;$D917&amp;"]["&amp;$F917&amp;"]"</f>
        <v>[S05_SmallEmittersTool][1][CountSmallEmitters]</v>
      </c>
    </row>
    <row r="918" spans="1:15" x14ac:dyDescent="0.3">
      <c r="A918" t="s">
        <v>1793</v>
      </c>
      <c r="B918" t="s">
        <v>2069</v>
      </c>
      <c r="C918" t="s">
        <v>2070</v>
      </c>
      <c r="D918">
        <v>2</v>
      </c>
      <c r="E918" t="s">
        <v>1447</v>
      </c>
      <c r="F918" t="s">
        <v>2071</v>
      </c>
      <c r="G918" t="s">
        <v>1811</v>
      </c>
      <c r="H918" t="s">
        <v>1799</v>
      </c>
      <c r="I918">
        <v>0</v>
      </c>
      <c r="J918" t="s">
        <v>1799</v>
      </c>
      <c r="K918" t="s">
        <v>1799</v>
      </c>
      <c r="L918" t="s">
        <v>1799</v>
      </c>
      <c r="M918" t="s">
        <v>1799</v>
      </c>
      <c r="N918" t="s">
        <v>1799</v>
      </c>
      <c r="O918" s="184" t="str">
        <f>"["&amp;$C918&amp;"]["&amp;$D918&amp;"]["&amp;$F918&amp;"]"</f>
        <v>[S05_SmallEmittersTool][2][CountSmallEmitters]</v>
      </c>
    </row>
    <row r="919" spans="1:15" x14ac:dyDescent="0.3">
      <c r="A919" t="s">
        <v>1793</v>
      </c>
      <c r="B919" t="s">
        <v>2069</v>
      </c>
      <c r="C919" t="s">
        <v>2070</v>
      </c>
      <c r="D919">
        <v>3</v>
      </c>
      <c r="E919" t="s">
        <v>1447</v>
      </c>
      <c r="F919" t="s">
        <v>2071</v>
      </c>
      <c r="G919" t="s">
        <v>1811</v>
      </c>
      <c r="H919" t="s">
        <v>1799</v>
      </c>
      <c r="I919">
        <v>4</v>
      </c>
      <c r="J919" t="s">
        <v>1799</v>
      </c>
      <c r="K919" t="s">
        <v>1799</v>
      </c>
      <c r="L919" t="s">
        <v>1799</v>
      </c>
      <c r="M919" t="s">
        <v>1799</v>
      </c>
      <c r="N919" t="s">
        <v>1799</v>
      </c>
      <c r="O919" s="184" t="str">
        <f>"["&amp;$C919&amp;"]["&amp;$D919&amp;"]["&amp;$F919&amp;"]"</f>
        <v>[S05_SmallEmittersTool][3][CountSmallEmitters]</v>
      </c>
    </row>
    <row r="920" spans="1:15" x14ac:dyDescent="0.3">
      <c r="A920" t="s">
        <v>1793</v>
      </c>
      <c r="B920" t="s">
        <v>2069</v>
      </c>
      <c r="C920" t="s">
        <v>2070</v>
      </c>
      <c r="D920">
        <v>4</v>
      </c>
      <c r="E920" t="s">
        <v>1447</v>
      </c>
      <c r="F920" t="s">
        <v>2071</v>
      </c>
      <c r="G920" t="s">
        <v>1811</v>
      </c>
      <c r="H920" t="s">
        <v>1799</v>
      </c>
      <c r="I920">
        <v>0</v>
      </c>
      <c r="J920" t="s">
        <v>1799</v>
      </c>
      <c r="K920" t="s">
        <v>1799</v>
      </c>
      <c r="L920" t="s">
        <v>1799</v>
      </c>
      <c r="M920" t="s">
        <v>1799</v>
      </c>
      <c r="N920" t="s">
        <v>1799</v>
      </c>
      <c r="O920" s="184" t="str">
        <f>"["&amp;$C920&amp;"]["&amp;$D920&amp;"]["&amp;$F920&amp;"]"</f>
        <v>[S05_SmallEmittersTool][4][CountSmallEmitters]</v>
      </c>
    </row>
    <row r="921" spans="1:15" x14ac:dyDescent="0.3">
      <c r="A921" t="s">
        <v>1793</v>
      </c>
      <c r="B921" t="s">
        <v>2072</v>
      </c>
      <c r="C921" t="s">
        <v>2073</v>
      </c>
      <c r="D921">
        <v>0</v>
      </c>
      <c r="E921" t="s">
        <v>1447</v>
      </c>
      <c r="F921" t="s">
        <v>2073</v>
      </c>
      <c r="G921" t="s">
        <v>1833</v>
      </c>
      <c r="H921" t="s">
        <v>1799</v>
      </c>
      <c r="I921" t="s">
        <v>1799</v>
      </c>
      <c r="J921" t="s">
        <v>1799</v>
      </c>
      <c r="K921" t="s">
        <v>1799</v>
      </c>
      <c r="L921" t="s">
        <v>1447</v>
      </c>
      <c r="M921" t="s">
        <v>1799</v>
      </c>
      <c r="N921" t="s">
        <v>1799</v>
      </c>
      <c r="O921" s="184" t="str">
        <f>"["&amp;$C921&amp;"]["&amp;$D921&amp;"]["&amp;$F921&amp;"]"</f>
        <v>[AircraftSimplifiedMonitoringArt13][0][AircraftSimplifiedMonitoringArt13]</v>
      </c>
    </row>
    <row r="922" spans="1:15" x14ac:dyDescent="0.3">
      <c r="A922" t="s">
        <v>1793</v>
      </c>
      <c r="B922" t="s">
        <v>2074</v>
      </c>
      <c r="C922" t="s">
        <v>2075</v>
      </c>
      <c r="D922">
        <v>1</v>
      </c>
      <c r="E922" t="s">
        <v>1447</v>
      </c>
      <c r="F922" t="s">
        <v>2076</v>
      </c>
      <c r="G922" t="s">
        <v>1811</v>
      </c>
      <c r="H922" t="s">
        <v>1799</v>
      </c>
      <c r="I922">
        <v>3</v>
      </c>
      <c r="J922" t="s">
        <v>1799</v>
      </c>
      <c r="K922" t="s">
        <v>1799</v>
      </c>
      <c r="L922" t="s">
        <v>1799</v>
      </c>
      <c r="M922" t="s">
        <v>1799</v>
      </c>
      <c r="N922" t="s">
        <v>1799</v>
      </c>
      <c r="O922" s="184" t="str">
        <f>"["&amp;$C922&amp;"]["&amp;$D922&amp;"]["&amp;$F922&amp;"]"</f>
        <v>[S06_TotalVerifiers][1][CountVerifiersInstallations]</v>
      </c>
    </row>
    <row r="923" spans="1:15" x14ac:dyDescent="0.3">
      <c r="A923" t="s">
        <v>1793</v>
      </c>
      <c r="B923" t="s">
        <v>2074</v>
      </c>
      <c r="C923" t="s">
        <v>2075</v>
      </c>
      <c r="D923">
        <v>2</v>
      </c>
      <c r="E923" t="s">
        <v>1447</v>
      </c>
      <c r="F923" t="s">
        <v>2076</v>
      </c>
      <c r="G923" t="s">
        <v>1811</v>
      </c>
      <c r="H923" t="s">
        <v>1799</v>
      </c>
      <c r="I923">
        <v>0</v>
      </c>
      <c r="J923" t="s">
        <v>1799</v>
      </c>
      <c r="K923" t="s">
        <v>1799</v>
      </c>
      <c r="L923" t="s">
        <v>1799</v>
      </c>
      <c r="M923" t="s">
        <v>1799</v>
      </c>
      <c r="N923" t="s">
        <v>1799</v>
      </c>
      <c r="O923" s="184" t="str">
        <f>"["&amp;$C923&amp;"]["&amp;$D923&amp;"]["&amp;$F923&amp;"]"</f>
        <v>[S06_TotalVerifiers][2][CountVerifiersInstallations]</v>
      </c>
    </row>
    <row r="924" spans="1:15" x14ac:dyDescent="0.3">
      <c r="A924" t="s">
        <v>1793</v>
      </c>
      <c r="B924" t="s">
        <v>2074</v>
      </c>
      <c r="C924" t="s">
        <v>2075</v>
      </c>
      <c r="D924">
        <v>3</v>
      </c>
      <c r="E924" t="s">
        <v>1447</v>
      </c>
      <c r="F924" t="s">
        <v>2076</v>
      </c>
      <c r="G924" t="s">
        <v>1811</v>
      </c>
      <c r="H924" t="s">
        <v>1799</v>
      </c>
      <c r="I924">
        <v>2</v>
      </c>
      <c r="J924" t="s">
        <v>1799</v>
      </c>
      <c r="K924" t="s">
        <v>1799</v>
      </c>
      <c r="L924" t="s">
        <v>1799</v>
      </c>
      <c r="M924" t="s">
        <v>1799</v>
      </c>
      <c r="N924" t="s">
        <v>1799</v>
      </c>
      <c r="O924" s="184" t="str">
        <f>"["&amp;$C924&amp;"]["&amp;$D924&amp;"]["&amp;$F924&amp;"]"</f>
        <v>[S06_TotalVerifiers][3][CountVerifiersInstallations]</v>
      </c>
    </row>
    <row r="925" spans="1:15" x14ac:dyDescent="0.3">
      <c r="A925" t="s">
        <v>1793</v>
      </c>
      <c r="B925" t="s">
        <v>2074</v>
      </c>
      <c r="C925" t="s">
        <v>2075</v>
      </c>
      <c r="D925">
        <v>4</v>
      </c>
      <c r="E925" t="s">
        <v>1447</v>
      </c>
      <c r="F925" t="s">
        <v>2076</v>
      </c>
      <c r="G925" t="s">
        <v>1811</v>
      </c>
      <c r="H925" t="s">
        <v>1799</v>
      </c>
      <c r="I925">
        <v>0</v>
      </c>
      <c r="J925" t="s">
        <v>1799</v>
      </c>
      <c r="K925" t="s">
        <v>1799</v>
      </c>
      <c r="L925" t="s">
        <v>1799</v>
      </c>
      <c r="M925" t="s">
        <v>1799</v>
      </c>
      <c r="N925" t="s">
        <v>1799</v>
      </c>
      <c r="O925" s="184" t="str">
        <f>"["&amp;$C925&amp;"]["&amp;$D925&amp;"]["&amp;$F925&amp;"]"</f>
        <v>[S06_TotalVerifiers][4][CountVerifiersInstallations]</v>
      </c>
    </row>
    <row r="926" spans="1:15" x14ac:dyDescent="0.3">
      <c r="A926" t="s">
        <v>1793</v>
      </c>
      <c r="B926" t="s">
        <v>2074</v>
      </c>
      <c r="C926" t="s">
        <v>2075</v>
      </c>
      <c r="D926">
        <v>1</v>
      </c>
      <c r="E926" t="s">
        <v>1447</v>
      </c>
      <c r="F926" t="s">
        <v>2077</v>
      </c>
      <c r="G926" t="s">
        <v>1811</v>
      </c>
      <c r="H926" t="s">
        <v>1799</v>
      </c>
      <c r="I926">
        <v>0</v>
      </c>
      <c r="J926" t="s">
        <v>1799</v>
      </c>
      <c r="K926" t="s">
        <v>1799</v>
      </c>
      <c r="L926" t="s">
        <v>1799</v>
      </c>
      <c r="M926" t="s">
        <v>1799</v>
      </c>
      <c r="N926" t="s">
        <v>1799</v>
      </c>
      <c r="O926" s="184" t="str">
        <f>"["&amp;$C926&amp;"]["&amp;$D926&amp;"]["&amp;$F926&amp;"]"</f>
        <v>[S06_TotalVerifiers][1][CountVerifiersAviation]</v>
      </c>
    </row>
    <row r="927" spans="1:15" x14ac:dyDescent="0.3">
      <c r="A927" t="s">
        <v>1793</v>
      </c>
      <c r="B927" t="s">
        <v>2074</v>
      </c>
      <c r="C927" t="s">
        <v>2075</v>
      </c>
      <c r="D927">
        <v>2</v>
      </c>
      <c r="E927" t="s">
        <v>1447</v>
      </c>
      <c r="F927" t="s">
        <v>2077</v>
      </c>
      <c r="G927" t="s">
        <v>1811</v>
      </c>
      <c r="H927" t="s">
        <v>1799</v>
      </c>
      <c r="I927">
        <v>0</v>
      </c>
      <c r="J927" t="s">
        <v>1799</v>
      </c>
      <c r="K927" t="s">
        <v>1799</v>
      </c>
      <c r="L927" t="s">
        <v>1799</v>
      </c>
      <c r="M927" t="s">
        <v>1799</v>
      </c>
      <c r="N927" t="s">
        <v>1799</v>
      </c>
      <c r="O927" s="184" t="str">
        <f>"["&amp;$C927&amp;"]["&amp;$D927&amp;"]["&amp;$F927&amp;"]"</f>
        <v>[S06_TotalVerifiers][2][CountVerifiersAviation]</v>
      </c>
    </row>
    <row r="928" spans="1:15" x14ac:dyDescent="0.3">
      <c r="A928" t="s">
        <v>1793</v>
      </c>
      <c r="B928" t="s">
        <v>2074</v>
      </c>
      <c r="C928" t="s">
        <v>2075</v>
      </c>
      <c r="D928">
        <v>3</v>
      </c>
      <c r="E928" t="s">
        <v>1447</v>
      </c>
      <c r="F928" t="s">
        <v>2077</v>
      </c>
      <c r="G928" t="s">
        <v>1811</v>
      </c>
      <c r="H928" t="s">
        <v>1799</v>
      </c>
      <c r="I928">
        <v>3</v>
      </c>
      <c r="J928" t="s">
        <v>1799</v>
      </c>
      <c r="K928" t="s">
        <v>1799</v>
      </c>
      <c r="L928" t="s">
        <v>1799</v>
      </c>
      <c r="M928" t="s">
        <v>1799</v>
      </c>
      <c r="N928" t="s">
        <v>1799</v>
      </c>
      <c r="O928" s="184" t="str">
        <f>"["&amp;$C928&amp;"]["&amp;$D928&amp;"]["&amp;$F928&amp;"]"</f>
        <v>[S06_TotalVerifiers][3][CountVerifiersAviation]</v>
      </c>
    </row>
    <row r="929" spans="1:15" x14ac:dyDescent="0.3">
      <c r="A929" t="s">
        <v>1793</v>
      </c>
      <c r="B929" t="s">
        <v>2074</v>
      </c>
      <c r="C929" t="s">
        <v>2075</v>
      </c>
      <c r="D929">
        <v>4</v>
      </c>
      <c r="E929" t="s">
        <v>1447</v>
      </c>
      <c r="F929" t="s">
        <v>2077</v>
      </c>
      <c r="G929" t="s">
        <v>1811</v>
      </c>
      <c r="H929" t="s">
        <v>1799</v>
      </c>
      <c r="I929">
        <v>0</v>
      </c>
      <c r="J929" t="s">
        <v>1799</v>
      </c>
      <c r="K929" t="s">
        <v>1799</v>
      </c>
      <c r="L929" t="s">
        <v>1799</v>
      </c>
      <c r="M929" t="s">
        <v>1799</v>
      </c>
      <c r="N929" t="s">
        <v>1799</v>
      </c>
      <c r="O929" s="184" t="str">
        <f>"["&amp;$C929&amp;"]["&amp;$D929&amp;"]["&amp;$F929&amp;"]"</f>
        <v>[S06_TotalVerifiers][4][CountVerifiersAviation]</v>
      </c>
    </row>
    <row r="930" spans="1:15" x14ac:dyDescent="0.3">
      <c r="A930" t="s">
        <v>1793</v>
      </c>
      <c r="B930" t="s">
        <v>2074</v>
      </c>
      <c r="C930" t="s">
        <v>2078</v>
      </c>
      <c r="D930">
        <v>1</v>
      </c>
      <c r="E930" t="s">
        <v>1447</v>
      </c>
      <c r="F930" t="s">
        <v>2079</v>
      </c>
      <c r="G930" t="s">
        <v>1737</v>
      </c>
      <c r="H930" t="s">
        <v>1799</v>
      </c>
      <c r="I930" t="s">
        <v>1799</v>
      </c>
      <c r="J930" t="s">
        <v>1799</v>
      </c>
      <c r="K930" t="s">
        <v>1799</v>
      </c>
      <c r="L930" t="s">
        <v>1436</v>
      </c>
      <c r="M930" t="s">
        <v>1799</v>
      </c>
      <c r="N930" t="s">
        <v>1799</v>
      </c>
      <c r="O930" s="184" t="str">
        <f>"["&amp;$C930&amp;"]["&amp;$D930&amp;"]["&amp;$F930&amp;"]"</f>
        <v>[S06_AccredCertVerifiersAnnexI][1][AccredCertScope]</v>
      </c>
    </row>
    <row r="931" spans="1:15" x14ac:dyDescent="0.3">
      <c r="A931" t="s">
        <v>1793</v>
      </c>
      <c r="B931" t="s">
        <v>2074</v>
      </c>
      <c r="C931" t="s">
        <v>2078</v>
      </c>
      <c r="D931">
        <v>2</v>
      </c>
      <c r="E931" t="s">
        <v>1447</v>
      </c>
      <c r="F931" t="s">
        <v>2079</v>
      </c>
      <c r="G931" t="s">
        <v>1737</v>
      </c>
      <c r="H931" t="s">
        <v>1799</v>
      </c>
      <c r="I931" t="s">
        <v>1799</v>
      </c>
      <c r="J931" t="s">
        <v>1799</v>
      </c>
      <c r="K931" t="s">
        <v>1799</v>
      </c>
      <c r="L931" t="s">
        <v>1465</v>
      </c>
      <c r="M931" t="s">
        <v>1799</v>
      </c>
      <c r="N931" t="s">
        <v>1799</v>
      </c>
      <c r="O931" s="184" t="str">
        <f>"["&amp;$C931&amp;"]["&amp;$D931&amp;"]["&amp;$F931&amp;"]"</f>
        <v>[S06_AccredCertVerifiersAnnexI][2][AccredCertScope]</v>
      </c>
    </row>
    <row r="932" spans="1:15" x14ac:dyDescent="0.3">
      <c r="A932" t="s">
        <v>1793</v>
      </c>
      <c r="B932" t="s">
        <v>2074</v>
      </c>
      <c r="C932" t="s">
        <v>2078</v>
      </c>
      <c r="D932">
        <v>3</v>
      </c>
      <c r="E932" t="s">
        <v>1447</v>
      </c>
      <c r="F932" t="s">
        <v>2079</v>
      </c>
      <c r="G932" t="s">
        <v>1737</v>
      </c>
      <c r="H932" t="s">
        <v>1799</v>
      </c>
      <c r="I932" t="s">
        <v>1799</v>
      </c>
      <c r="J932" t="s">
        <v>1799</v>
      </c>
      <c r="K932" t="s">
        <v>1799</v>
      </c>
      <c r="L932" t="s">
        <v>1490</v>
      </c>
      <c r="M932" t="s">
        <v>1799</v>
      </c>
      <c r="N932" t="s">
        <v>1799</v>
      </c>
      <c r="O932" s="184" t="str">
        <f>"["&amp;$C932&amp;"]["&amp;$D932&amp;"]["&amp;$F932&amp;"]"</f>
        <v>[S06_AccredCertVerifiersAnnexI][3][AccredCertScope]</v>
      </c>
    </row>
    <row r="933" spans="1:15" x14ac:dyDescent="0.3">
      <c r="A933" t="s">
        <v>1793</v>
      </c>
      <c r="B933" t="s">
        <v>2074</v>
      </c>
      <c r="C933" t="s">
        <v>2078</v>
      </c>
      <c r="D933">
        <v>4</v>
      </c>
      <c r="E933" t="s">
        <v>1447</v>
      </c>
      <c r="F933" t="s">
        <v>2079</v>
      </c>
      <c r="G933" t="s">
        <v>1737</v>
      </c>
      <c r="H933" t="s">
        <v>1799</v>
      </c>
      <c r="I933" t="s">
        <v>1799</v>
      </c>
      <c r="J933" t="s">
        <v>1799</v>
      </c>
      <c r="K933" t="s">
        <v>1799</v>
      </c>
      <c r="L933" t="s">
        <v>1510</v>
      </c>
      <c r="M933" t="s">
        <v>1799</v>
      </c>
      <c r="N933" t="s">
        <v>1799</v>
      </c>
      <c r="O933" s="184" t="str">
        <f>"["&amp;$C933&amp;"]["&amp;$D933&amp;"]["&amp;$F933&amp;"]"</f>
        <v>[S06_AccredCertVerifiersAnnexI][4][AccredCertScope]</v>
      </c>
    </row>
    <row r="934" spans="1:15" x14ac:dyDescent="0.3">
      <c r="A934" t="s">
        <v>1793</v>
      </c>
      <c r="B934" t="s">
        <v>2074</v>
      </c>
      <c r="C934" t="s">
        <v>2078</v>
      </c>
      <c r="D934">
        <v>5</v>
      </c>
      <c r="E934" t="s">
        <v>1447</v>
      </c>
      <c r="F934" t="s">
        <v>2079</v>
      </c>
      <c r="G934" t="s">
        <v>1737</v>
      </c>
      <c r="H934" t="s">
        <v>1799</v>
      </c>
      <c r="I934" t="s">
        <v>1799</v>
      </c>
      <c r="J934" t="s">
        <v>1799</v>
      </c>
      <c r="K934" t="s">
        <v>1799</v>
      </c>
      <c r="L934" t="s">
        <v>1545</v>
      </c>
      <c r="M934" t="s">
        <v>1799</v>
      </c>
      <c r="N934" t="s">
        <v>1799</v>
      </c>
      <c r="O934" s="184" t="str">
        <f>"["&amp;$C934&amp;"]["&amp;$D934&amp;"]["&amp;$F934&amp;"]"</f>
        <v>[S06_AccredCertVerifiersAnnexI][5][AccredCertScope]</v>
      </c>
    </row>
    <row r="935" spans="1:15" x14ac:dyDescent="0.3">
      <c r="A935" t="s">
        <v>1793</v>
      </c>
      <c r="B935" t="s">
        <v>2074</v>
      </c>
      <c r="C935" t="s">
        <v>2078</v>
      </c>
      <c r="D935">
        <v>6</v>
      </c>
      <c r="E935" t="s">
        <v>1447</v>
      </c>
      <c r="F935" t="s">
        <v>2079</v>
      </c>
      <c r="G935" t="s">
        <v>1737</v>
      </c>
      <c r="H935" t="s">
        <v>1799</v>
      </c>
      <c r="I935" t="s">
        <v>1799</v>
      </c>
      <c r="J935" t="s">
        <v>1799</v>
      </c>
      <c r="K935" t="s">
        <v>1799</v>
      </c>
      <c r="L935" t="s">
        <v>1566</v>
      </c>
      <c r="M935" t="s">
        <v>1799</v>
      </c>
      <c r="N935" t="s">
        <v>1799</v>
      </c>
      <c r="O935" s="184" t="str">
        <f>"["&amp;$C935&amp;"]["&amp;$D935&amp;"]["&amp;$F935&amp;"]"</f>
        <v>[S06_AccredCertVerifiersAnnexI][6][AccredCertScope]</v>
      </c>
    </row>
    <row r="936" spans="1:15" x14ac:dyDescent="0.3">
      <c r="A936" t="s">
        <v>1793</v>
      </c>
      <c r="B936" t="s">
        <v>2074</v>
      </c>
      <c r="C936" t="s">
        <v>2078</v>
      </c>
      <c r="D936">
        <v>7</v>
      </c>
      <c r="E936" t="s">
        <v>1447</v>
      </c>
      <c r="F936" t="s">
        <v>2079</v>
      </c>
      <c r="G936" t="s">
        <v>1737</v>
      </c>
      <c r="H936" t="s">
        <v>1799</v>
      </c>
      <c r="I936" t="s">
        <v>1799</v>
      </c>
      <c r="J936" t="s">
        <v>1799</v>
      </c>
      <c r="K936" t="s">
        <v>1799</v>
      </c>
      <c r="L936" t="s">
        <v>1571</v>
      </c>
      <c r="M936" t="s">
        <v>1799</v>
      </c>
      <c r="N936" t="s">
        <v>1799</v>
      </c>
      <c r="O936" s="184" t="str">
        <f>"["&amp;$C936&amp;"]["&amp;$D936&amp;"]["&amp;$F936&amp;"]"</f>
        <v>[S06_AccredCertVerifiersAnnexI][7][AccredCertScope]</v>
      </c>
    </row>
    <row r="937" spans="1:15" x14ac:dyDescent="0.3">
      <c r="A937" t="s">
        <v>1793</v>
      </c>
      <c r="B937" t="s">
        <v>2074</v>
      </c>
      <c r="C937" t="s">
        <v>2078</v>
      </c>
      <c r="D937">
        <v>8</v>
      </c>
      <c r="E937" t="s">
        <v>1447</v>
      </c>
      <c r="F937" t="s">
        <v>2079</v>
      </c>
      <c r="G937" t="s">
        <v>1737</v>
      </c>
      <c r="H937" t="s">
        <v>1799</v>
      </c>
      <c r="I937" t="s">
        <v>1799</v>
      </c>
      <c r="J937" t="s">
        <v>1799</v>
      </c>
      <c r="K937" t="s">
        <v>1799</v>
      </c>
      <c r="L937" t="s">
        <v>1600</v>
      </c>
      <c r="M937" t="s">
        <v>1799</v>
      </c>
      <c r="N937" t="s">
        <v>1799</v>
      </c>
      <c r="O937" s="184" t="str">
        <f>"["&amp;$C937&amp;"]["&amp;$D937&amp;"]["&amp;$F937&amp;"]"</f>
        <v>[S06_AccredCertVerifiersAnnexI][8][AccredCertScope]</v>
      </c>
    </row>
    <row r="938" spans="1:15" x14ac:dyDescent="0.3">
      <c r="A938" t="s">
        <v>1793</v>
      </c>
      <c r="B938" t="s">
        <v>2074</v>
      </c>
      <c r="C938" t="s">
        <v>2078</v>
      </c>
      <c r="D938">
        <v>9</v>
      </c>
      <c r="E938" t="s">
        <v>1447</v>
      </c>
      <c r="F938" t="s">
        <v>2079</v>
      </c>
      <c r="G938" t="s">
        <v>1737</v>
      </c>
      <c r="H938" t="s">
        <v>1799</v>
      </c>
      <c r="I938" t="s">
        <v>1799</v>
      </c>
      <c r="J938" t="s">
        <v>1799</v>
      </c>
      <c r="K938" t="s">
        <v>1799</v>
      </c>
      <c r="L938" t="s">
        <v>1610</v>
      </c>
      <c r="M938" t="s">
        <v>1799</v>
      </c>
      <c r="N938" t="s">
        <v>1799</v>
      </c>
      <c r="O938" s="184" t="str">
        <f>"["&amp;$C938&amp;"]["&amp;$D938&amp;"]["&amp;$F938&amp;"]"</f>
        <v>[S06_AccredCertVerifiersAnnexI][9][AccredCertScope]</v>
      </c>
    </row>
    <row r="939" spans="1:15" x14ac:dyDescent="0.3">
      <c r="A939" t="s">
        <v>1793</v>
      </c>
      <c r="B939" t="s">
        <v>2074</v>
      </c>
      <c r="C939" t="s">
        <v>2078</v>
      </c>
      <c r="D939">
        <v>10</v>
      </c>
      <c r="E939" t="s">
        <v>1447</v>
      </c>
      <c r="F939" t="s">
        <v>2079</v>
      </c>
      <c r="G939" t="s">
        <v>1737</v>
      </c>
      <c r="H939" t="s">
        <v>1799</v>
      </c>
      <c r="I939" t="s">
        <v>1799</v>
      </c>
      <c r="J939" t="s">
        <v>1799</v>
      </c>
      <c r="K939" t="s">
        <v>1799</v>
      </c>
      <c r="L939" t="s">
        <v>1634</v>
      </c>
      <c r="M939" t="s">
        <v>1799</v>
      </c>
      <c r="N939" t="s">
        <v>1799</v>
      </c>
      <c r="O939" s="184" t="str">
        <f>"["&amp;$C939&amp;"]["&amp;$D939&amp;"]["&amp;$F939&amp;"]"</f>
        <v>[S06_AccredCertVerifiersAnnexI][10][AccredCertScope]</v>
      </c>
    </row>
    <row r="940" spans="1:15" x14ac:dyDescent="0.3">
      <c r="A940" t="s">
        <v>1793</v>
      </c>
      <c r="B940" t="s">
        <v>2074</v>
      </c>
      <c r="C940" t="s">
        <v>2078</v>
      </c>
      <c r="D940">
        <v>11</v>
      </c>
      <c r="E940" t="s">
        <v>1447</v>
      </c>
      <c r="F940" t="s">
        <v>2079</v>
      </c>
      <c r="G940" t="s">
        <v>1737</v>
      </c>
      <c r="H940" t="s">
        <v>1799</v>
      </c>
      <c r="I940" t="s">
        <v>1799</v>
      </c>
      <c r="J940" t="s">
        <v>1799</v>
      </c>
      <c r="K940" t="s">
        <v>1799</v>
      </c>
      <c r="L940" t="s">
        <v>1649</v>
      </c>
      <c r="M940" t="s">
        <v>1799</v>
      </c>
      <c r="N940" t="s">
        <v>1799</v>
      </c>
      <c r="O940" s="184" t="str">
        <f>"["&amp;$C940&amp;"]["&amp;$D940&amp;"]["&amp;$F940&amp;"]"</f>
        <v>[S06_AccredCertVerifiersAnnexI][11][AccredCertScope]</v>
      </c>
    </row>
    <row r="941" spans="1:15" x14ac:dyDescent="0.3">
      <c r="A941" t="s">
        <v>1793</v>
      </c>
      <c r="B941" t="s">
        <v>2074</v>
      </c>
      <c r="C941" t="s">
        <v>2078</v>
      </c>
      <c r="D941">
        <v>12</v>
      </c>
      <c r="E941" t="s">
        <v>1447</v>
      </c>
      <c r="F941" t="s">
        <v>2079</v>
      </c>
      <c r="G941" t="s">
        <v>1737</v>
      </c>
      <c r="H941" t="s">
        <v>1799</v>
      </c>
      <c r="I941" t="s">
        <v>1799</v>
      </c>
      <c r="J941" t="s">
        <v>1799</v>
      </c>
      <c r="K941" t="s">
        <v>1799</v>
      </c>
      <c r="L941" t="s">
        <v>1659</v>
      </c>
      <c r="M941" t="s">
        <v>1799</v>
      </c>
      <c r="N941" t="s">
        <v>1799</v>
      </c>
      <c r="O941" s="184" t="str">
        <f>"["&amp;$C941&amp;"]["&amp;$D941&amp;"]["&amp;$F941&amp;"]"</f>
        <v>[S06_AccredCertVerifiersAnnexI][12][AccredCertScope]</v>
      </c>
    </row>
    <row r="942" spans="1:15" x14ac:dyDescent="0.3">
      <c r="A942" t="s">
        <v>1793</v>
      </c>
      <c r="B942" t="s">
        <v>2074</v>
      </c>
      <c r="C942" t="s">
        <v>2078</v>
      </c>
      <c r="D942">
        <v>13</v>
      </c>
      <c r="E942" t="s">
        <v>1447</v>
      </c>
      <c r="F942" t="s">
        <v>2079</v>
      </c>
      <c r="G942" t="s">
        <v>1737</v>
      </c>
      <c r="H942" t="s">
        <v>1799</v>
      </c>
      <c r="I942" t="s">
        <v>1799</v>
      </c>
      <c r="J942" t="s">
        <v>1799</v>
      </c>
      <c r="K942" t="s">
        <v>1799</v>
      </c>
      <c r="L942" t="s">
        <v>1663</v>
      </c>
      <c r="M942" t="s">
        <v>1799</v>
      </c>
      <c r="N942" t="s">
        <v>1799</v>
      </c>
      <c r="O942" s="184" t="str">
        <f>"["&amp;$C942&amp;"]["&amp;$D942&amp;"]["&amp;$F942&amp;"]"</f>
        <v>[S06_AccredCertVerifiersAnnexI][13][AccredCertScope]</v>
      </c>
    </row>
    <row r="943" spans="1:15" x14ac:dyDescent="0.3">
      <c r="A943" t="s">
        <v>1793</v>
      </c>
      <c r="B943" t="s">
        <v>2074</v>
      </c>
      <c r="C943" t="s">
        <v>2078</v>
      </c>
      <c r="D943">
        <v>14</v>
      </c>
      <c r="E943" t="s">
        <v>1447</v>
      </c>
      <c r="F943" t="s">
        <v>2079</v>
      </c>
      <c r="G943" t="s">
        <v>1737</v>
      </c>
      <c r="H943" t="s">
        <v>1799</v>
      </c>
      <c r="I943" t="s">
        <v>1799</v>
      </c>
      <c r="J943" t="s">
        <v>1799</v>
      </c>
      <c r="K943" t="s">
        <v>1799</v>
      </c>
      <c r="L943" t="s">
        <v>1666</v>
      </c>
      <c r="M943" t="s">
        <v>1799</v>
      </c>
      <c r="N943" t="s">
        <v>1799</v>
      </c>
      <c r="O943" s="184" t="str">
        <f>"["&amp;$C943&amp;"]["&amp;$D943&amp;"]["&amp;$F943&amp;"]"</f>
        <v>[S06_AccredCertVerifiersAnnexI][14][AccredCertScope]</v>
      </c>
    </row>
    <row r="944" spans="1:15" x14ac:dyDescent="0.3">
      <c r="A944" t="s">
        <v>1793</v>
      </c>
      <c r="B944" t="s">
        <v>2074</v>
      </c>
      <c r="C944" t="s">
        <v>2078</v>
      </c>
      <c r="D944">
        <v>15</v>
      </c>
      <c r="E944" t="s">
        <v>1447</v>
      </c>
      <c r="F944" t="s">
        <v>2079</v>
      </c>
      <c r="G944" t="s">
        <v>1737</v>
      </c>
      <c r="H944" t="s">
        <v>1799</v>
      </c>
      <c r="I944" t="s">
        <v>1799</v>
      </c>
      <c r="J944" t="s">
        <v>1799</v>
      </c>
      <c r="K944" t="s">
        <v>1799</v>
      </c>
      <c r="L944" t="s">
        <v>1523</v>
      </c>
      <c r="M944" t="s">
        <v>1799</v>
      </c>
      <c r="N944" t="s">
        <v>1799</v>
      </c>
      <c r="O944" s="184" t="str">
        <f>"["&amp;$C944&amp;"]["&amp;$D944&amp;"]["&amp;$F944&amp;"]"</f>
        <v>[S06_AccredCertVerifiersAnnexI][15][AccredCertScope]</v>
      </c>
    </row>
    <row r="945" spans="1:15" x14ac:dyDescent="0.3">
      <c r="A945" t="s">
        <v>1793</v>
      </c>
      <c r="B945" t="s">
        <v>2074</v>
      </c>
      <c r="C945" t="s">
        <v>2078</v>
      </c>
      <c r="D945">
        <v>16</v>
      </c>
      <c r="E945" t="s">
        <v>1447</v>
      </c>
      <c r="F945" t="s">
        <v>2079</v>
      </c>
      <c r="G945" t="s">
        <v>1737</v>
      </c>
      <c r="H945" t="s">
        <v>1799</v>
      </c>
      <c r="I945" t="s">
        <v>1799</v>
      </c>
      <c r="J945" t="s">
        <v>1799</v>
      </c>
      <c r="K945" t="s">
        <v>1799</v>
      </c>
      <c r="L945" t="s">
        <v>1535</v>
      </c>
      <c r="M945" t="s">
        <v>1799</v>
      </c>
      <c r="N945" t="s">
        <v>1799</v>
      </c>
      <c r="O945" s="184" t="str">
        <f>"["&amp;$C945&amp;"]["&amp;$D945&amp;"]["&amp;$F945&amp;"]"</f>
        <v>[S06_AccredCertVerifiersAnnexI][16][AccredCertScope]</v>
      </c>
    </row>
    <row r="946" spans="1:15" x14ac:dyDescent="0.3">
      <c r="A946" t="s">
        <v>1793</v>
      </c>
      <c r="B946" t="s">
        <v>2074</v>
      </c>
      <c r="C946" t="s">
        <v>2078</v>
      </c>
      <c r="D946">
        <v>17</v>
      </c>
      <c r="E946" t="s">
        <v>1447</v>
      </c>
      <c r="F946" t="s">
        <v>2079</v>
      </c>
      <c r="G946" t="s">
        <v>1737</v>
      </c>
      <c r="H946" t="s">
        <v>1799</v>
      </c>
      <c r="I946" t="s">
        <v>1799</v>
      </c>
      <c r="J946" t="s">
        <v>1799</v>
      </c>
      <c r="K946" t="s">
        <v>1799</v>
      </c>
      <c r="L946" t="s">
        <v>1615</v>
      </c>
      <c r="M946" t="s">
        <v>1799</v>
      </c>
      <c r="N946" t="s">
        <v>1799</v>
      </c>
      <c r="O946" s="184" t="str">
        <f>"["&amp;$C946&amp;"]["&amp;$D946&amp;"]["&amp;$F946&amp;"]"</f>
        <v>[S06_AccredCertVerifiersAnnexI][17][AccredCertScope]</v>
      </c>
    </row>
    <row r="947" spans="1:15" x14ac:dyDescent="0.3">
      <c r="A947" t="s">
        <v>1793</v>
      </c>
      <c r="B947" t="s">
        <v>2074</v>
      </c>
      <c r="C947" t="s">
        <v>2078</v>
      </c>
      <c r="D947">
        <v>18</v>
      </c>
      <c r="E947" t="s">
        <v>1447</v>
      </c>
      <c r="F947" t="s">
        <v>2079</v>
      </c>
      <c r="G947" t="s">
        <v>1737</v>
      </c>
      <c r="H947" t="s">
        <v>1799</v>
      </c>
      <c r="I947" t="s">
        <v>1799</v>
      </c>
      <c r="J947" t="s">
        <v>1799</v>
      </c>
      <c r="K947" t="s">
        <v>1799</v>
      </c>
      <c r="L947" t="s">
        <v>1620</v>
      </c>
      <c r="M947" t="s">
        <v>1799</v>
      </c>
      <c r="N947" t="s">
        <v>1799</v>
      </c>
      <c r="O947" s="184" t="str">
        <f>"["&amp;$C947&amp;"]["&amp;$D947&amp;"]["&amp;$F947&amp;"]"</f>
        <v>[S06_AccredCertVerifiersAnnexI][18][AccredCertScope]</v>
      </c>
    </row>
    <row r="948" spans="1:15" x14ac:dyDescent="0.3">
      <c r="A948" t="s">
        <v>1793</v>
      </c>
      <c r="B948" t="s">
        <v>2074</v>
      </c>
      <c r="C948" t="s">
        <v>2078</v>
      </c>
      <c r="D948">
        <v>19</v>
      </c>
      <c r="E948" t="s">
        <v>1447</v>
      </c>
      <c r="F948" t="s">
        <v>2079</v>
      </c>
      <c r="G948" t="s">
        <v>1737</v>
      </c>
      <c r="H948" t="s">
        <v>1799</v>
      </c>
      <c r="I948" t="s">
        <v>1799</v>
      </c>
      <c r="J948" t="s">
        <v>1799</v>
      </c>
      <c r="K948" t="s">
        <v>1799</v>
      </c>
      <c r="L948" t="s">
        <v>1625</v>
      </c>
      <c r="M948" t="s">
        <v>1799</v>
      </c>
      <c r="N948" t="s">
        <v>1799</v>
      </c>
      <c r="O948" s="184" t="str">
        <f>"["&amp;$C948&amp;"]["&amp;$D948&amp;"]["&amp;$F948&amp;"]"</f>
        <v>[S06_AccredCertVerifiersAnnexI][19][AccredCertScope]</v>
      </c>
    </row>
    <row r="949" spans="1:15" x14ac:dyDescent="0.3">
      <c r="A949" t="s">
        <v>1793</v>
      </c>
      <c r="B949" t="s">
        <v>2074</v>
      </c>
      <c r="C949" t="s">
        <v>2078</v>
      </c>
      <c r="D949">
        <v>20</v>
      </c>
      <c r="E949" t="s">
        <v>1447</v>
      </c>
      <c r="F949" t="s">
        <v>2079</v>
      </c>
      <c r="G949" t="s">
        <v>1737</v>
      </c>
      <c r="H949" t="s">
        <v>1799</v>
      </c>
      <c r="I949" t="s">
        <v>1799</v>
      </c>
      <c r="J949" t="s">
        <v>1799</v>
      </c>
      <c r="K949" t="s">
        <v>1799</v>
      </c>
      <c r="L949" t="s">
        <v>1629</v>
      </c>
      <c r="M949" t="s">
        <v>1799</v>
      </c>
      <c r="N949" t="s">
        <v>1799</v>
      </c>
      <c r="O949" s="184" t="str">
        <f>"["&amp;$C949&amp;"]["&amp;$D949&amp;"]["&amp;$F949&amp;"]"</f>
        <v>[S06_AccredCertVerifiersAnnexI][20][AccredCertScope]</v>
      </c>
    </row>
    <row r="950" spans="1:15" x14ac:dyDescent="0.3">
      <c r="A950" t="s">
        <v>1793</v>
      </c>
      <c r="B950" t="s">
        <v>2074</v>
      </c>
      <c r="C950" t="s">
        <v>2078</v>
      </c>
      <c r="D950">
        <v>21</v>
      </c>
      <c r="E950" t="s">
        <v>1447</v>
      </c>
      <c r="F950" t="s">
        <v>2079</v>
      </c>
      <c r="G950" t="s">
        <v>1737</v>
      </c>
      <c r="H950" t="s">
        <v>1799</v>
      </c>
      <c r="I950" t="s">
        <v>1799</v>
      </c>
      <c r="J950" t="s">
        <v>1799</v>
      </c>
      <c r="K950" t="s">
        <v>1799</v>
      </c>
      <c r="L950" t="s">
        <v>1576</v>
      </c>
      <c r="M950" t="s">
        <v>1799</v>
      </c>
      <c r="N950" t="s">
        <v>1799</v>
      </c>
      <c r="O950" s="184" t="str">
        <f>"["&amp;$C950&amp;"]["&amp;$D950&amp;"]["&amp;$F950&amp;"]"</f>
        <v>[S06_AccredCertVerifiersAnnexI][21][AccredCertScope]</v>
      </c>
    </row>
    <row r="951" spans="1:15" x14ac:dyDescent="0.3">
      <c r="A951" t="s">
        <v>1793</v>
      </c>
      <c r="B951" t="s">
        <v>2074</v>
      </c>
      <c r="C951" t="s">
        <v>2078</v>
      </c>
      <c r="D951">
        <v>22</v>
      </c>
      <c r="E951" t="s">
        <v>1447</v>
      </c>
      <c r="F951" t="s">
        <v>2079</v>
      </c>
      <c r="G951" t="s">
        <v>1737</v>
      </c>
      <c r="H951" t="s">
        <v>1799</v>
      </c>
      <c r="I951" t="s">
        <v>1799</v>
      </c>
      <c r="J951" t="s">
        <v>1799</v>
      </c>
      <c r="K951" t="s">
        <v>1799</v>
      </c>
      <c r="L951" t="s">
        <v>1580</v>
      </c>
      <c r="M951" t="s">
        <v>1799</v>
      </c>
      <c r="N951" t="s">
        <v>1799</v>
      </c>
      <c r="O951" s="184" t="str">
        <f>"["&amp;$C951&amp;"]["&amp;$D951&amp;"]["&amp;$F951&amp;"]"</f>
        <v>[S06_AccredCertVerifiersAnnexI][22][AccredCertScope]</v>
      </c>
    </row>
    <row r="952" spans="1:15" x14ac:dyDescent="0.3">
      <c r="A952" t="s">
        <v>1793</v>
      </c>
      <c r="B952" t="s">
        <v>2074</v>
      </c>
      <c r="C952" t="s">
        <v>2078</v>
      </c>
      <c r="D952">
        <v>23</v>
      </c>
      <c r="E952" t="s">
        <v>1447</v>
      </c>
      <c r="F952" t="s">
        <v>2079</v>
      </c>
      <c r="G952" t="s">
        <v>1737</v>
      </c>
      <c r="H952" t="s">
        <v>1799</v>
      </c>
      <c r="I952" t="s">
        <v>1799</v>
      </c>
      <c r="J952" t="s">
        <v>1799</v>
      </c>
      <c r="K952" t="s">
        <v>1799</v>
      </c>
      <c r="L952" t="s">
        <v>1585</v>
      </c>
      <c r="M952" t="s">
        <v>1799</v>
      </c>
      <c r="N952" t="s">
        <v>1799</v>
      </c>
      <c r="O952" s="184" t="str">
        <f>"["&amp;$C952&amp;"]["&amp;$D952&amp;"]["&amp;$F952&amp;"]"</f>
        <v>[S06_AccredCertVerifiersAnnexI][23][AccredCertScope]</v>
      </c>
    </row>
    <row r="953" spans="1:15" x14ac:dyDescent="0.3">
      <c r="A953" t="s">
        <v>1793</v>
      </c>
      <c r="B953" t="s">
        <v>2074</v>
      </c>
      <c r="C953" t="s">
        <v>2078</v>
      </c>
      <c r="D953">
        <v>24</v>
      </c>
      <c r="E953" t="s">
        <v>1447</v>
      </c>
      <c r="F953" t="s">
        <v>2079</v>
      </c>
      <c r="G953" t="s">
        <v>1737</v>
      </c>
      <c r="H953" t="s">
        <v>1799</v>
      </c>
      <c r="I953" t="s">
        <v>1799</v>
      </c>
      <c r="J953" t="s">
        <v>1799</v>
      </c>
      <c r="K953" t="s">
        <v>1799</v>
      </c>
      <c r="L953" t="s">
        <v>1590</v>
      </c>
      <c r="M953" t="s">
        <v>1799</v>
      </c>
      <c r="N953" t="s">
        <v>1799</v>
      </c>
      <c r="O953" s="184" t="str">
        <f>"["&amp;$C953&amp;"]["&amp;$D953&amp;"]["&amp;$F953&amp;"]"</f>
        <v>[S06_AccredCertVerifiersAnnexI][24][AccredCertScope]</v>
      </c>
    </row>
    <row r="954" spans="1:15" x14ac:dyDescent="0.3">
      <c r="A954" t="s">
        <v>1793</v>
      </c>
      <c r="B954" t="s">
        <v>2074</v>
      </c>
      <c r="C954" t="s">
        <v>2078</v>
      </c>
      <c r="D954">
        <v>1</v>
      </c>
      <c r="E954" t="s">
        <v>1447</v>
      </c>
      <c r="F954" t="s">
        <v>2080</v>
      </c>
      <c r="G954" t="s">
        <v>1811</v>
      </c>
      <c r="H954" t="s">
        <v>1799</v>
      </c>
      <c r="I954">
        <v>3</v>
      </c>
      <c r="J954" t="s">
        <v>1799</v>
      </c>
      <c r="K954" t="s">
        <v>1799</v>
      </c>
      <c r="L954" t="s">
        <v>1799</v>
      </c>
      <c r="M954" t="s">
        <v>1799</v>
      </c>
      <c r="N954" t="s">
        <v>1799</v>
      </c>
      <c r="O954" s="184" t="str">
        <f>"["&amp;$C954&amp;"]["&amp;$D954&amp;"]["&amp;$F954&amp;"]"</f>
        <v>[S06_AccredCertVerifiersAnnexI][1][NumberAccredited]</v>
      </c>
    </row>
    <row r="955" spans="1:15" x14ac:dyDescent="0.3">
      <c r="A955" t="s">
        <v>1793</v>
      </c>
      <c r="B955" t="s">
        <v>2074</v>
      </c>
      <c r="C955" t="s">
        <v>2078</v>
      </c>
      <c r="D955">
        <v>2</v>
      </c>
      <c r="E955" t="s">
        <v>1447</v>
      </c>
      <c r="F955" t="s">
        <v>2080</v>
      </c>
      <c r="G955" t="s">
        <v>1811</v>
      </c>
      <c r="H955" t="s">
        <v>1799</v>
      </c>
      <c r="I955">
        <v>3</v>
      </c>
      <c r="J955" t="s">
        <v>1799</v>
      </c>
      <c r="K955" t="s">
        <v>1799</v>
      </c>
      <c r="L955" t="s">
        <v>1799</v>
      </c>
      <c r="M955" t="s">
        <v>1799</v>
      </c>
      <c r="N955" t="s">
        <v>1799</v>
      </c>
      <c r="O955" s="184" t="str">
        <f>"["&amp;$C955&amp;"]["&amp;$D955&amp;"]["&amp;$F955&amp;"]"</f>
        <v>[S06_AccredCertVerifiersAnnexI][2][NumberAccredited]</v>
      </c>
    </row>
    <row r="956" spans="1:15" x14ac:dyDescent="0.3">
      <c r="A956" t="s">
        <v>1793</v>
      </c>
      <c r="B956" t="s">
        <v>2074</v>
      </c>
      <c r="C956" t="s">
        <v>2078</v>
      </c>
      <c r="D956">
        <v>3</v>
      </c>
      <c r="E956" t="s">
        <v>1447</v>
      </c>
      <c r="F956" t="s">
        <v>2080</v>
      </c>
      <c r="G956" t="s">
        <v>1811</v>
      </c>
      <c r="H956" t="s">
        <v>1799</v>
      </c>
      <c r="I956">
        <v>2</v>
      </c>
      <c r="J956" t="s">
        <v>1799</v>
      </c>
      <c r="K956" t="s">
        <v>1799</v>
      </c>
      <c r="L956" t="s">
        <v>1799</v>
      </c>
      <c r="M956" t="s">
        <v>1799</v>
      </c>
      <c r="N956" t="s">
        <v>1799</v>
      </c>
      <c r="O956" s="184" t="str">
        <f>"["&amp;$C956&amp;"]["&amp;$D956&amp;"]["&amp;$F956&amp;"]"</f>
        <v>[S06_AccredCertVerifiersAnnexI][3][NumberAccredited]</v>
      </c>
    </row>
    <row r="957" spans="1:15" x14ac:dyDescent="0.3">
      <c r="A957" t="s">
        <v>1793</v>
      </c>
      <c r="B957" t="s">
        <v>2074</v>
      </c>
      <c r="C957" t="s">
        <v>2078</v>
      </c>
      <c r="D957">
        <v>4</v>
      </c>
      <c r="E957" t="s">
        <v>1447</v>
      </c>
      <c r="F957" t="s">
        <v>2080</v>
      </c>
      <c r="G957" t="s">
        <v>1811</v>
      </c>
      <c r="H957" t="s">
        <v>1799</v>
      </c>
      <c r="I957">
        <v>2</v>
      </c>
      <c r="J957" t="s">
        <v>1799</v>
      </c>
      <c r="K957" t="s">
        <v>1799</v>
      </c>
      <c r="L957" t="s">
        <v>1799</v>
      </c>
      <c r="M957" t="s">
        <v>1799</v>
      </c>
      <c r="N957" t="s">
        <v>1799</v>
      </c>
      <c r="O957" s="184" t="str">
        <f>"["&amp;$C957&amp;"]["&amp;$D957&amp;"]["&amp;$F957&amp;"]"</f>
        <v>[S06_AccredCertVerifiersAnnexI][4][NumberAccredited]</v>
      </c>
    </row>
    <row r="958" spans="1:15" x14ac:dyDescent="0.3">
      <c r="A958" t="s">
        <v>1793</v>
      </c>
      <c r="B958" t="s">
        <v>2074</v>
      </c>
      <c r="C958" t="s">
        <v>2078</v>
      </c>
      <c r="D958">
        <v>5</v>
      </c>
      <c r="E958" t="s">
        <v>1447</v>
      </c>
      <c r="F958" t="s">
        <v>2080</v>
      </c>
      <c r="G958" t="s">
        <v>1811</v>
      </c>
      <c r="H958" t="s">
        <v>1799</v>
      </c>
      <c r="I958">
        <v>2</v>
      </c>
      <c r="J958" t="s">
        <v>1799</v>
      </c>
      <c r="K958" t="s">
        <v>1799</v>
      </c>
      <c r="L958" t="s">
        <v>1799</v>
      </c>
      <c r="M958" t="s">
        <v>1799</v>
      </c>
      <c r="N958" t="s">
        <v>1799</v>
      </c>
      <c r="O958" s="184" t="str">
        <f>"["&amp;$C958&amp;"]["&amp;$D958&amp;"]["&amp;$F958&amp;"]"</f>
        <v>[S06_AccredCertVerifiersAnnexI][5][NumberAccredited]</v>
      </c>
    </row>
    <row r="959" spans="1:15" x14ac:dyDescent="0.3">
      <c r="A959" t="s">
        <v>1793</v>
      </c>
      <c r="B959" t="s">
        <v>2074</v>
      </c>
      <c r="C959" t="s">
        <v>2078</v>
      </c>
      <c r="D959">
        <v>6</v>
      </c>
      <c r="E959" t="s">
        <v>1447</v>
      </c>
      <c r="F959" t="s">
        <v>2080</v>
      </c>
      <c r="G959" t="s">
        <v>1811</v>
      </c>
      <c r="H959" t="s">
        <v>1799</v>
      </c>
      <c r="I959">
        <v>1</v>
      </c>
      <c r="J959" t="s">
        <v>1799</v>
      </c>
      <c r="K959" t="s">
        <v>1799</v>
      </c>
      <c r="L959" t="s">
        <v>1799</v>
      </c>
      <c r="M959" t="s">
        <v>1799</v>
      </c>
      <c r="N959" t="s">
        <v>1799</v>
      </c>
      <c r="O959" s="184" t="str">
        <f>"["&amp;$C959&amp;"]["&amp;$D959&amp;"]["&amp;$F959&amp;"]"</f>
        <v>[S06_AccredCertVerifiersAnnexI][6][NumberAccredited]</v>
      </c>
    </row>
    <row r="960" spans="1:15" x14ac:dyDescent="0.3">
      <c r="A960" t="s">
        <v>1793</v>
      </c>
      <c r="B960" t="s">
        <v>2074</v>
      </c>
      <c r="C960" t="s">
        <v>2078</v>
      </c>
      <c r="D960">
        <v>7</v>
      </c>
      <c r="E960" t="s">
        <v>1447</v>
      </c>
      <c r="F960" t="s">
        <v>2080</v>
      </c>
      <c r="G960" t="s">
        <v>1811</v>
      </c>
      <c r="H960" t="s">
        <v>1799</v>
      </c>
      <c r="I960">
        <v>2</v>
      </c>
      <c r="J960" t="s">
        <v>1799</v>
      </c>
      <c r="K960" t="s">
        <v>1799</v>
      </c>
      <c r="L960" t="s">
        <v>1799</v>
      </c>
      <c r="M960" t="s">
        <v>1799</v>
      </c>
      <c r="N960" t="s">
        <v>1799</v>
      </c>
      <c r="O960" s="184" t="str">
        <f>"["&amp;$C960&amp;"]["&amp;$D960&amp;"]["&amp;$F960&amp;"]"</f>
        <v>[S06_AccredCertVerifiersAnnexI][7][NumberAccredited]</v>
      </c>
    </row>
    <row r="961" spans="1:15" x14ac:dyDescent="0.3">
      <c r="A961" t="s">
        <v>1793</v>
      </c>
      <c r="B961" t="s">
        <v>2074</v>
      </c>
      <c r="C961" t="s">
        <v>2078</v>
      </c>
      <c r="D961">
        <v>8</v>
      </c>
      <c r="E961" t="s">
        <v>1447</v>
      </c>
      <c r="F961" t="s">
        <v>2080</v>
      </c>
      <c r="G961" t="s">
        <v>1811</v>
      </c>
      <c r="H961" t="s">
        <v>1799</v>
      </c>
      <c r="I961">
        <v>2</v>
      </c>
      <c r="J961" t="s">
        <v>1799</v>
      </c>
      <c r="K961" t="s">
        <v>1799</v>
      </c>
      <c r="L961" t="s">
        <v>1799</v>
      </c>
      <c r="M961" t="s">
        <v>1799</v>
      </c>
      <c r="N961" t="s">
        <v>1799</v>
      </c>
      <c r="O961" s="184" t="str">
        <f>"["&amp;$C961&amp;"]["&amp;$D961&amp;"]["&amp;$F961&amp;"]"</f>
        <v>[S06_AccredCertVerifiersAnnexI][8][NumberAccredited]</v>
      </c>
    </row>
    <row r="962" spans="1:15" x14ac:dyDescent="0.3">
      <c r="A962" t="s">
        <v>1793</v>
      </c>
      <c r="B962" t="s">
        <v>2074</v>
      </c>
      <c r="C962" t="s">
        <v>2078</v>
      </c>
      <c r="D962">
        <v>9</v>
      </c>
      <c r="E962" t="s">
        <v>1447</v>
      </c>
      <c r="F962" t="s">
        <v>2080</v>
      </c>
      <c r="G962" t="s">
        <v>1811</v>
      </c>
      <c r="H962" t="s">
        <v>1799</v>
      </c>
      <c r="I962">
        <v>3</v>
      </c>
      <c r="J962" t="s">
        <v>1799</v>
      </c>
      <c r="K962" t="s">
        <v>1799</v>
      </c>
      <c r="L962" t="s">
        <v>1799</v>
      </c>
      <c r="M962" t="s">
        <v>1799</v>
      </c>
      <c r="N962" t="s">
        <v>1799</v>
      </c>
      <c r="O962" s="184" t="str">
        <f>"["&amp;$C962&amp;"]["&amp;$D962&amp;"]["&amp;$F962&amp;"]"</f>
        <v>[S06_AccredCertVerifiersAnnexI][9][NumberAccredited]</v>
      </c>
    </row>
    <row r="963" spans="1:15" x14ac:dyDescent="0.3">
      <c r="A963" t="s">
        <v>1793</v>
      </c>
      <c r="B963" t="s">
        <v>2074</v>
      </c>
      <c r="C963" t="s">
        <v>2078</v>
      </c>
      <c r="D963">
        <v>10</v>
      </c>
      <c r="E963" t="s">
        <v>1447</v>
      </c>
      <c r="F963" t="s">
        <v>2080</v>
      </c>
      <c r="G963" t="s">
        <v>1811</v>
      </c>
      <c r="H963" t="s">
        <v>1799</v>
      </c>
      <c r="I963">
        <v>1</v>
      </c>
      <c r="J963" t="s">
        <v>1799</v>
      </c>
      <c r="K963" t="s">
        <v>1799</v>
      </c>
      <c r="L963" t="s">
        <v>1799</v>
      </c>
      <c r="M963" t="s">
        <v>1799</v>
      </c>
      <c r="N963" t="s">
        <v>1799</v>
      </c>
      <c r="O963" s="184" t="str">
        <f>"["&amp;$C963&amp;"]["&amp;$D963&amp;"]["&amp;$F963&amp;"]"</f>
        <v>[S06_AccredCertVerifiersAnnexI][10][NumberAccredited]</v>
      </c>
    </row>
    <row r="964" spans="1:15" x14ac:dyDescent="0.3">
      <c r="A964" t="s">
        <v>1793</v>
      </c>
      <c r="B964" t="s">
        <v>2074</v>
      </c>
      <c r="C964" t="s">
        <v>2078</v>
      </c>
      <c r="D964">
        <v>11</v>
      </c>
      <c r="E964" t="s">
        <v>1447</v>
      </c>
      <c r="F964" t="s">
        <v>2080</v>
      </c>
      <c r="G964" t="s">
        <v>1811</v>
      </c>
      <c r="H964" t="s">
        <v>1799</v>
      </c>
      <c r="I964">
        <v>1</v>
      </c>
      <c r="J964" t="s">
        <v>1799</v>
      </c>
      <c r="K964" t="s">
        <v>1799</v>
      </c>
      <c r="L964" t="s">
        <v>1799</v>
      </c>
      <c r="M964" t="s">
        <v>1799</v>
      </c>
      <c r="N964" t="s">
        <v>1799</v>
      </c>
      <c r="O964" s="184" t="str">
        <f>"["&amp;$C964&amp;"]["&amp;$D964&amp;"]["&amp;$F964&amp;"]"</f>
        <v>[S06_AccredCertVerifiersAnnexI][11][NumberAccredited]</v>
      </c>
    </row>
    <row r="965" spans="1:15" x14ac:dyDescent="0.3">
      <c r="A965" t="s">
        <v>1793</v>
      </c>
      <c r="B965" t="s">
        <v>2074</v>
      </c>
      <c r="C965" t="s">
        <v>2078</v>
      </c>
      <c r="D965">
        <v>12</v>
      </c>
      <c r="E965" t="s">
        <v>1447</v>
      </c>
      <c r="F965" t="s">
        <v>2080</v>
      </c>
      <c r="G965" t="s">
        <v>1811</v>
      </c>
      <c r="H965" t="s">
        <v>1799</v>
      </c>
      <c r="I965">
        <v>1</v>
      </c>
      <c r="J965" t="s">
        <v>1799</v>
      </c>
      <c r="K965" t="s">
        <v>1799</v>
      </c>
      <c r="L965" t="s">
        <v>1799</v>
      </c>
      <c r="M965" t="s">
        <v>1799</v>
      </c>
      <c r="N965" t="s">
        <v>1799</v>
      </c>
      <c r="O965" s="184" t="str">
        <f>"["&amp;$C965&amp;"]["&amp;$D965&amp;"]["&amp;$F965&amp;"]"</f>
        <v>[S06_AccredCertVerifiersAnnexI][12][NumberAccredited]</v>
      </c>
    </row>
    <row r="966" spans="1:15" x14ac:dyDescent="0.3">
      <c r="A966" t="s">
        <v>1793</v>
      </c>
      <c r="B966" t="s">
        <v>2074</v>
      </c>
      <c r="C966" t="s">
        <v>2078</v>
      </c>
      <c r="D966">
        <v>13</v>
      </c>
      <c r="E966" t="s">
        <v>1447</v>
      </c>
      <c r="F966" t="s">
        <v>2080</v>
      </c>
      <c r="G966" t="s">
        <v>1811</v>
      </c>
      <c r="H966" t="s">
        <v>1799</v>
      </c>
      <c r="I966">
        <v>0</v>
      </c>
      <c r="J966" t="s">
        <v>1799</v>
      </c>
      <c r="K966" t="s">
        <v>1799</v>
      </c>
      <c r="L966" t="s">
        <v>1799</v>
      </c>
      <c r="M966" t="s">
        <v>1799</v>
      </c>
      <c r="N966" t="s">
        <v>1799</v>
      </c>
      <c r="O966" s="184" t="str">
        <f>"["&amp;$C966&amp;"]["&amp;$D966&amp;"]["&amp;$F966&amp;"]"</f>
        <v>[S06_AccredCertVerifiersAnnexI][13][NumberAccredited]</v>
      </c>
    </row>
    <row r="967" spans="1:15" x14ac:dyDescent="0.3">
      <c r="A967" t="s">
        <v>1793</v>
      </c>
      <c r="B967" t="s">
        <v>2074</v>
      </c>
      <c r="C967" t="s">
        <v>2078</v>
      </c>
      <c r="D967">
        <v>14</v>
      </c>
      <c r="E967" t="s">
        <v>1447</v>
      </c>
      <c r="F967" t="s">
        <v>2080</v>
      </c>
      <c r="G967" t="s">
        <v>1811</v>
      </c>
      <c r="H967" t="s">
        <v>1799</v>
      </c>
      <c r="I967">
        <v>3</v>
      </c>
      <c r="J967" t="s">
        <v>1799</v>
      </c>
      <c r="K967" t="s">
        <v>1799</v>
      </c>
      <c r="L967" t="s">
        <v>1799</v>
      </c>
      <c r="M967" t="s">
        <v>1799</v>
      </c>
      <c r="N967" t="s">
        <v>1799</v>
      </c>
      <c r="O967" s="184" t="str">
        <f>"["&amp;$C967&amp;"]["&amp;$D967&amp;"]["&amp;$F967&amp;"]"</f>
        <v>[S06_AccredCertVerifiersAnnexI][14][NumberAccredited]</v>
      </c>
    </row>
    <row r="968" spans="1:15" x14ac:dyDescent="0.3">
      <c r="A968" t="s">
        <v>1793</v>
      </c>
      <c r="B968" t="s">
        <v>2074</v>
      </c>
      <c r="C968" t="s">
        <v>2078</v>
      </c>
      <c r="D968">
        <v>15</v>
      </c>
      <c r="E968" t="s">
        <v>1447</v>
      </c>
      <c r="F968" t="s">
        <v>2080</v>
      </c>
      <c r="G968" t="s">
        <v>1811</v>
      </c>
      <c r="H968" t="s">
        <v>1799</v>
      </c>
      <c r="I968">
        <v>2</v>
      </c>
      <c r="J968" t="s">
        <v>1799</v>
      </c>
      <c r="K968" t="s">
        <v>1799</v>
      </c>
      <c r="L968" t="s">
        <v>1799</v>
      </c>
      <c r="M968" t="s">
        <v>1799</v>
      </c>
      <c r="N968" t="s">
        <v>1799</v>
      </c>
      <c r="O968" s="184" t="str">
        <f>"["&amp;$C968&amp;"]["&amp;$D968&amp;"]["&amp;$F968&amp;"]"</f>
        <v>[S06_AccredCertVerifiersAnnexI][15][NumberAccredited]</v>
      </c>
    </row>
    <row r="969" spans="1:15" x14ac:dyDescent="0.3">
      <c r="A969" t="s">
        <v>1793</v>
      </c>
      <c r="B969" t="s">
        <v>2074</v>
      </c>
      <c r="C969" t="s">
        <v>2078</v>
      </c>
      <c r="D969">
        <v>16</v>
      </c>
      <c r="E969" t="s">
        <v>1447</v>
      </c>
      <c r="F969" t="s">
        <v>2080</v>
      </c>
      <c r="G969" t="s">
        <v>1811</v>
      </c>
      <c r="H969" t="s">
        <v>1799</v>
      </c>
      <c r="I969">
        <v>2</v>
      </c>
      <c r="J969" t="s">
        <v>1799</v>
      </c>
      <c r="K969" t="s">
        <v>1799</v>
      </c>
      <c r="L969" t="s">
        <v>1799</v>
      </c>
      <c r="M969" t="s">
        <v>1799</v>
      </c>
      <c r="N969" t="s">
        <v>1799</v>
      </c>
      <c r="O969" s="184" t="str">
        <f>"["&amp;$C969&amp;"]["&amp;$D969&amp;"]["&amp;$F969&amp;"]"</f>
        <v>[S06_AccredCertVerifiersAnnexI][16][NumberAccredited]</v>
      </c>
    </row>
    <row r="970" spans="1:15" x14ac:dyDescent="0.3">
      <c r="A970" t="s">
        <v>1793</v>
      </c>
      <c r="B970" t="s">
        <v>2074</v>
      </c>
      <c r="C970" t="s">
        <v>2078</v>
      </c>
      <c r="D970">
        <v>17</v>
      </c>
      <c r="E970" t="s">
        <v>1447</v>
      </c>
      <c r="F970" t="s">
        <v>2080</v>
      </c>
      <c r="G970" t="s">
        <v>1811</v>
      </c>
      <c r="H970" t="s">
        <v>1799</v>
      </c>
      <c r="I970">
        <v>3</v>
      </c>
      <c r="J970" t="s">
        <v>1799</v>
      </c>
      <c r="K970" t="s">
        <v>1799</v>
      </c>
      <c r="L970" t="s">
        <v>1799</v>
      </c>
      <c r="M970" t="s">
        <v>1799</v>
      </c>
      <c r="N970" t="s">
        <v>1799</v>
      </c>
      <c r="O970" s="184" t="str">
        <f>"["&amp;$C970&amp;"]["&amp;$D970&amp;"]["&amp;$F970&amp;"]"</f>
        <v>[S06_AccredCertVerifiersAnnexI][17][NumberAccredited]</v>
      </c>
    </row>
    <row r="971" spans="1:15" x14ac:dyDescent="0.3">
      <c r="A971" t="s">
        <v>1793</v>
      </c>
      <c r="B971" t="s">
        <v>2074</v>
      </c>
      <c r="C971" t="s">
        <v>2078</v>
      </c>
      <c r="D971">
        <v>18</v>
      </c>
      <c r="E971" t="s">
        <v>1447</v>
      </c>
      <c r="F971" t="s">
        <v>2080</v>
      </c>
      <c r="G971" t="s">
        <v>1811</v>
      </c>
      <c r="H971" t="s">
        <v>1799</v>
      </c>
      <c r="I971">
        <v>3</v>
      </c>
      <c r="J971" t="s">
        <v>1799</v>
      </c>
      <c r="K971" t="s">
        <v>1799</v>
      </c>
      <c r="L971" t="s">
        <v>1799</v>
      </c>
      <c r="M971" t="s">
        <v>1799</v>
      </c>
      <c r="N971" t="s">
        <v>1799</v>
      </c>
      <c r="O971" s="184" t="str">
        <f>"["&amp;$C971&amp;"]["&amp;$D971&amp;"]["&amp;$F971&amp;"]"</f>
        <v>[S06_AccredCertVerifiersAnnexI][18][NumberAccredited]</v>
      </c>
    </row>
    <row r="972" spans="1:15" x14ac:dyDescent="0.3">
      <c r="A972" t="s">
        <v>1793</v>
      </c>
      <c r="B972" t="s">
        <v>2074</v>
      </c>
      <c r="C972" t="s">
        <v>2078</v>
      </c>
      <c r="D972">
        <v>19</v>
      </c>
      <c r="E972" t="s">
        <v>1447</v>
      </c>
      <c r="F972" t="s">
        <v>2080</v>
      </c>
      <c r="G972" t="s">
        <v>1811</v>
      </c>
      <c r="H972" t="s">
        <v>1799</v>
      </c>
      <c r="I972">
        <v>3</v>
      </c>
      <c r="J972" t="s">
        <v>1799</v>
      </c>
      <c r="K972" t="s">
        <v>1799</v>
      </c>
      <c r="L972" t="s">
        <v>1799</v>
      </c>
      <c r="M972" t="s">
        <v>1799</v>
      </c>
      <c r="N972" t="s">
        <v>1799</v>
      </c>
      <c r="O972" s="184" t="str">
        <f>"["&amp;$C972&amp;"]["&amp;$D972&amp;"]["&amp;$F972&amp;"]"</f>
        <v>[S06_AccredCertVerifiersAnnexI][19][NumberAccredited]</v>
      </c>
    </row>
    <row r="973" spans="1:15" x14ac:dyDescent="0.3">
      <c r="A973" t="s">
        <v>1793</v>
      </c>
      <c r="B973" t="s">
        <v>2074</v>
      </c>
      <c r="C973" t="s">
        <v>2078</v>
      </c>
      <c r="D973">
        <v>20</v>
      </c>
      <c r="E973" t="s">
        <v>1447</v>
      </c>
      <c r="F973" t="s">
        <v>2080</v>
      </c>
      <c r="G973" t="s">
        <v>1811</v>
      </c>
      <c r="H973" t="s">
        <v>1799</v>
      </c>
      <c r="I973">
        <v>3</v>
      </c>
      <c r="J973" t="s">
        <v>1799</v>
      </c>
      <c r="K973" t="s">
        <v>1799</v>
      </c>
      <c r="L973" t="s">
        <v>1799</v>
      </c>
      <c r="M973" t="s">
        <v>1799</v>
      </c>
      <c r="N973" t="s">
        <v>1799</v>
      </c>
      <c r="O973" s="184" t="str">
        <f>"["&amp;$C973&amp;"]["&amp;$D973&amp;"]["&amp;$F973&amp;"]"</f>
        <v>[S06_AccredCertVerifiersAnnexI][20][NumberAccredited]</v>
      </c>
    </row>
    <row r="974" spans="1:15" x14ac:dyDescent="0.3">
      <c r="A974" t="s">
        <v>1793</v>
      </c>
      <c r="B974" t="s">
        <v>2074</v>
      </c>
      <c r="C974" t="s">
        <v>2078</v>
      </c>
      <c r="D974">
        <v>21</v>
      </c>
      <c r="E974" t="s">
        <v>1447</v>
      </c>
      <c r="F974" t="s">
        <v>2080</v>
      </c>
      <c r="G974" t="s">
        <v>1811</v>
      </c>
      <c r="H974" t="s">
        <v>1799</v>
      </c>
      <c r="I974">
        <v>2</v>
      </c>
      <c r="J974" t="s">
        <v>1799</v>
      </c>
      <c r="K974" t="s">
        <v>1799</v>
      </c>
      <c r="L974" t="s">
        <v>1799</v>
      </c>
      <c r="M974" t="s">
        <v>1799</v>
      </c>
      <c r="N974" t="s">
        <v>1799</v>
      </c>
      <c r="O974" s="184" t="str">
        <f>"["&amp;$C974&amp;"]["&amp;$D974&amp;"]["&amp;$F974&amp;"]"</f>
        <v>[S06_AccredCertVerifiersAnnexI][21][NumberAccredited]</v>
      </c>
    </row>
    <row r="975" spans="1:15" x14ac:dyDescent="0.3">
      <c r="A975" t="s">
        <v>1793</v>
      </c>
      <c r="B975" t="s">
        <v>2074</v>
      </c>
      <c r="C975" t="s">
        <v>2078</v>
      </c>
      <c r="D975">
        <v>22</v>
      </c>
      <c r="E975" t="s">
        <v>1447</v>
      </c>
      <c r="F975" t="s">
        <v>2080</v>
      </c>
      <c r="G975" t="s">
        <v>1811</v>
      </c>
      <c r="H975" t="s">
        <v>1799</v>
      </c>
      <c r="I975">
        <v>2</v>
      </c>
      <c r="J975" t="s">
        <v>1799</v>
      </c>
      <c r="K975" t="s">
        <v>1799</v>
      </c>
      <c r="L975" t="s">
        <v>1799</v>
      </c>
      <c r="M975" t="s">
        <v>1799</v>
      </c>
      <c r="N975" t="s">
        <v>1799</v>
      </c>
      <c r="O975" s="184" t="str">
        <f>"["&amp;$C975&amp;"]["&amp;$D975&amp;"]["&amp;$F975&amp;"]"</f>
        <v>[S06_AccredCertVerifiersAnnexI][22][NumberAccredited]</v>
      </c>
    </row>
    <row r="976" spans="1:15" x14ac:dyDescent="0.3">
      <c r="A976" t="s">
        <v>1793</v>
      </c>
      <c r="B976" t="s">
        <v>2074</v>
      </c>
      <c r="C976" t="s">
        <v>2078</v>
      </c>
      <c r="D976">
        <v>23</v>
      </c>
      <c r="E976" t="s">
        <v>1447</v>
      </c>
      <c r="F976" t="s">
        <v>2080</v>
      </c>
      <c r="G976" t="s">
        <v>1811</v>
      </c>
      <c r="H976" t="s">
        <v>1799</v>
      </c>
      <c r="I976">
        <v>2</v>
      </c>
      <c r="J976" t="s">
        <v>1799</v>
      </c>
      <c r="K976" t="s">
        <v>1799</v>
      </c>
      <c r="L976" t="s">
        <v>1799</v>
      </c>
      <c r="M976" t="s">
        <v>1799</v>
      </c>
      <c r="N976" t="s">
        <v>1799</v>
      </c>
      <c r="O976" s="184" t="str">
        <f>"["&amp;$C976&amp;"]["&amp;$D976&amp;"]["&amp;$F976&amp;"]"</f>
        <v>[S06_AccredCertVerifiersAnnexI][23][NumberAccredited]</v>
      </c>
    </row>
    <row r="977" spans="1:15" x14ac:dyDescent="0.3">
      <c r="A977" t="s">
        <v>1793</v>
      </c>
      <c r="B977" t="s">
        <v>2074</v>
      </c>
      <c r="C977" t="s">
        <v>2078</v>
      </c>
      <c r="D977">
        <v>24</v>
      </c>
      <c r="E977" t="s">
        <v>1447</v>
      </c>
      <c r="F977" t="s">
        <v>2080</v>
      </c>
      <c r="G977" t="s">
        <v>1811</v>
      </c>
      <c r="H977" t="s">
        <v>1799</v>
      </c>
      <c r="I977">
        <v>2</v>
      </c>
      <c r="J977" t="s">
        <v>1799</v>
      </c>
      <c r="K977" t="s">
        <v>1799</v>
      </c>
      <c r="L977" t="s">
        <v>1799</v>
      </c>
      <c r="M977" t="s">
        <v>1799</v>
      </c>
      <c r="N977" t="s">
        <v>1799</v>
      </c>
      <c r="O977" s="184" t="str">
        <f>"["&amp;$C977&amp;"]["&amp;$D977&amp;"]["&amp;$F977&amp;"]"</f>
        <v>[S06_AccredCertVerifiersAnnexI][24][NumberAccredited]</v>
      </c>
    </row>
    <row r="978" spans="1:15" x14ac:dyDescent="0.3">
      <c r="A978" t="s">
        <v>1793</v>
      </c>
      <c r="B978" t="s">
        <v>2074</v>
      </c>
      <c r="C978" t="s">
        <v>2078</v>
      </c>
      <c r="D978">
        <v>1</v>
      </c>
      <c r="E978" t="s">
        <v>1447</v>
      </c>
      <c r="F978" t="s">
        <v>2081</v>
      </c>
      <c r="G978" t="s">
        <v>1811</v>
      </c>
      <c r="H978" t="s">
        <v>1799</v>
      </c>
      <c r="I978">
        <v>0</v>
      </c>
      <c r="J978" t="s">
        <v>1799</v>
      </c>
      <c r="K978" t="s">
        <v>1799</v>
      </c>
      <c r="L978" t="s">
        <v>1799</v>
      </c>
      <c r="M978" t="s">
        <v>1799</v>
      </c>
      <c r="N978" t="s">
        <v>1799</v>
      </c>
      <c r="O978" s="184" t="str">
        <f>"["&amp;$C978&amp;"]["&amp;$D978&amp;"]["&amp;$F978&amp;"]"</f>
        <v>[S06_AccredCertVerifiersAnnexI][1][NumberCertified]</v>
      </c>
    </row>
    <row r="979" spans="1:15" x14ac:dyDescent="0.3">
      <c r="A979" t="s">
        <v>1793</v>
      </c>
      <c r="B979" t="s">
        <v>2074</v>
      </c>
      <c r="C979" t="s">
        <v>2078</v>
      </c>
      <c r="D979">
        <v>2</v>
      </c>
      <c r="E979" t="s">
        <v>1447</v>
      </c>
      <c r="F979" t="s">
        <v>2081</v>
      </c>
      <c r="G979" t="s">
        <v>1811</v>
      </c>
      <c r="H979" t="s">
        <v>1799</v>
      </c>
      <c r="I979">
        <v>0</v>
      </c>
      <c r="J979" t="s">
        <v>1799</v>
      </c>
      <c r="K979" t="s">
        <v>1799</v>
      </c>
      <c r="L979" t="s">
        <v>1799</v>
      </c>
      <c r="M979" t="s">
        <v>1799</v>
      </c>
      <c r="N979" t="s">
        <v>1799</v>
      </c>
      <c r="O979" s="184" t="str">
        <f>"["&amp;$C979&amp;"]["&amp;$D979&amp;"]["&amp;$F979&amp;"]"</f>
        <v>[S06_AccredCertVerifiersAnnexI][2][NumberCertified]</v>
      </c>
    </row>
    <row r="980" spans="1:15" x14ac:dyDescent="0.3">
      <c r="A980" t="s">
        <v>1793</v>
      </c>
      <c r="B980" t="s">
        <v>2074</v>
      </c>
      <c r="C980" t="s">
        <v>2078</v>
      </c>
      <c r="D980">
        <v>3</v>
      </c>
      <c r="E980" t="s">
        <v>1447</v>
      </c>
      <c r="F980" t="s">
        <v>2081</v>
      </c>
      <c r="G980" t="s">
        <v>1811</v>
      </c>
      <c r="H980" t="s">
        <v>1799</v>
      </c>
      <c r="I980">
        <v>0</v>
      </c>
      <c r="J980" t="s">
        <v>1799</v>
      </c>
      <c r="K980" t="s">
        <v>1799</v>
      </c>
      <c r="L980" t="s">
        <v>1799</v>
      </c>
      <c r="M980" t="s">
        <v>1799</v>
      </c>
      <c r="N980" t="s">
        <v>1799</v>
      </c>
      <c r="O980" s="184" t="str">
        <f>"["&amp;$C980&amp;"]["&amp;$D980&amp;"]["&amp;$F980&amp;"]"</f>
        <v>[S06_AccredCertVerifiersAnnexI][3][NumberCertified]</v>
      </c>
    </row>
    <row r="981" spans="1:15" x14ac:dyDescent="0.3">
      <c r="A981" t="s">
        <v>1793</v>
      </c>
      <c r="B981" t="s">
        <v>2074</v>
      </c>
      <c r="C981" t="s">
        <v>2078</v>
      </c>
      <c r="D981">
        <v>4</v>
      </c>
      <c r="E981" t="s">
        <v>1447</v>
      </c>
      <c r="F981" t="s">
        <v>2081</v>
      </c>
      <c r="G981" t="s">
        <v>1811</v>
      </c>
      <c r="H981" t="s">
        <v>1799</v>
      </c>
      <c r="I981">
        <v>0</v>
      </c>
      <c r="J981" t="s">
        <v>1799</v>
      </c>
      <c r="K981" t="s">
        <v>1799</v>
      </c>
      <c r="L981" t="s">
        <v>1799</v>
      </c>
      <c r="M981" t="s">
        <v>1799</v>
      </c>
      <c r="N981" t="s">
        <v>1799</v>
      </c>
      <c r="O981" s="184" t="str">
        <f>"["&amp;$C981&amp;"]["&amp;$D981&amp;"]["&amp;$F981&amp;"]"</f>
        <v>[S06_AccredCertVerifiersAnnexI][4][NumberCertified]</v>
      </c>
    </row>
    <row r="982" spans="1:15" x14ac:dyDescent="0.3">
      <c r="A982" t="s">
        <v>1793</v>
      </c>
      <c r="B982" t="s">
        <v>2074</v>
      </c>
      <c r="C982" t="s">
        <v>2078</v>
      </c>
      <c r="D982">
        <v>5</v>
      </c>
      <c r="E982" t="s">
        <v>1447</v>
      </c>
      <c r="F982" t="s">
        <v>2081</v>
      </c>
      <c r="G982" t="s">
        <v>1811</v>
      </c>
      <c r="H982" t="s">
        <v>1799</v>
      </c>
      <c r="I982">
        <v>0</v>
      </c>
      <c r="J982" t="s">
        <v>1799</v>
      </c>
      <c r="K982" t="s">
        <v>1799</v>
      </c>
      <c r="L982" t="s">
        <v>1799</v>
      </c>
      <c r="M982" t="s">
        <v>1799</v>
      </c>
      <c r="N982" t="s">
        <v>1799</v>
      </c>
      <c r="O982" s="184" t="str">
        <f>"["&amp;$C982&amp;"]["&amp;$D982&amp;"]["&amp;$F982&amp;"]"</f>
        <v>[S06_AccredCertVerifiersAnnexI][5][NumberCertified]</v>
      </c>
    </row>
    <row r="983" spans="1:15" x14ac:dyDescent="0.3">
      <c r="A983" t="s">
        <v>1793</v>
      </c>
      <c r="B983" t="s">
        <v>2074</v>
      </c>
      <c r="C983" t="s">
        <v>2078</v>
      </c>
      <c r="D983">
        <v>6</v>
      </c>
      <c r="E983" t="s">
        <v>1447</v>
      </c>
      <c r="F983" t="s">
        <v>2081</v>
      </c>
      <c r="G983" t="s">
        <v>1811</v>
      </c>
      <c r="H983" t="s">
        <v>1799</v>
      </c>
      <c r="I983">
        <v>0</v>
      </c>
      <c r="J983" t="s">
        <v>1799</v>
      </c>
      <c r="K983" t="s">
        <v>1799</v>
      </c>
      <c r="L983" t="s">
        <v>1799</v>
      </c>
      <c r="M983" t="s">
        <v>1799</v>
      </c>
      <c r="N983" t="s">
        <v>1799</v>
      </c>
      <c r="O983" s="184" t="str">
        <f>"["&amp;$C983&amp;"]["&amp;$D983&amp;"]["&amp;$F983&amp;"]"</f>
        <v>[S06_AccredCertVerifiersAnnexI][6][NumberCertified]</v>
      </c>
    </row>
    <row r="984" spans="1:15" x14ac:dyDescent="0.3">
      <c r="A984" t="s">
        <v>1793</v>
      </c>
      <c r="B984" t="s">
        <v>2074</v>
      </c>
      <c r="C984" t="s">
        <v>2078</v>
      </c>
      <c r="D984">
        <v>7</v>
      </c>
      <c r="E984" t="s">
        <v>1447</v>
      </c>
      <c r="F984" t="s">
        <v>2081</v>
      </c>
      <c r="G984" t="s">
        <v>1811</v>
      </c>
      <c r="H984" t="s">
        <v>1799</v>
      </c>
      <c r="I984">
        <v>0</v>
      </c>
      <c r="J984" t="s">
        <v>1799</v>
      </c>
      <c r="K984" t="s">
        <v>1799</v>
      </c>
      <c r="L984" t="s">
        <v>1799</v>
      </c>
      <c r="M984" t="s">
        <v>1799</v>
      </c>
      <c r="N984" t="s">
        <v>1799</v>
      </c>
      <c r="O984" s="184" t="str">
        <f>"["&amp;$C984&amp;"]["&amp;$D984&amp;"]["&amp;$F984&amp;"]"</f>
        <v>[S06_AccredCertVerifiersAnnexI][7][NumberCertified]</v>
      </c>
    </row>
    <row r="985" spans="1:15" x14ac:dyDescent="0.3">
      <c r="A985" t="s">
        <v>1793</v>
      </c>
      <c r="B985" t="s">
        <v>2074</v>
      </c>
      <c r="C985" t="s">
        <v>2078</v>
      </c>
      <c r="D985">
        <v>8</v>
      </c>
      <c r="E985" t="s">
        <v>1447</v>
      </c>
      <c r="F985" t="s">
        <v>2081</v>
      </c>
      <c r="G985" t="s">
        <v>1811</v>
      </c>
      <c r="H985" t="s">
        <v>1799</v>
      </c>
      <c r="I985">
        <v>0</v>
      </c>
      <c r="J985" t="s">
        <v>1799</v>
      </c>
      <c r="K985" t="s">
        <v>1799</v>
      </c>
      <c r="L985" t="s">
        <v>1799</v>
      </c>
      <c r="M985" t="s">
        <v>1799</v>
      </c>
      <c r="N985" t="s">
        <v>1799</v>
      </c>
      <c r="O985" s="184" t="str">
        <f>"["&amp;$C985&amp;"]["&amp;$D985&amp;"]["&amp;$F985&amp;"]"</f>
        <v>[S06_AccredCertVerifiersAnnexI][8][NumberCertified]</v>
      </c>
    </row>
    <row r="986" spans="1:15" x14ac:dyDescent="0.3">
      <c r="A986" t="s">
        <v>1793</v>
      </c>
      <c r="B986" t="s">
        <v>2074</v>
      </c>
      <c r="C986" t="s">
        <v>2078</v>
      </c>
      <c r="D986">
        <v>9</v>
      </c>
      <c r="E986" t="s">
        <v>1447</v>
      </c>
      <c r="F986" t="s">
        <v>2081</v>
      </c>
      <c r="G986" t="s">
        <v>1811</v>
      </c>
      <c r="H986" t="s">
        <v>1799</v>
      </c>
      <c r="I986">
        <v>0</v>
      </c>
      <c r="J986" t="s">
        <v>1799</v>
      </c>
      <c r="K986" t="s">
        <v>1799</v>
      </c>
      <c r="L986" t="s">
        <v>1799</v>
      </c>
      <c r="M986" t="s">
        <v>1799</v>
      </c>
      <c r="N986" t="s">
        <v>1799</v>
      </c>
      <c r="O986" s="184" t="str">
        <f>"["&amp;$C986&amp;"]["&amp;$D986&amp;"]["&amp;$F986&amp;"]"</f>
        <v>[S06_AccredCertVerifiersAnnexI][9][NumberCertified]</v>
      </c>
    </row>
    <row r="987" spans="1:15" x14ac:dyDescent="0.3">
      <c r="A987" t="s">
        <v>1793</v>
      </c>
      <c r="B987" t="s">
        <v>2074</v>
      </c>
      <c r="C987" t="s">
        <v>2078</v>
      </c>
      <c r="D987">
        <v>10</v>
      </c>
      <c r="E987" t="s">
        <v>1447</v>
      </c>
      <c r="F987" t="s">
        <v>2081</v>
      </c>
      <c r="G987" t="s">
        <v>1811</v>
      </c>
      <c r="H987" t="s">
        <v>1799</v>
      </c>
      <c r="I987">
        <v>0</v>
      </c>
      <c r="J987" t="s">
        <v>1799</v>
      </c>
      <c r="K987" t="s">
        <v>1799</v>
      </c>
      <c r="L987" t="s">
        <v>1799</v>
      </c>
      <c r="M987" t="s">
        <v>1799</v>
      </c>
      <c r="N987" t="s">
        <v>1799</v>
      </c>
      <c r="O987" s="184" t="str">
        <f>"["&amp;$C987&amp;"]["&amp;$D987&amp;"]["&amp;$F987&amp;"]"</f>
        <v>[S06_AccredCertVerifiersAnnexI][10][NumberCertified]</v>
      </c>
    </row>
    <row r="988" spans="1:15" x14ac:dyDescent="0.3">
      <c r="A988" t="s">
        <v>1793</v>
      </c>
      <c r="B988" t="s">
        <v>2074</v>
      </c>
      <c r="C988" t="s">
        <v>2078</v>
      </c>
      <c r="D988">
        <v>11</v>
      </c>
      <c r="E988" t="s">
        <v>1447</v>
      </c>
      <c r="F988" t="s">
        <v>2081</v>
      </c>
      <c r="G988" t="s">
        <v>1811</v>
      </c>
      <c r="H988" t="s">
        <v>1799</v>
      </c>
      <c r="I988">
        <v>0</v>
      </c>
      <c r="J988" t="s">
        <v>1799</v>
      </c>
      <c r="K988" t="s">
        <v>1799</v>
      </c>
      <c r="L988" t="s">
        <v>1799</v>
      </c>
      <c r="M988" t="s">
        <v>1799</v>
      </c>
      <c r="N988" t="s">
        <v>1799</v>
      </c>
      <c r="O988" s="184" t="str">
        <f>"["&amp;$C988&amp;"]["&amp;$D988&amp;"]["&amp;$F988&amp;"]"</f>
        <v>[S06_AccredCertVerifiersAnnexI][11][NumberCertified]</v>
      </c>
    </row>
    <row r="989" spans="1:15" x14ac:dyDescent="0.3">
      <c r="A989" t="s">
        <v>1793</v>
      </c>
      <c r="B989" t="s">
        <v>2074</v>
      </c>
      <c r="C989" t="s">
        <v>2078</v>
      </c>
      <c r="D989">
        <v>12</v>
      </c>
      <c r="E989" t="s">
        <v>1447</v>
      </c>
      <c r="F989" t="s">
        <v>2081</v>
      </c>
      <c r="G989" t="s">
        <v>1811</v>
      </c>
      <c r="H989" t="s">
        <v>1799</v>
      </c>
      <c r="I989">
        <v>0</v>
      </c>
      <c r="J989" t="s">
        <v>1799</v>
      </c>
      <c r="K989" t="s">
        <v>1799</v>
      </c>
      <c r="L989" t="s">
        <v>1799</v>
      </c>
      <c r="M989" t="s">
        <v>1799</v>
      </c>
      <c r="N989" t="s">
        <v>1799</v>
      </c>
      <c r="O989" s="184" t="str">
        <f>"["&amp;$C989&amp;"]["&amp;$D989&amp;"]["&amp;$F989&amp;"]"</f>
        <v>[S06_AccredCertVerifiersAnnexI][12][NumberCertified]</v>
      </c>
    </row>
    <row r="990" spans="1:15" x14ac:dyDescent="0.3">
      <c r="A990" t="s">
        <v>1793</v>
      </c>
      <c r="B990" t="s">
        <v>2074</v>
      </c>
      <c r="C990" t="s">
        <v>2078</v>
      </c>
      <c r="D990">
        <v>13</v>
      </c>
      <c r="E990" t="s">
        <v>1447</v>
      </c>
      <c r="F990" t="s">
        <v>2081</v>
      </c>
      <c r="G990" t="s">
        <v>1811</v>
      </c>
      <c r="H990" t="s">
        <v>1799</v>
      </c>
      <c r="I990">
        <v>0</v>
      </c>
      <c r="J990" t="s">
        <v>1799</v>
      </c>
      <c r="K990" t="s">
        <v>1799</v>
      </c>
      <c r="L990" t="s">
        <v>1799</v>
      </c>
      <c r="M990" t="s">
        <v>1799</v>
      </c>
      <c r="N990" t="s">
        <v>1799</v>
      </c>
      <c r="O990" s="184" t="str">
        <f>"["&amp;$C990&amp;"]["&amp;$D990&amp;"]["&amp;$F990&amp;"]"</f>
        <v>[S06_AccredCertVerifiersAnnexI][13][NumberCertified]</v>
      </c>
    </row>
    <row r="991" spans="1:15" x14ac:dyDescent="0.3">
      <c r="A991" t="s">
        <v>1793</v>
      </c>
      <c r="B991" t="s">
        <v>2074</v>
      </c>
      <c r="C991" t="s">
        <v>2078</v>
      </c>
      <c r="D991">
        <v>15</v>
      </c>
      <c r="E991" t="s">
        <v>1447</v>
      </c>
      <c r="F991" t="s">
        <v>2081</v>
      </c>
      <c r="G991" t="s">
        <v>1811</v>
      </c>
      <c r="H991" t="s">
        <v>1799</v>
      </c>
      <c r="I991">
        <v>0</v>
      </c>
      <c r="J991" t="s">
        <v>1799</v>
      </c>
      <c r="K991" t="s">
        <v>1799</v>
      </c>
      <c r="L991" t="s">
        <v>1799</v>
      </c>
      <c r="M991" t="s">
        <v>1799</v>
      </c>
      <c r="N991" t="s">
        <v>1799</v>
      </c>
      <c r="O991" s="184" t="str">
        <f>"["&amp;$C991&amp;"]["&amp;$D991&amp;"]["&amp;$F991&amp;"]"</f>
        <v>[S06_AccredCertVerifiersAnnexI][15][NumberCertified]</v>
      </c>
    </row>
    <row r="992" spans="1:15" x14ac:dyDescent="0.3">
      <c r="A992" t="s">
        <v>1793</v>
      </c>
      <c r="B992" t="s">
        <v>2074</v>
      </c>
      <c r="C992" t="s">
        <v>2078</v>
      </c>
      <c r="D992">
        <v>16</v>
      </c>
      <c r="E992" t="s">
        <v>1447</v>
      </c>
      <c r="F992" t="s">
        <v>2081</v>
      </c>
      <c r="G992" t="s">
        <v>1811</v>
      </c>
      <c r="H992" t="s">
        <v>1799</v>
      </c>
      <c r="I992">
        <v>0</v>
      </c>
      <c r="J992" t="s">
        <v>1799</v>
      </c>
      <c r="K992" t="s">
        <v>1799</v>
      </c>
      <c r="L992" t="s">
        <v>1799</v>
      </c>
      <c r="M992" t="s">
        <v>1799</v>
      </c>
      <c r="N992" t="s">
        <v>1799</v>
      </c>
      <c r="O992" s="184" t="str">
        <f>"["&amp;$C992&amp;"]["&amp;$D992&amp;"]["&amp;$F992&amp;"]"</f>
        <v>[S06_AccredCertVerifiersAnnexI][16][NumberCertified]</v>
      </c>
    </row>
    <row r="993" spans="1:15" x14ac:dyDescent="0.3">
      <c r="A993" t="s">
        <v>1793</v>
      </c>
      <c r="B993" t="s">
        <v>2074</v>
      </c>
      <c r="C993" t="s">
        <v>2078</v>
      </c>
      <c r="D993">
        <v>17</v>
      </c>
      <c r="E993" t="s">
        <v>1447</v>
      </c>
      <c r="F993" t="s">
        <v>2081</v>
      </c>
      <c r="G993" t="s">
        <v>1811</v>
      </c>
      <c r="H993" t="s">
        <v>1799</v>
      </c>
      <c r="I993">
        <v>0</v>
      </c>
      <c r="J993" t="s">
        <v>1799</v>
      </c>
      <c r="K993" t="s">
        <v>1799</v>
      </c>
      <c r="L993" t="s">
        <v>1799</v>
      </c>
      <c r="M993" t="s">
        <v>1799</v>
      </c>
      <c r="N993" t="s">
        <v>1799</v>
      </c>
      <c r="O993" s="184" t="str">
        <f>"["&amp;$C993&amp;"]["&amp;$D993&amp;"]["&amp;$F993&amp;"]"</f>
        <v>[S06_AccredCertVerifiersAnnexI][17][NumberCertified]</v>
      </c>
    </row>
    <row r="994" spans="1:15" x14ac:dyDescent="0.3">
      <c r="A994" t="s">
        <v>1793</v>
      </c>
      <c r="B994" t="s">
        <v>2074</v>
      </c>
      <c r="C994" t="s">
        <v>2078</v>
      </c>
      <c r="D994">
        <v>18</v>
      </c>
      <c r="E994" t="s">
        <v>1447</v>
      </c>
      <c r="F994" t="s">
        <v>2081</v>
      </c>
      <c r="G994" t="s">
        <v>1811</v>
      </c>
      <c r="H994" t="s">
        <v>1799</v>
      </c>
      <c r="I994">
        <v>0</v>
      </c>
      <c r="J994" t="s">
        <v>1799</v>
      </c>
      <c r="K994" t="s">
        <v>1799</v>
      </c>
      <c r="L994" t="s">
        <v>1799</v>
      </c>
      <c r="M994" t="s">
        <v>1799</v>
      </c>
      <c r="N994" t="s">
        <v>1799</v>
      </c>
      <c r="O994" s="184" t="str">
        <f>"["&amp;$C994&amp;"]["&amp;$D994&amp;"]["&amp;$F994&amp;"]"</f>
        <v>[S06_AccredCertVerifiersAnnexI][18][NumberCertified]</v>
      </c>
    </row>
    <row r="995" spans="1:15" x14ac:dyDescent="0.3">
      <c r="A995" t="s">
        <v>1793</v>
      </c>
      <c r="B995" t="s">
        <v>2074</v>
      </c>
      <c r="C995" t="s">
        <v>2078</v>
      </c>
      <c r="D995">
        <v>19</v>
      </c>
      <c r="E995" t="s">
        <v>1447</v>
      </c>
      <c r="F995" t="s">
        <v>2081</v>
      </c>
      <c r="G995" t="s">
        <v>1811</v>
      </c>
      <c r="H995" t="s">
        <v>1799</v>
      </c>
      <c r="I995">
        <v>0</v>
      </c>
      <c r="J995" t="s">
        <v>1799</v>
      </c>
      <c r="K995" t="s">
        <v>1799</v>
      </c>
      <c r="L995" t="s">
        <v>1799</v>
      </c>
      <c r="M995" t="s">
        <v>1799</v>
      </c>
      <c r="N995" t="s">
        <v>1799</v>
      </c>
      <c r="O995" s="184" t="str">
        <f>"["&amp;$C995&amp;"]["&amp;$D995&amp;"]["&amp;$F995&amp;"]"</f>
        <v>[S06_AccredCertVerifiersAnnexI][19][NumberCertified]</v>
      </c>
    </row>
    <row r="996" spans="1:15" x14ac:dyDescent="0.3">
      <c r="A996" t="s">
        <v>1793</v>
      </c>
      <c r="B996" t="s">
        <v>2074</v>
      </c>
      <c r="C996" t="s">
        <v>2078</v>
      </c>
      <c r="D996">
        <v>20</v>
      </c>
      <c r="E996" t="s">
        <v>1447</v>
      </c>
      <c r="F996" t="s">
        <v>2081</v>
      </c>
      <c r="G996" t="s">
        <v>1811</v>
      </c>
      <c r="H996" t="s">
        <v>1799</v>
      </c>
      <c r="I996">
        <v>0</v>
      </c>
      <c r="J996" t="s">
        <v>1799</v>
      </c>
      <c r="K996" t="s">
        <v>1799</v>
      </c>
      <c r="L996" t="s">
        <v>1799</v>
      </c>
      <c r="M996" t="s">
        <v>1799</v>
      </c>
      <c r="N996" t="s">
        <v>1799</v>
      </c>
      <c r="O996" s="184" t="str">
        <f>"["&amp;$C996&amp;"]["&amp;$D996&amp;"]["&amp;$F996&amp;"]"</f>
        <v>[S06_AccredCertVerifiersAnnexI][20][NumberCertified]</v>
      </c>
    </row>
    <row r="997" spans="1:15" x14ac:dyDescent="0.3">
      <c r="A997" t="s">
        <v>1793</v>
      </c>
      <c r="B997" t="s">
        <v>2074</v>
      </c>
      <c r="C997" t="s">
        <v>2078</v>
      </c>
      <c r="D997">
        <v>21</v>
      </c>
      <c r="E997" t="s">
        <v>1447</v>
      </c>
      <c r="F997" t="s">
        <v>2081</v>
      </c>
      <c r="G997" t="s">
        <v>1811</v>
      </c>
      <c r="H997" t="s">
        <v>1799</v>
      </c>
      <c r="I997">
        <v>0</v>
      </c>
      <c r="J997" t="s">
        <v>1799</v>
      </c>
      <c r="K997" t="s">
        <v>1799</v>
      </c>
      <c r="L997" t="s">
        <v>1799</v>
      </c>
      <c r="M997" t="s">
        <v>1799</v>
      </c>
      <c r="N997" t="s">
        <v>1799</v>
      </c>
      <c r="O997" s="184" t="str">
        <f>"["&amp;$C997&amp;"]["&amp;$D997&amp;"]["&amp;$F997&amp;"]"</f>
        <v>[S06_AccredCertVerifiersAnnexI][21][NumberCertified]</v>
      </c>
    </row>
    <row r="998" spans="1:15" x14ac:dyDescent="0.3">
      <c r="A998" t="s">
        <v>1793</v>
      </c>
      <c r="B998" t="s">
        <v>2074</v>
      </c>
      <c r="C998" t="s">
        <v>2078</v>
      </c>
      <c r="D998">
        <v>22</v>
      </c>
      <c r="E998" t="s">
        <v>1447</v>
      </c>
      <c r="F998" t="s">
        <v>2081</v>
      </c>
      <c r="G998" t="s">
        <v>1811</v>
      </c>
      <c r="H998" t="s">
        <v>1799</v>
      </c>
      <c r="I998">
        <v>0</v>
      </c>
      <c r="J998" t="s">
        <v>1799</v>
      </c>
      <c r="K998" t="s">
        <v>1799</v>
      </c>
      <c r="L998" t="s">
        <v>1799</v>
      </c>
      <c r="M998" t="s">
        <v>1799</v>
      </c>
      <c r="N998" t="s">
        <v>1799</v>
      </c>
      <c r="O998" s="184" t="str">
        <f>"["&amp;$C998&amp;"]["&amp;$D998&amp;"]["&amp;$F998&amp;"]"</f>
        <v>[S06_AccredCertVerifiersAnnexI][22][NumberCertified]</v>
      </c>
    </row>
    <row r="999" spans="1:15" x14ac:dyDescent="0.3">
      <c r="A999" t="s">
        <v>1793</v>
      </c>
      <c r="B999" t="s">
        <v>2074</v>
      </c>
      <c r="C999" t="s">
        <v>2078</v>
      </c>
      <c r="D999">
        <v>23</v>
      </c>
      <c r="E999" t="s">
        <v>1447</v>
      </c>
      <c r="F999" t="s">
        <v>2081</v>
      </c>
      <c r="G999" t="s">
        <v>1811</v>
      </c>
      <c r="H999" t="s">
        <v>1799</v>
      </c>
      <c r="I999">
        <v>0</v>
      </c>
      <c r="J999" t="s">
        <v>1799</v>
      </c>
      <c r="K999" t="s">
        <v>1799</v>
      </c>
      <c r="L999" t="s">
        <v>1799</v>
      </c>
      <c r="M999" t="s">
        <v>1799</v>
      </c>
      <c r="N999" t="s">
        <v>1799</v>
      </c>
      <c r="O999" s="184" t="str">
        <f>"["&amp;$C999&amp;"]["&amp;$D999&amp;"]["&amp;$F999&amp;"]"</f>
        <v>[S06_AccredCertVerifiersAnnexI][23][NumberCertified]</v>
      </c>
    </row>
    <row r="1000" spans="1:15" x14ac:dyDescent="0.3">
      <c r="A1000" t="s">
        <v>1793</v>
      </c>
      <c r="B1000" t="s">
        <v>2074</v>
      </c>
      <c r="C1000" t="s">
        <v>2078</v>
      </c>
      <c r="D1000">
        <v>24</v>
      </c>
      <c r="E1000" t="s">
        <v>1447</v>
      </c>
      <c r="F1000" t="s">
        <v>2081</v>
      </c>
      <c r="G1000" t="s">
        <v>1811</v>
      </c>
      <c r="H1000" t="s">
        <v>1799</v>
      </c>
      <c r="I1000">
        <v>0</v>
      </c>
      <c r="J1000" t="s">
        <v>1799</v>
      </c>
      <c r="K1000" t="s">
        <v>1799</v>
      </c>
      <c r="L1000" t="s">
        <v>1799</v>
      </c>
      <c r="M1000" t="s">
        <v>1799</v>
      </c>
      <c r="N1000" t="s">
        <v>1799</v>
      </c>
      <c r="O1000" s="184" t="str">
        <f>"["&amp;$C1000&amp;"]["&amp;$D1000&amp;"]["&amp;$F1000&amp;"]"</f>
        <v>[S06_AccredCertVerifiersAnnexI][24][NumberCertified]</v>
      </c>
    </row>
    <row r="1001" spans="1:15" x14ac:dyDescent="0.3">
      <c r="A1001" t="s">
        <v>1793</v>
      </c>
      <c r="B1001" t="s">
        <v>2082</v>
      </c>
      <c r="C1001" t="s">
        <v>2083</v>
      </c>
      <c r="D1001">
        <v>1</v>
      </c>
      <c r="E1001" t="s">
        <v>1447</v>
      </c>
      <c r="F1001" t="s">
        <v>2084</v>
      </c>
      <c r="G1001" t="s">
        <v>1833</v>
      </c>
      <c r="H1001" t="s">
        <v>1799</v>
      </c>
      <c r="I1001" t="s">
        <v>1799</v>
      </c>
      <c r="J1001" t="s">
        <v>1799</v>
      </c>
      <c r="K1001" t="s">
        <v>1799</v>
      </c>
      <c r="L1001" t="s">
        <v>1419</v>
      </c>
      <c r="M1001" t="s">
        <v>1799</v>
      </c>
      <c r="N1001" t="s">
        <v>1799</v>
      </c>
      <c r="O1001" s="184" t="str">
        <f>"["&amp;$C1001&amp;"]["&amp;$D1001&amp;"]["&amp;$F1001&amp;"]"</f>
        <v>[S06_ApplicationInformationExchangeRequirements1][1][FromOwnMS]</v>
      </c>
    </row>
    <row r="1002" spans="1:15" x14ac:dyDescent="0.3">
      <c r="A1002" t="s">
        <v>1793</v>
      </c>
      <c r="B1002" t="s">
        <v>2082</v>
      </c>
      <c r="C1002" t="s">
        <v>2083</v>
      </c>
      <c r="D1002">
        <v>1</v>
      </c>
      <c r="E1002" t="s">
        <v>1447</v>
      </c>
      <c r="F1002" t="s">
        <v>2085</v>
      </c>
      <c r="G1002" t="s">
        <v>1833</v>
      </c>
      <c r="H1002" t="s">
        <v>1799</v>
      </c>
      <c r="I1002" t="s">
        <v>1799</v>
      </c>
      <c r="J1002" t="s">
        <v>1799</v>
      </c>
      <c r="K1002" t="s">
        <v>1799</v>
      </c>
      <c r="L1002" t="s">
        <v>1419</v>
      </c>
      <c r="M1002" t="s">
        <v>1799</v>
      </c>
      <c r="N1002" t="s">
        <v>1799</v>
      </c>
      <c r="O1002" s="184" t="str">
        <f>"["&amp;$C1002&amp;"]["&amp;$D1002&amp;"]["&amp;$F1002&amp;"]"</f>
        <v>[S06_ApplicationInformationExchangeRequirements1][1][FromOtherMS]</v>
      </c>
    </row>
    <row r="1003" spans="1:15" x14ac:dyDescent="0.3">
      <c r="A1003" t="s">
        <v>1793</v>
      </c>
      <c r="B1003" t="s">
        <v>2082</v>
      </c>
      <c r="C1003" t="s">
        <v>2083</v>
      </c>
      <c r="D1003">
        <v>2</v>
      </c>
      <c r="E1003" t="s">
        <v>1447</v>
      </c>
      <c r="F1003" t="s">
        <v>2084</v>
      </c>
      <c r="G1003" t="s">
        <v>1833</v>
      </c>
      <c r="H1003" t="s">
        <v>1799</v>
      </c>
      <c r="I1003" t="s">
        <v>1799</v>
      </c>
      <c r="J1003" t="s">
        <v>1799</v>
      </c>
      <c r="K1003" t="s">
        <v>1799</v>
      </c>
      <c r="L1003" t="s">
        <v>1419</v>
      </c>
      <c r="M1003" t="s">
        <v>1799</v>
      </c>
      <c r="N1003" t="s">
        <v>1799</v>
      </c>
      <c r="O1003" s="184" t="str">
        <f>"["&amp;$C1003&amp;"]["&amp;$D1003&amp;"]["&amp;$F1003&amp;"]"</f>
        <v>[S06_ApplicationInformationExchangeRequirements1][2][FromOwnMS]</v>
      </c>
    </row>
    <row r="1004" spans="1:15" x14ac:dyDescent="0.3">
      <c r="A1004" t="s">
        <v>1793</v>
      </c>
      <c r="B1004" t="s">
        <v>2082</v>
      </c>
      <c r="C1004" t="s">
        <v>2083</v>
      </c>
      <c r="D1004">
        <v>2</v>
      </c>
      <c r="E1004" t="s">
        <v>1447</v>
      </c>
      <c r="F1004" t="s">
        <v>2085</v>
      </c>
      <c r="G1004" t="s">
        <v>1833</v>
      </c>
      <c r="H1004" t="s">
        <v>1799</v>
      </c>
      <c r="I1004" t="s">
        <v>1799</v>
      </c>
      <c r="J1004" t="s">
        <v>1799</v>
      </c>
      <c r="K1004" t="s">
        <v>1799</v>
      </c>
      <c r="L1004" t="s">
        <v>1477</v>
      </c>
      <c r="M1004" t="s">
        <v>1799</v>
      </c>
      <c r="N1004" t="s">
        <v>1799</v>
      </c>
      <c r="O1004" s="184" t="str">
        <f>"["&amp;$C1004&amp;"]["&amp;$D1004&amp;"]["&amp;$F1004&amp;"]"</f>
        <v>[S06_ApplicationInformationExchangeRequirements1][2][FromOtherMS]</v>
      </c>
    </row>
    <row r="1005" spans="1:15" x14ac:dyDescent="0.3">
      <c r="A1005" t="s">
        <v>1793</v>
      </c>
      <c r="B1005" t="s">
        <v>2082</v>
      </c>
      <c r="C1005" t="s">
        <v>2083</v>
      </c>
      <c r="D1005">
        <v>3</v>
      </c>
      <c r="E1005" t="s">
        <v>1447</v>
      </c>
      <c r="F1005" t="s">
        <v>2084</v>
      </c>
      <c r="G1005" t="s">
        <v>1833</v>
      </c>
      <c r="H1005" t="s">
        <v>1799</v>
      </c>
      <c r="I1005" t="s">
        <v>1799</v>
      </c>
      <c r="J1005" t="s">
        <v>1799</v>
      </c>
      <c r="K1005" t="s">
        <v>1799</v>
      </c>
      <c r="L1005" t="s">
        <v>1419</v>
      </c>
      <c r="M1005" t="s">
        <v>1799</v>
      </c>
      <c r="N1005" t="s">
        <v>1799</v>
      </c>
      <c r="O1005" s="184" t="str">
        <f>"["&amp;$C1005&amp;"]["&amp;$D1005&amp;"]["&amp;$F1005&amp;"]"</f>
        <v>[S06_ApplicationInformationExchangeRequirements1][3][FromOwnMS]</v>
      </c>
    </row>
    <row r="1006" spans="1:15" x14ac:dyDescent="0.3">
      <c r="A1006" t="s">
        <v>1793</v>
      </c>
      <c r="B1006" t="s">
        <v>2082</v>
      </c>
      <c r="C1006" t="s">
        <v>2083</v>
      </c>
      <c r="D1006">
        <v>3</v>
      </c>
      <c r="E1006" t="s">
        <v>1447</v>
      </c>
      <c r="F1006" t="s">
        <v>2085</v>
      </c>
      <c r="G1006" t="s">
        <v>1833</v>
      </c>
      <c r="H1006" t="s">
        <v>1799</v>
      </c>
      <c r="I1006" t="s">
        <v>1799</v>
      </c>
      <c r="J1006" t="s">
        <v>1799</v>
      </c>
      <c r="K1006" t="s">
        <v>1799</v>
      </c>
      <c r="L1006" t="s">
        <v>1419</v>
      </c>
      <c r="M1006" t="s">
        <v>1799</v>
      </c>
      <c r="N1006" t="s">
        <v>1799</v>
      </c>
      <c r="O1006" s="184" t="str">
        <f>"["&amp;$C1006&amp;"]["&amp;$D1006&amp;"]["&amp;$F1006&amp;"]"</f>
        <v>[S06_ApplicationInformationExchangeRequirements1][3][FromOtherMS]</v>
      </c>
    </row>
    <row r="1007" spans="1:15" x14ac:dyDescent="0.3">
      <c r="A1007" t="s">
        <v>1793</v>
      </c>
      <c r="B1007" t="s">
        <v>2082</v>
      </c>
      <c r="C1007" t="s">
        <v>2086</v>
      </c>
      <c r="D1007">
        <v>1</v>
      </c>
      <c r="E1007" t="s">
        <v>1447</v>
      </c>
      <c r="F1007" t="s">
        <v>2087</v>
      </c>
      <c r="G1007" t="s">
        <v>1811</v>
      </c>
      <c r="H1007" t="s">
        <v>1799</v>
      </c>
      <c r="I1007">
        <v>2</v>
      </c>
      <c r="J1007" t="s">
        <v>1799</v>
      </c>
      <c r="K1007" t="s">
        <v>1799</v>
      </c>
      <c r="L1007" t="s">
        <v>1799</v>
      </c>
      <c r="M1007" t="s">
        <v>1799</v>
      </c>
      <c r="N1007" t="s">
        <v>1799</v>
      </c>
      <c r="O1007" s="184" t="str">
        <f>"["&amp;$C1007&amp;"]["&amp;$D1007&amp;"]["&amp;$F1007&amp;"]"</f>
        <v>[S06_ApplicationInformationExchangeRequirements2][1][NumberImposedOnVerifiersSuspension]</v>
      </c>
    </row>
    <row r="1008" spans="1:15" x14ac:dyDescent="0.3">
      <c r="A1008" t="s">
        <v>1793</v>
      </c>
      <c r="B1008" t="s">
        <v>2082</v>
      </c>
      <c r="C1008" t="s">
        <v>2086</v>
      </c>
      <c r="D1008">
        <v>1</v>
      </c>
      <c r="E1008" t="s">
        <v>1447</v>
      </c>
      <c r="F1008" t="s">
        <v>2088</v>
      </c>
      <c r="G1008" t="s">
        <v>1811</v>
      </c>
      <c r="H1008" t="s">
        <v>1799</v>
      </c>
      <c r="I1008">
        <v>0</v>
      </c>
      <c r="J1008" t="s">
        <v>1799</v>
      </c>
      <c r="K1008" t="s">
        <v>1799</v>
      </c>
      <c r="L1008" t="s">
        <v>1799</v>
      </c>
      <c r="M1008" t="s">
        <v>1799</v>
      </c>
      <c r="N1008" t="s">
        <v>1799</v>
      </c>
      <c r="O1008" s="184" t="str">
        <f>"["&amp;$C1008&amp;"]["&amp;$D1008&amp;"]["&amp;$F1008&amp;"]"</f>
        <v>[S06_ApplicationInformationExchangeRequirements2][1][NumberImposedOnVerifiersWithdrawal]</v>
      </c>
    </row>
    <row r="1009" spans="1:15" x14ac:dyDescent="0.3">
      <c r="A1009" t="s">
        <v>1793</v>
      </c>
      <c r="B1009" t="s">
        <v>2082</v>
      </c>
      <c r="C1009" t="s">
        <v>2086</v>
      </c>
      <c r="D1009">
        <v>1</v>
      </c>
      <c r="E1009" t="s">
        <v>1447</v>
      </c>
      <c r="F1009" t="s">
        <v>2089</v>
      </c>
      <c r="G1009" t="s">
        <v>1811</v>
      </c>
      <c r="H1009" t="s">
        <v>1799</v>
      </c>
      <c r="I1009">
        <v>1</v>
      </c>
      <c r="J1009" t="s">
        <v>1799</v>
      </c>
      <c r="K1009" t="s">
        <v>1799</v>
      </c>
      <c r="L1009" t="s">
        <v>1799</v>
      </c>
      <c r="M1009" t="s">
        <v>1799</v>
      </c>
      <c r="N1009" t="s">
        <v>1799</v>
      </c>
      <c r="O1009" s="184" t="str">
        <f>"["&amp;$C1009&amp;"]["&amp;$D1009&amp;"]["&amp;$F1009&amp;"]"</f>
        <v>[S06_ApplicationInformationExchangeRequirements2][1][NumberImposedOnVerifiersReductionOfScope]</v>
      </c>
    </row>
    <row r="1010" spans="1:15" x14ac:dyDescent="0.3">
      <c r="A1010" t="s">
        <v>1793</v>
      </c>
      <c r="B1010" t="s">
        <v>2082</v>
      </c>
      <c r="C1010" t="s">
        <v>2086</v>
      </c>
      <c r="D1010">
        <v>2</v>
      </c>
      <c r="E1010" t="s">
        <v>1447</v>
      </c>
      <c r="F1010" t="s">
        <v>2087</v>
      </c>
      <c r="G1010" t="s">
        <v>1811</v>
      </c>
      <c r="H1010" t="s">
        <v>1799</v>
      </c>
      <c r="I1010">
        <v>0</v>
      </c>
      <c r="J1010" t="s">
        <v>1799</v>
      </c>
      <c r="K1010" t="s">
        <v>1799</v>
      </c>
      <c r="L1010" t="s">
        <v>1799</v>
      </c>
      <c r="M1010" t="s">
        <v>1799</v>
      </c>
      <c r="N1010" t="s">
        <v>1799</v>
      </c>
      <c r="O1010" s="184" t="str">
        <f>"["&amp;$C1010&amp;"]["&amp;$D1010&amp;"]["&amp;$F1010&amp;"]"</f>
        <v>[S06_ApplicationInformationExchangeRequirements2][2][NumberImposedOnVerifiersSuspension]</v>
      </c>
    </row>
    <row r="1011" spans="1:15" x14ac:dyDescent="0.3">
      <c r="A1011" t="s">
        <v>1793</v>
      </c>
      <c r="B1011" t="s">
        <v>2082</v>
      </c>
      <c r="C1011" t="s">
        <v>2086</v>
      </c>
      <c r="D1011">
        <v>2</v>
      </c>
      <c r="E1011" t="s">
        <v>1447</v>
      </c>
      <c r="F1011" t="s">
        <v>2088</v>
      </c>
      <c r="G1011" t="s">
        <v>1811</v>
      </c>
      <c r="H1011" t="s">
        <v>1799</v>
      </c>
      <c r="I1011">
        <v>0</v>
      </c>
      <c r="J1011" t="s">
        <v>1799</v>
      </c>
      <c r="K1011" t="s">
        <v>1799</v>
      </c>
      <c r="L1011" t="s">
        <v>1799</v>
      </c>
      <c r="M1011" t="s">
        <v>1799</v>
      </c>
      <c r="N1011" t="s">
        <v>1799</v>
      </c>
      <c r="O1011" s="184" t="str">
        <f>"["&amp;$C1011&amp;"]["&amp;$D1011&amp;"]["&amp;$F1011&amp;"]"</f>
        <v>[S06_ApplicationInformationExchangeRequirements2][2][NumberImposedOnVerifiersWithdrawal]</v>
      </c>
    </row>
    <row r="1012" spans="1:15" x14ac:dyDescent="0.3">
      <c r="A1012" t="s">
        <v>1793</v>
      </c>
      <c r="B1012" t="s">
        <v>2082</v>
      </c>
      <c r="C1012" t="s">
        <v>2086</v>
      </c>
      <c r="D1012">
        <v>2</v>
      </c>
      <c r="E1012" t="s">
        <v>1447</v>
      </c>
      <c r="F1012" t="s">
        <v>2089</v>
      </c>
      <c r="G1012" t="s">
        <v>1811</v>
      </c>
      <c r="H1012" t="s">
        <v>1799</v>
      </c>
      <c r="I1012">
        <v>0</v>
      </c>
      <c r="J1012" t="s">
        <v>1799</v>
      </c>
      <c r="K1012" t="s">
        <v>1799</v>
      </c>
      <c r="L1012" t="s">
        <v>1799</v>
      </c>
      <c r="M1012" t="s">
        <v>1799</v>
      </c>
      <c r="N1012" t="s">
        <v>1799</v>
      </c>
      <c r="O1012" s="184" t="str">
        <f>"["&amp;$C1012&amp;"]["&amp;$D1012&amp;"]["&amp;$F1012&amp;"]"</f>
        <v>[S06_ApplicationInformationExchangeRequirements2][2][NumberImposedOnVerifiersReductionOfScope]</v>
      </c>
    </row>
    <row r="1013" spans="1:15" x14ac:dyDescent="0.3">
      <c r="A1013" t="s">
        <v>1793</v>
      </c>
      <c r="B1013" t="s">
        <v>2082</v>
      </c>
      <c r="C1013" t="s">
        <v>2090</v>
      </c>
      <c r="D1013">
        <v>0</v>
      </c>
      <c r="E1013" t="s">
        <v>1447</v>
      </c>
      <c r="F1013" t="s">
        <v>2091</v>
      </c>
      <c r="G1013" t="s">
        <v>1811</v>
      </c>
      <c r="H1013" t="s">
        <v>1799</v>
      </c>
      <c r="I1013">
        <v>0</v>
      </c>
      <c r="J1013" t="s">
        <v>1799</v>
      </c>
      <c r="K1013" t="s">
        <v>1799</v>
      </c>
      <c r="L1013" t="s">
        <v>1799</v>
      </c>
      <c r="M1013" t="s">
        <v>1799</v>
      </c>
      <c r="N1013" t="s">
        <v>1799</v>
      </c>
      <c r="O1013" s="184" t="str">
        <f>"["&amp;$C1013&amp;"]["&amp;$D1013&amp;"]["&amp;$F1013&amp;"]"</f>
        <v>[S06_ApplicationInformationExchangeRequirements3][0][TimesSurveillanceRequested]</v>
      </c>
    </row>
    <row r="1014" spans="1:15" x14ac:dyDescent="0.3">
      <c r="A1014" t="s">
        <v>1793</v>
      </c>
      <c r="B1014" t="s">
        <v>2082</v>
      </c>
      <c r="C1014" t="s">
        <v>2092</v>
      </c>
      <c r="D1014">
        <v>1</v>
      </c>
      <c r="E1014" t="s">
        <v>1447</v>
      </c>
      <c r="F1014" t="s">
        <v>2093</v>
      </c>
      <c r="G1014" t="s">
        <v>1811</v>
      </c>
      <c r="H1014" t="s">
        <v>1799</v>
      </c>
      <c r="I1014">
        <v>0</v>
      </c>
      <c r="J1014" t="s">
        <v>1799</v>
      </c>
      <c r="K1014" t="s">
        <v>1799</v>
      </c>
      <c r="L1014" t="s">
        <v>1799</v>
      </c>
      <c r="M1014" t="s">
        <v>1799</v>
      </c>
      <c r="N1014" t="s">
        <v>1799</v>
      </c>
      <c r="O1014" s="184" t="str">
        <f>"["&amp;$C1014&amp;"]["&amp;$D1014&amp;"]["&amp;$F1014&amp;"]"</f>
        <v>[S06_ApplicationInformationExchangeRequirements4][1][NumberOfIssues]</v>
      </c>
    </row>
    <row r="1015" spans="1:15" x14ac:dyDescent="0.3">
      <c r="A1015" t="s">
        <v>1793</v>
      </c>
      <c r="B1015" t="s">
        <v>2082</v>
      </c>
      <c r="C1015" t="s">
        <v>2092</v>
      </c>
      <c r="D1015">
        <v>1</v>
      </c>
      <c r="E1015" t="s">
        <v>1447</v>
      </c>
      <c r="F1015" t="s">
        <v>2094</v>
      </c>
      <c r="G1015" t="s">
        <v>1811</v>
      </c>
      <c r="H1015" t="s">
        <v>1799</v>
      </c>
      <c r="I1015">
        <v>0</v>
      </c>
      <c r="J1015" t="s">
        <v>1799</v>
      </c>
      <c r="K1015" t="s">
        <v>1799</v>
      </c>
      <c r="L1015" t="s">
        <v>1799</v>
      </c>
      <c r="M1015" t="s">
        <v>1799</v>
      </c>
      <c r="N1015" t="s">
        <v>1799</v>
      </c>
      <c r="O1015" s="184" t="str">
        <f>"["&amp;$C1015&amp;"]["&amp;$D1015&amp;"]["&amp;$F1015&amp;"]"</f>
        <v>[S06_ApplicationInformationExchangeRequirements4][1][NumberOfIssuesResolved]</v>
      </c>
    </row>
    <row r="1016" spans="1:15" x14ac:dyDescent="0.3">
      <c r="A1016" t="s">
        <v>1793</v>
      </c>
      <c r="B1016" t="s">
        <v>2082</v>
      </c>
      <c r="C1016" t="s">
        <v>2092</v>
      </c>
      <c r="D1016">
        <v>1</v>
      </c>
      <c r="E1016" t="s">
        <v>1447</v>
      </c>
      <c r="F1016" t="s">
        <v>2095</v>
      </c>
      <c r="G1016" t="s">
        <v>1811</v>
      </c>
      <c r="H1016" t="s">
        <v>1799</v>
      </c>
      <c r="I1016">
        <v>0</v>
      </c>
      <c r="J1016" t="s">
        <v>1799</v>
      </c>
      <c r="K1016" t="s">
        <v>1799</v>
      </c>
      <c r="L1016" t="s">
        <v>1799</v>
      </c>
      <c r="M1016" t="s">
        <v>1799</v>
      </c>
      <c r="N1016" t="s">
        <v>1799</v>
      </c>
      <c r="O1016" s="184" t="str">
        <f>"["&amp;$C1016&amp;"]["&amp;$D1016&amp;"]["&amp;$F1016&amp;"]"</f>
        <v>[S06_ApplicationInformationExchangeRequirements4][1][NumberOfPriorIssuesResolved]</v>
      </c>
    </row>
    <row r="1017" spans="1:15" x14ac:dyDescent="0.3">
      <c r="A1017" t="s">
        <v>1793</v>
      </c>
      <c r="B1017" t="s">
        <v>2082</v>
      </c>
      <c r="C1017" t="s">
        <v>2092</v>
      </c>
      <c r="D1017">
        <v>2</v>
      </c>
      <c r="E1017" t="s">
        <v>1447</v>
      </c>
      <c r="F1017" t="s">
        <v>2093</v>
      </c>
      <c r="G1017" t="s">
        <v>1811</v>
      </c>
      <c r="H1017" t="s">
        <v>1799</v>
      </c>
      <c r="I1017">
        <v>0</v>
      </c>
      <c r="J1017" t="s">
        <v>1799</v>
      </c>
      <c r="K1017" t="s">
        <v>1799</v>
      </c>
      <c r="L1017" t="s">
        <v>1799</v>
      </c>
      <c r="M1017" t="s">
        <v>1799</v>
      </c>
      <c r="N1017" t="s">
        <v>1799</v>
      </c>
      <c r="O1017" s="184" t="str">
        <f>"["&amp;$C1017&amp;"]["&amp;$D1017&amp;"]["&amp;$F1017&amp;"]"</f>
        <v>[S06_ApplicationInformationExchangeRequirements4][2][NumberOfIssues]</v>
      </c>
    </row>
    <row r="1018" spans="1:15" x14ac:dyDescent="0.3">
      <c r="A1018" t="s">
        <v>1793</v>
      </c>
      <c r="B1018" t="s">
        <v>2082</v>
      </c>
      <c r="C1018" t="s">
        <v>2092</v>
      </c>
      <c r="D1018">
        <v>2</v>
      </c>
      <c r="E1018" t="s">
        <v>1447</v>
      </c>
      <c r="F1018" t="s">
        <v>2094</v>
      </c>
      <c r="G1018" t="s">
        <v>1811</v>
      </c>
      <c r="H1018" t="s">
        <v>1799</v>
      </c>
      <c r="I1018">
        <v>0</v>
      </c>
      <c r="J1018" t="s">
        <v>1799</v>
      </c>
      <c r="K1018" t="s">
        <v>1799</v>
      </c>
      <c r="L1018" t="s">
        <v>1799</v>
      </c>
      <c r="M1018" t="s">
        <v>1799</v>
      </c>
      <c r="N1018" t="s">
        <v>1799</v>
      </c>
      <c r="O1018" s="184" t="str">
        <f>"["&amp;$C1018&amp;"]["&amp;$D1018&amp;"]["&amp;$F1018&amp;"]"</f>
        <v>[S06_ApplicationInformationExchangeRequirements4][2][NumberOfIssuesResolved]</v>
      </c>
    </row>
    <row r="1019" spans="1:15" x14ac:dyDescent="0.3">
      <c r="A1019" t="s">
        <v>1793</v>
      </c>
      <c r="B1019" t="s">
        <v>2082</v>
      </c>
      <c r="C1019" t="s">
        <v>2092</v>
      </c>
      <c r="D1019">
        <v>2</v>
      </c>
      <c r="E1019" t="s">
        <v>1447</v>
      </c>
      <c r="F1019" t="s">
        <v>2095</v>
      </c>
      <c r="G1019" t="s">
        <v>1811</v>
      </c>
      <c r="H1019" t="s">
        <v>1799</v>
      </c>
      <c r="I1019">
        <v>0</v>
      </c>
      <c r="J1019" t="s">
        <v>1799</v>
      </c>
      <c r="K1019" t="s">
        <v>1799</v>
      </c>
      <c r="L1019" t="s">
        <v>1799</v>
      </c>
      <c r="M1019" t="s">
        <v>1799</v>
      </c>
      <c r="N1019" t="s">
        <v>1799</v>
      </c>
      <c r="O1019" s="184" t="str">
        <f>"["&amp;$C1019&amp;"]["&amp;$D1019&amp;"]["&amp;$F1019&amp;"]"</f>
        <v>[S06_ApplicationInformationExchangeRequirements4][2][NumberOfPriorIssuesResolved]</v>
      </c>
    </row>
    <row r="1020" spans="1:15" x14ac:dyDescent="0.3">
      <c r="A1020" t="s">
        <v>1793</v>
      </c>
      <c r="B1020" t="s">
        <v>2082</v>
      </c>
      <c r="C1020" t="s">
        <v>2092</v>
      </c>
      <c r="D1020">
        <v>3</v>
      </c>
      <c r="E1020" t="s">
        <v>1447</v>
      </c>
      <c r="F1020" t="s">
        <v>2093</v>
      </c>
      <c r="G1020" t="s">
        <v>1811</v>
      </c>
      <c r="H1020" t="s">
        <v>1799</v>
      </c>
      <c r="I1020">
        <v>5</v>
      </c>
      <c r="J1020" t="s">
        <v>1799</v>
      </c>
      <c r="K1020" t="s">
        <v>1799</v>
      </c>
      <c r="L1020" t="s">
        <v>1799</v>
      </c>
      <c r="M1020" t="s">
        <v>1799</v>
      </c>
      <c r="N1020" t="s">
        <v>1799</v>
      </c>
      <c r="O1020" s="184" t="str">
        <f>"["&amp;$C1020&amp;"]["&amp;$D1020&amp;"]["&amp;$F1020&amp;"]"</f>
        <v>[S06_ApplicationInformationExchangeRequirements4][3][NumberOfIssues]</v>
      </c>
    </row>
    <row r="1021" spans="1:15" x14ac:dyDescent="0.3">
      <c r="A1021" t="s">
        <v>1793</v>
      </c>
      <c r="B1021" t="s">
        <v>2082</v>
      </c>
      <c r="C1021" t="s">
        <v>2092</v>
      </c>
      <c r="D1021">
        <v>3</v>
      </c>
      <c r="E1021" t="s">
        <v>1447</v>
      </c>
      <c r="F1021" t="s">
        <v>2094</v>
      </c>
      <c r="G1021" t="s">
        <v>1811</v>
      </c>
      <c r="H1021" t="s">
        <v>1799</v>
      </c>
      <c r="I1021">
        <v>1</v>
      </c>
      <c r="J1021" t="s">
        <v>1799</v>
      </c>
      <c r="K1021" t="s">
        <v>1799</v>
      </c>
      <c r="L1021" t="s">
        <v>1799</v>
      </c>
      <c r="M1021" t="s">
        <v>1799</v>
      </c>
      <c r="N1021" t="s">
        <v>1799</v>
      </c>
      <c r="O1021" s="184" t="str">
        <f>"["&amp;$C1021&amp;"]["&amp;$D1021&amp;"]["&amp;$F1021&amp;"]"</f>
        <v>[S06_ApplicationInformationExchangeRequirements4][3][NumberOfIssuesResolved]</v>
      </c>
    </row>
    <row r="1022" spans="1:15" x14ac:dyDescent="0.3">
      <c r="A1022" t="s">
        <v>1793</v>
      </c>
      <c r="B1022" t="s">
        <v>2082</v>
      </c>
      <c r="C1022" t="s">
        <v>2092</v>
      </c>
      <c r="D1022">
        <v>3</v>
      </c>
      <c r="E1022" t="s">
        <v>1447</v>
      </c>
      <c r="F1022" t="s">
        <v>2095</v>
      </c>
      <c r="G1022" t="s">
        <v>1811</v>
      </c>
      <c r="H1022" t="s">
        <v>1799</v>
      </c>
      <c r="I1022">
        <v>0</v>
      </c>
      <c r="J1022" t="s">
        <v>1799</v>
      </c>
      <c r="K1022" t="s">
        <v>1799</v>
      </c>
      <c r="L1022" t="s">
        <v>1799</v>
      </c>
      <c r="M1022" t="s">
        <v>1799</v>
      </c>
      <c r="N1022" t="s">
        <v>1799</v>
      </c>
      <c r="O1022" s="184" t="str">
        <f>"["&amp;$C1022&amp;"]["&amp;$D1022&amp;"]["&amp;$F1022&amp;"]"</f>
        <v>[S06_ApplicationInformationExchangeRequirements4][3][NumberOfPriorIssuesResolved]</v>
      </c>
    </row>
    <row r="1023" spans="1:15" x14ac:dyDescent="0.3">
      <c r="A1023" t="s">
        <v>1793</v>
      </c>
      <c r="B1023" t="s">
        <v>2096</v>
      </c>
      <c r="C1023" t="s">
        <v>2097</v>
      </c>
      <c r="D1023">
        <v>1</v>
      </c>
      <c r="E1023" t="s">
        <v>1447</v>
      </c>
      <c r="F1023" t="s">
        <v>2098</v>
      </c>
      <c r="G1023" t="s">
        <v>1811</v>
      </c>
      <c r="H1023" t="s">
        <v>1799</v>
      </c>
      <c r="I1023">
        <v>3</v>
      </c>
      <c r="J1023" t="s">
        <v>1799</v>
      </c>
      <c r="K1023" t="s">
        <v>1799</v>
      </c>
      <c r="L1023" t="s">
        <v>1799</v>
      </c>
      <c r="M1023" t="s">
        <v>1799</v>
      </c>
      <c r="N1023" t="s">
        <v>1799</v>
      </c>
      <c r="O1023" s="184" t="str">
        <f>"["&amp;$C1023&amp;"]["&amp;$D1023&amp;"]["&amp;$F1023&amp;"]"</f>
        <v>[S06_NegativeOpinionInstallations][1][CountNegativeOpinions]</v>
      </c>
    </row>
    <row r="1024" spans="1:15" x14ac:dyDescent="0.3">
      <c r="A1024" t="s">
        <v>1793</v>
      </c>
      <c r="B1024" t="s">
        <v>2096</v>
      </c>
      <c r="C1024" t="s">
        <v>2097</v>
      </c>
      <c r="D1024">
        <v>2</v>
      </c>
      <c r="E1024" t="s">
        <v>1447</v>
      </c>
      <c r="F1024" t="s">
        <v>2098</v>
      </c>
      <c r="G1024" t="s">
        <v>1811</v>
      </c>
      <c r="H1024" t="s">
        <v>1799</v>
      </c>
      <c r="I1024">
        <v>1</v>
      </c>
      <c r="J1024" t="s">
        <v>1799</v>
      </c>
      <c r="K1024" t="s">
        <v>1799</v>
      </c>
      <c r="L1024" t="s">
        <v>1799</v>
      </c>
      <c r="M1024" t="s">
        <v>1799</v>
      </c>
      <c r="N1024" t="s">
        <v>1799</v>
      </c>
      <c r="O1024" s="184" t="str">
        <f>"["&amp;$C1024&amp;"]["&amp;$D1024&amp;"]["&amp;$F1024&amp;"]"</f>
        <v>[S06_NegativeOpinionInstallations][2][CountNegativeOpinions]</v>
      </c>
    </row>
    <row r="1025" spans="1:15" x14ac:dyDescent="0.3">
      <c r="A1025" t="s">
        <v>1793</v>
      </c>
      <c r="B1025" t="s">
        <v>2096</v>
      </c>
      <c r="C1025" t="s">
        <v>2097</v>
      </c>
      <c r="D1025">
        <v>3</v>
      </c>
      <c r="E1025" t="s">
        <v>1447</v>
      </c>
      <c r="F1025" t="s">
        <v>2098</v>
      </c>
      <c r="G1025" t="s">
        <v>1811</v>
      </c>
      <c r="H1025" t="s">
        <v>1799</v>
      </c>
      <c r="I1025">
        <v>0</v>
      </c>
      <c r="J1025" t="s">
        <v>1799</v>
      </c>
      <c r="K1025" t="s">
        <v>1799</v>
      </c>
      <c r="L1025" t="s">
        <v>1799</v>
      </c>
      <c r="M1025" t="s">
        <v>1799</v>
      </c>
      <c r="N1025" t="s">
        <v>1799</v>
      </c>
      <c r="O1025" s="184" t="str">
        <f>"["&amp;$C1025&amp;"]["&amp;$D1025&amp;"]["&amp;$F1025&amp;"]"</f>
        <v>[S06_NegativeOpinionInstallations][3][CountNegativeOpinions]</v>
      </c>
    </row>
    <row r="1026" spans="1:15" x14ac:dyDescent="0.3">
      <c r="A1026" t="s">
        <v>1793</v>
      </c>
      <c r="B1026" t="s">
        <v>2096</v>
      </c>
      <c r="C1026" t="s">
        <v>2097</v>
      </c>
      <c r="D1026">
        <v>4</v>
      </c>
      <c r="E1026" t="s">
        <v>1447</v>
      </c>
      <c r="F1026" t="s">
        <v>2098</v>
      </c>
      <c r="G1026" t="s">
        <v>1811</v>
      </c>
      <c r="H1026" t="s">
        <v>1799</v>
      </c>
      <c r="I1026">
        <v>0</v>
      </c>
      <c r="J1026" t="s">
        <v>1799</v>
      </c>
      <c r="K1026" t="s">
        <v>1799</v>
      </c>
      <c r="L1026" t="s">
        <v>1799</v>
      </c>
      <c r="M1026" t="s">
        <v>1799</v>
      </c>
      <c r="N1026" t="s">
        <v>1799</v>
      </c>
      <c r="O1026" s="184" t="str">
        <f>"["&amp;$C1026&amp;"]["&amp;$D1026&amp;"]["&amp;$F1026&amp;"]"</f>
        <v>[S06_NegativeOpinionInstallations][4][CountNegativeOpinions]</v>
      </c>
    </row>
    <row r="1027" spans="1:15" x14ac:dyDescent="0.3">
      <c r="A1027" t="s">
        <v>1793</v>
      </c>
      <c r="B1027" t="s">
        <v>2099</v>
      </c>
      <c r="C1027" t="s">
        <v>2100</v>
      </c>
      <c r="D1027">
        <v>0</v>
      </c>
      <c r="E1027" t="s">
        <v>1447</v>
      </c>
      <c r="F1027" t="s">
        <v>2100</v>
      </c>
      <c r="G1027" t="s">
        <v>1833</v>
      </c>
      <c r="H1027" t="s">
        <v>1799</v>
      </c>
      <c r="I1027" t="s">
        <v>1799</v>
      </c>
      <c r="J1027" t="s">
        <v>1799</v>
      </c>
      <c r="K1027" t="s">
        <v>1799</v>
      </c>
      <c r="L1027" t="s">
        <v>1419</v>
      </c>
      <c r="M1027" t="s">
        <v>1799</v>
      </c>
      <c r="N1027" t="s">
        <v>1799</v>
      </c>
      <c r="O1027" s="184" t="str">
        <f>"["&amp;$C1027&amp;"]["&amp;$D1027&amp;"]["&amp;$F1027&amp;"]"</f>
        <v>[InstallationsVerificationReportIssues][0][InstallationsVerificationReportIssues]</v>
      </c>
    </row>
    <row r="1028" spans="1:15" x14ac:dyDescent="0.3">
      <c r="A1028" t="s">
        <v>1793</v>
      </c>
      <c r="B1028" t="s">
        <v>2099</v>
      </c>
      <c r="C1028" t="s">
        <v>2101</v>
      </c>
      <c r="D1028">
        <v>1</v>
      </c>
      <c r="E1028" t="s">
        <v>1447</v>
      </c>
      <c r="F1028" t="s">
        <v>2102</v>
      </c>
      <c r="G1028" t="s">
        <v>1737</v>
      </c>
      <c r="H1028" t="s">
        <v>1799</v>
      </c>
      <c r="I1028" t="s">
        <v>1799</v>
      </c>
      <c r="J1028" t="s">
        <v>1799</v>
      </c>
      <c r="K1028" t="s">
        <v>1799</v>
      </c>
      <c r="L1028" t="s">
        <v>1420</v>
      </c>
      <c r="M1028" t="s">
        <v>1799</v>
      </c>
      <c r="N1028" t="s">
        <v>1799</v>
      </c>
      <c r="O1028" s="184" t="str">
        <f>"["&amp;$C1028&amp;"]["&amp;$D1028&amp;"]["&amp;$F1028&amp;"]"</f>
        <v>[S06_InstallationsVerificationReportsIssueDetail][1][AnnexIActivity]</v>
      </c>
    </row>
    <row r="1029" spans="1:15" x14ac:dyDescent="0.3">
      <c r="A1029" t="s">
        <v>1793</v>
      </c>
      <c r="B1029" t="s">
        <v>2099</v>
      </c>
      <c r="C1029" t="s">
        <v>2101</v>
      </c>
      <c r="D1029">
        <v>2</v>
      </c>
      <c r="E1029" t="s">
        <v>1447</v>
      </c>
      <c r="F1029" t="s">
        <v>2102</v>
      </c>
      <c r="G1029" t="s">
        <v>1737</v>
      </c>
      <c r="H1029" t="s">
        <v>1799</v>
      </c>
      <c r="I1029" t="s">
        <v>1799</v>
      </c>
      <c r="J1029" t="s">
        <v>1799</v>
      </c>
      <c r="K1029" t="s">
        <v>1799</v>
      </c>
      <c r="L1029" t="s">
        <v>1568</v>
      </c>
      <c r="M1029" t="s">
        <v>1799</v>
      </c>
      <c r="N1029" t="s">
        <v>1799</v>
      </c>
      <c r="O1029" s="184" t="str">
        <f>"["&amp;$C1029&amp;"]["&amp;$D1029&amp;"]["&amp;$F1029&amp;"]"</f>
        <v>[S06_InstallationsVerificationReportsIssueDetail][2][AnnexIActivity]</v>
      </c>
    </row>
    <row r="1030" spans="1:15" x14ac:dyDescent="0.3">
      <c r="A1030" t="s">
        <v>1793</v>
      </c>
      <c r="B1030" t="s">
        <v>2099</v>
      </c>
      <c r="C1030" t="s">
        <v>2101</v>
      </c>
      <c r="D1030">
        <v>3</v>
      </c>
      <c r="E1030" t="s">
        <v>1447</v>
      </c>
      <c r="F1030" t="s">
        <v>2102</v>
      </c>
      <c r="G1030" t="s">
        <v>1737</v>
      </c>
      <c r="H1030" t="s">
        <v>1799</v>
      </c>
      <c r="I1030" t="s">
        <v>1799</v>
      </c>
      <c r="J1030" t="s">
        <v>1799</v>
      </c>
      <c r="K1030" t="s">
        <v>1799</v>
      </c>
      <c r="L1030" t="s">
        <v>1420</v>
      </c>
      <c r="M1030" t="s">
        <v>1799</v>
      </c>
      <c r="N1030" t="s">
        <v>1799</v>
      </c>
      <c r="O1030" s="184" t="str">
        <f>"["&amp;$C1030&amp;"]["&amp;$D1030&amp;"]["&amp;$F1030&amp;"]"</f>
        <v>[S06_InstallationsVerificationReportsIssueDetail][3][AnnexIActivity]</v>
      </c>
    </row>
    <row r="1031" spans="1:15" x14ac:dyDescent="0.3">
      <c r="A1031" t="s">
        <v>1793</v>
      </c>
      <c r="B1031" t="s">
        <v>2099</v>
      </c>
      <c r="C1031" t="s">
        <v>2101</v>
      </c>
      <c r="D1031">
        <v>4</v>
      </c>
      <c r="E1031" t="s">
        <v>1447</v>
      </c>
      <c r="F1031" t="s">
        <v>2102</v>
      </c>
      <c r="G1031" t="s">
        <v>1737</v>
      </c>
      <c r="H1031" t="s">
        <v>1799</v>
      </c>
      <c r="I1031" t="s">
        <v>1799</v>
      </c>
      <c r="J1031" t="s">
        <v>1799</v>
      </c>
      <c r="K1031" t="s">
        <v>1799</v>
      </c>
      <c r="L1031" t="s">
        <v>2103</v>
      </c>
      <c r="M1031" t="s">
        <v>1799</v>
      </c>
      <c r="N1031" t="s">
        <v>1799</v>
      </c>
      <c r="O1031" s="184" t="str">
        <f>"["&amp;$C1031&amp;"]["&amp;$D1031&amp;"]["&amp;$F1031&amp;"]"</f>
        <v>[S06_InstallationsVerificationReportsIssueDetail][4][AnnexIActivity]</v>
      </c>
    </row>
    <row r="1032" spans="1:15" x14ac:dyDescent="0.3">
      <c r="A1032" t="s">
        <v>1793</v>
      </c>
      <c r="B1032" t="s">
        <v>2099</v>
      </c>
      <c r="C1032" t="s">
        <v>2101</v>
      </c>
      <c r="D1032">
        <v>5</v>
      </c>
      <c r="E1032" t="s">
        <v>1447</v>
      </c>
      <c r="F1032" t="s">
        <v>2102</v>
      </c>
      <c r="G1032" t="s">
        <v>1737</v>
      </c>
      <c r="H1032" t="s">
        <v>1799</v>
      </c>
      <c r="I1032" t="s">
        <v>1799</v>
      </c>
      <c r="J1032" t="s">
        <v>1799</v>
      </c>
      <c r="K1032" t="s">
        <v>1799</v>
      </c>
      <c r="L1032" t="s">
        <v>2104</v>
      </c>
      <c r="M1032" t="s">
        <v>1799</v>
      </c>
      <c r="N1032" t="s">
        <v>1799</v>
      </c>
      <c r="O1032" s="184" t="str">
        <f>"["&amp;$C1032&amp;"]["&amp;$D1032&amp;"]["&amp;$F1032&amp;"]"</f>
        <v>[S06_InstallationsVerificationReportsIssueDetail][5][AnnexIActivity]</v>
      </c>
    </row>
    <row r="1033" spans="1:15" x14ac:dyDescent="0.3">
      <c r="A1033" t="s">
        <v>1793</v>
      </c>
      <c r="B1033" t="s">
        <v>2099</v>
      </c>
      <c r="C1033" t="s">
        <v>2101</v>
      </c>
      <c r="D1033">
        <v>6</v>
      </c>
      <c r="E1033" t="s">
        <v>1447</v>
      </c>
      <c r="F1033" t="s">
        <v>2102</v>
      </c>
      <c r="G1033" t="s">
        <v>1737</v>
      </c>
      <c r="H1033" t="s">
        <v>1799</v>
      </c>
      <c r="I1033" t="s">
        <v>1799</v>
      </c>
      <c r="J1033" t="s">
        <v>1799</v>
      </c>
      <c r="K1033" t="s">
        <v>1799</v>
      </c>
      <c r="L1033" t="s">
        <v>2105</v>
      </c>
      <c r="M1033" t="s">
        <v>1799</v>
      </c>
      <c r="N1033" t="s">
        <v>1799</v>
      </c>
      <c r="O1033" s="184" t="str">
        <f>"["&amp;$C1033&amp;"]["&amp;$D1033&amp;"]["&amp;$F1033&amp;"]"</f>
        <v>[S06_InstallationsVerificationReportsIssueDetail][6][AnnexIActivity]</v>
      </c>
    </row>
    <row r="1034" spans="1:15" x14ac:dyDescent="0.3">
      <c r="A1034" t="s">
        <v>1793</v>
      </c>
      <c r="B1034" t="s">
        <v>2099</v>
      </c>
      <c r="C1034" t="s">
        <v>2101</v>
      </c>
      <c r="D1034">
        <v>7</v>
      </c>
      <c r="E1034" t="s">
        <v>1447</v>
      </c>
      <c r="F1034" t="s">
        <v>2102</v>
      </c>
      <c r="G1034" t="s">
        <v>1737</v>
      </c>
      <c r="H1034" t="s">
        <v>1799</v>
      </c>
      <c r="I1034" t="s">
        <v>1799</v>
      </c>
      <c r="J1034" t="s">
        <v>1799</v>
      </c>
      <c r="K1034" t="s">
        <v>1799</v>
      </c>
      <c r="L1034" t="s">
        <v>2106</v>
      </c>
      <c r="M1034" t="s">
        <v>1799</v>
      </c>
      <c r="N1034" t="s">
        <v>1799</v>
      </c>
      <c r="O1034" s="184" t="str">
        <f>"["&amp;$C1034&amp;"]["&amp;$D1034&amp;"]["&amp;$F1034&amp;"]"</f>
        <v>[S06_InstallationsVerificationReportsIssueDetail][7][AnnexIActivity]</v>
      </c>
    </row>
    <row r="1035" spans="1:15" x14ac:dyDescent="0.3">
      <c r="A1035" t="s">
        <v>1793</v>
      </c>
      <c r="B1035" t="s">
        <v>2099</v>
      </c>
      <c r="C1035" t="s">
        <v>2101</v>
      </c>
      <c r="D1035">
        <v>8</v>
      </c>
      <c r="E1035" t="s">
        <v>1447</v>
      </c>
      <c r="F1035" t="s">
        <v>2102</v>
      </c>
      <c r="G1035" t="s">
        <v>1737</v>
      </c>
      <c r="H1035" t="s">
        <v>1799</v>
      </c>
      <c r="I1035" t="s">
        <v>1799</v>
      </c>
      <c r="J1035" t="s">
        <v>1799</v>
      </c>
      <c r="K1035" t="s">
        <v>1799</v>
      </c>
      <c r="L1035" t="s">
        <v>2107</v>
      </c>
      <c r="M1035" t="s">
        <v>1799</v>
      </c>
      <c r="N1035" t="s">
        <v>1799</v>
      </c>
      <c r="O1035" s="184" t="str">
        <f>"["&amp;$C1035&amp;"]["&amp;$D1035&amp;"]["&amp;$F1035&amp;"]"</f>
        <v>[S06_InstallationsVerificationReportsIssueDetail][8][AnnexIActivity]</v>
      </c>
    </row>
    <row r="1036" spans="1:15" x14ac:dyDescent="0.3">
      <c r="A1036" t="s">
        <v>1793</v>
      </c>
      <c r="B1036" t="s">
        <v>2099</v>
      </c>
      <c r="C1036" t="s">
        <v>2101</v>
      </c>
      <c r="D1036">
        <v>9</v>
      </c>
      <c r="E1036" t="s">
        <v>1447</v>
      </c>
      <c r="F1036" t="s">
        <v>2102</v>
      </c>
      <c r="G1036" t="s">
        <v>1737</v>
      </c>
      <c r="H1036" t="s">
        <v>1799</v>
      </c>
      <c r="I1036" t="s">
        <v>1799</v>
      </c>
      <c r="J1036" t="s">
        <v>1799</v>
      </c>
      <c r="K1036" t="s">
        <v>1799</v>
      </c>
      <c r="L1036" t="s">
        <v>2108</v>
      </c>
      <c r="M1036" t="s">
        <v>1799</v>
      </c>
      <c r="N1036" t="s">
        <v>1799</v>
      </c>
      <c r="O1036" s="184" t="str">
        <f>"["&amp;$C1036&amp;"]["&amp;$D1036&amp;"]["&amp;$F1036&amp;"]"</f>
        <v>[S06_InstallationsVerificationReportsIssueDetail][9][AnnexIActivity]</v>
      </c>
    </row>
    <row r="1037" spans="1:15" x14ac:dyDescent="0.3">
      <c r="A1037" t="s">
        <v>1793</v>
      </c>
      <c r="B1037" t="s">
        <v>2099</v>
      </c>
      <c r="C1037" t="s">
        <v>2101</v>
      </c>
      <c r="D1037">
        <v>10</v>
      </c>
      <c r="E1037" t="s">
        <v>1447</v>
      </c>
      <c r="F1037" t="s">
        <v>2102</v>
      </c>
      <c r="G1037" t="s">
        <v>1737</v>
      </c>
      <c r="H1037" t="s">
        <v>1799</v>
      </c>
      <c r="I1037" t="s">
        <v>1799</v>
      </c>
      <c r="J1037" t="s">
        <v>1799</v>
      </c>
      <c r="K1037" t="s">
        <v>1799</v>
      </c>
      <c r="L1037" t="s">
        <v>1540</v>
      </c>
      <c r="M1037" t="s">
        <v>1799</v>
      </c>
      <c r="N1037" t="s">
        <v>1799</v>
      </c>
      <c r="O1037" s="184" t="str">
        <f>"["&amp;$C1037&amp;"]["&amp;$D1037&amp;"]["&amp;$F1037&amp;"]"</f>
        <v>[S06_InstallationsVerificationReportsIssueDetail][10][AnnexIActivity]</v>
      </c>
    </row>
    <row r="1038" spans="1:15" x14ac:dyDescent="0.3">
      <c r="A1038" t="s">
        <v>1793</v>
      </c>
      <c r="B1038" t="s">
        <v>2099</v>
      </c>
      <c r="C1038" t="s">
        <v>2101</v>
      </c>
      <c r="D1038">
        <v>11</v>
      </c>
      <c r="E1038" t="s">
        <v>1447</v>
      </c>
      <c r="F1038" t="s">
        <v>2102</v>
      </c>
      <c r="G1038" t="s">
        <v>1737</v>
      </c>
      <c r="H1038" t="s">
        <v>1799</v>
      </c>
      <c r="I1038" t="s">
        <v>1799</v>
      </c>
      <c r="J1038" t="s">
        <v>1799</v>
      </c>
      <c r="K1038" t="s">
        <v>1799</v>
      </c>
      <c r="L1038" t="s">
        <v>1530</v>
      </c>
      <c r="M1038" t="s">
        <v>1799</v>
      </c>
      <c r="N1038" t="s">
        <v>1799</v>
      </c>
      <c r="O1038" s="184" t="str">
        <f>"["&amp;$C1038&amp;"]["&amp;$D1038&amp;"]["&amp;$F1038&amp;"]"</f>
        <v>[S06_InstallationsVerificationReportsIssueDetail][11][AnnexIActivity]</v>
      </c>
    </row>
    <row r="1039" spans="1:15" x14ac:dyDescent="0.3">
      <c r="A1039" t="s">
        <v>1793</v>
      </c>
      <c r="B1039" t="s">
        <v>2099</v>
      </c>
      <c r="C1039" t="s">
        <v>2101</v>
      </c>
      <c r="D1039">
        <v>12</v>
      </c>
      <c r="E1039" t="s">
        <v>1447</v>
      </c>
      <c r="F1039" t="s">
        <v>2102</v>
      </c>
      <c r="G1039" t="s">
        <v>1737</v>
      </c>
      <c r="H1039" t="s">
        <v>1799</v>
      </c>
      <c r="I1039" t="s">
        <v>1799</v>
      </c>
      <c r="J1039" t="s">
        <v>1799</v>
      </c>
      <c r="K1039" t="s">
        <v>1799</v>
      </c>
      <c r="L1039" t="s">
        <v>1557</v>
      </c>
      <c r="M1039" t="s">
        <v>1799</v>
      </c>
      <c r="N1039" t="s">
        <v>1799</v>
      </c>
      <c r="O1039" s="184" t="str">
        <f>"["&amp;$C1039&amp;"]["&amp;$D1039&amp;"]["&amp;$F1039&amp;"]"</f>
        <v>[S06_InstallationsVerificationReportsIssueDetail][12][AnnexIActivity]</v>
      </c>
    </row>
    <row r="1040" spans="1:15" x14ac:dyDescent="0.3">
      <c r="A1040" t="s">
        <v>1793</v>
      </c>
      <c r="B1040" t="s">
        <v>2099</v>
      </c>
      <c r="C1040" t="s">
        <v>2101</v>
      </c>
      <c r="D1040">
        <v>13</v>
      </c>
      <c r="E1040" t="s">
        <v>1447</v>
      </c>
      <c r="F1040" t="s">
        <v>2102</v>
      </c>
      <c r="G1040" t="s">
        <v>1737</v>
      </c>
      <c r="H1040" t="s">
        <v>1799</v>
      </c>
      <c r="I1040" t="s">
        <v>1799</v>
      </c>
      <c r="J1040" t="s">
        <v>1799</v>
      </c>
      <c r="K1040" t="s">
        <v>1799</v>
      </c>
      <c r="L1040" t="s">
        <v>1448</v>
      </c>
      <c r="M1040" t="s">
        <v>1799</v>
      </c>
      <c r="N1040" t="s">
        <v>1799</v>
      </c>
      <c r="O1040" s="184" t="str">
        <f>"["&amp;$C1040&amp;"]["&amp;$D1040&amp;"]["&amp;$F1040&amp;"]"</f>
        <v>[S06_InstallationsVerificationReportsIssueDetail][13][AnnexIActivity]</v>
      </c>
    </row>
    <row r="1041" spans="1:15" x14ac:dyDescent="0.3">
      <c r="A1041" t="s">
        <v>1793</v>
      </c>
      <c r="B1041" t="s">
        <v>2099</v>
      </c>
      <c r="C1041" t="s">
        <v>2101</v>
      </c>
      <c r="D1041">
        <v>14</v>
      </c>
      <c r="E1041" t="s">
        <v>1447</v>
      </c>
      <c r="F1041" t="s">
        <v>2102</v>
      </c>
      <c r="G1041" t="s">
        <v>1737</v>
      </c>
      <c r="H1041" t="s">
        <v>1799</v>
      </c>
      <c r="I1041" t="s">
        <v>1799</v>
      </c>
      <c r="J1041" t="s">
        <v>1799</v>
      </c>
      <c r="K1041" t="s">
        <v>1799</v>
      </c>
      <c r="L1041" t="s">
        <v>1420</v>
      </c>
      <c r="M1041" t="s">
        <v>1799</v>
      </c>
      <c r="N1041" t="s">
        <v>1799</v>
      </c>
      <c r="O1041" s="184" t="str">
        <f>"["&amp;$C1041&amp;"]["&amp;$D1041&amp;"]["&amp;$F1041&amp;"]"</f>
        <v>[S06_InstallationsVerificationReportsIssueDetail][14][AnnexIActivity]</v>
      </c>
    </row>
    <row r="1042" spans="1:15" x14ac:dyDescent="0.3">
      <c r="A1042" t="s">
        <v>1793</v>
      </c>
      <c r="B1042" t="s">
        <v>2099</v>
      </c>
      <c r="C1042" t="s">
        <v>2101</v>
      </c>
      <c r="D1042">
        <v>15</v>
      </c>
      <c r="E1042" t="s">
        <v>1447</v>
      </c>
      <c r="F1042" t="s">
        <v>2102</v>
      </c>
      <c r="G1042" t="s">
        <v>1737</v>
      </c>
      <c r="H1042" t="s">
        <v>1799</v>
      </c>
      <c r="I1042" t="s">
        <v>1799</v>
      </c>
      <c r="J1042" t="s">
        <v>1799</v>
      </c>
      <c r="K1042" t="s">
        <v>1799</v>
      </c>
      <c r="L1042" t="s">
        <v>1502</v>
      </c>
      <c r="M1042" t="s">
        <v>1799</v>
      </c>
      <c r="N1042" t="s">
        <v>1799</v>
      </c>
      <c r="O1042" s="184" t="str">
        <f>"["&amp;$C1042&amp;"]["&amp;$D1042&amp;"]["&amp;$F1042&amp;"]"</f>
        <v>[S06_InstallationsVerificationReportsIssueDetail][15][AnnexIActivity]</v>
      </c>
    </row>
    <row r="1043" spans="1:15" x14ac:dyDescent="0.3">
      <c r="A1043" t="s">
        <v>1793</v>
      </c>
      <c r="B1043" t="s">
        <v>2099</v>
      </c>
      <c r="C1043" t="s">
        <v>2101</v>
      </c>
      <c r="D1043">
        <v>16</v>
      </c>
      <c r="E1043" t="s">
        <v>1447</v>
      </c>
      <c r="F1043" t="s">
        <v>2102</v>
      </c>
      <c r="G1043" t="s">
        <v>1737</v>
      </c>
      <c r="H1043" t="s">
        <v>1799</v>
      </c>
      <c r="I1043" t="s">
        <v>1799</v>
      </c>
      <c r="J1043" t="s">
        <v>1799</v>
      </c>
      <c r="K1043" t="s">
        <v>1799</v>
      </c>
      <c r="L1043" t="s">
        <v>1568</v>
      </c>
      <c r="M1043" t="s">
        <v>1799</v>
      </c>
      <c r="N1043" t="s">
        <v>1799</v>
      </c>
      <c r="O1043" s="184" t="str">
        <f>"["&amp;$C1043&amp;"]["&amp;$D1043&amp;"]["&amp;$F1043&amp;"]"</f>
        <v>[S06_InstallationsVerificationReportsIssueDetail][16][AnnexIActivity]</v>
      </c>
    </row>
    <row r="1044" spans="1:15" x14ac:dyDescent="0.3">
      <c r="A1044" t="s">
        <v>1793</v>
      </c>
      <c r="B1044" t="s">
        <v>2099</v>
      </c>
      <c r="C1044" t="s">
        <v>2101</v>
      </c>
      <c r="D1044">
        <v>17</v>
      </c>
      <c r="E1044" t="s">
        <v>1447</v>
      </c>
      <c r="F1044" t="s">
        <v>2102</v>
      </c>
      <c r="G1044" t="s">
        <v>1737</v>
      </c>
      <c r="H1044" t="s">
        <v>1799</v>
      </c>
      <c r="I1044" t="s">
        <v>1799</v>
      </c>
      <c r="J1044" t="s">
        <v>1799</v>
      </c>
      <c r="K1044" t="s">
        <v>1799</v>
      </c>
      <c r="L1044" t="s">
        <v>1448</v>
      </c>
      <c r="M1044" t="s">
        <v>1799</v>
      </c>
      <c r="N1044" t="s">
        <v>1799</v>
      </c>
      <c r="O1044" s="184" t="str">
        <f>"["&amp;$C1044&amp;"]["&amp;$D1044&amp;"]["&amp;$F1044&amp;"]"</f>
        <v>[S06_InstallationsVerificationReportsIssueDetail][17][AnnexIActivity]</v>
      </c>
    </row>
    <row r="1045" spans="1:15" x14ac:dyDescent="0.3">
      <c r="A1045" t="s">
        <v>1793</v>
      </c>
      <c r="B1045" t="s">
        <v>2099</v>
      </c>
      <c r="C1045" t="s">
        <v>2101</v>
      </c>
      <c r="D1045">
        <v>18</v>
      </c>
      <c r="E1045" t="s">
        <v>1447</v>
      </c>
      <c r="F1045" t="s">
        <v>2102</v>
      </c>
      <c r="G1045" t="s">
        <v>1737</v>
      </c>
      <c r="H1045" t="s">
        <v>1799</v>
      </c>
      <c r="I1045" t="s">
        <v>1799</v>
      </c>
      <c r="J1045" t="s">
        <v>1799</v>
      </c>
      <c r="K1045" t="s">
        <v>1799</v>
      </c>
      <c r="L1045" t="s">
        <v>1420</v>
      </c>
      <c r="M1045" t="s">
        <v>1799</v>
      </c>
      <c r="N1045" t="s">
        <v>1799</v>
      </c>
      <c r="O1045" s="184" t="str">
        <f>"["&amp;$C1045&amp;"]["&amp;$D1045&amp;"]["&amp;$F1045&amp;"]"</f>
        <v>[S06_InstallationsVerificationReportsIssueDetail][18][AnnexIActivity]</v>
      </c>
    </row>
    <row r="1046" spans="1:15" x14ac:dyDescent="0.3">
      <c r="A1046" t="s">
        <v>1793</v>
      </c>
      <c r="B1046" t="s">
        <v>2099</v>
      </c>
      <c r="C1046" t="s">
        <v>2101</v>
      </c>
      <c r="D1046">
        <v>19</v>
      </c>
      <c r="E1046" t="s">
        <v>1447</v>
      </c>
      <c r="F1046" t="s">
        <v>2102</v>
      </c>
      <c r="G1046" t="s">
        <v>1737</v>
      </c>
      <c r="H1046" t="s">
        <v>1799</v>
      </c>
      <c r="I1046" t="s">
        <v>1799</v>
      </c>
      <c r="J1046" t="s">
        <v>1799</v>
      </c>
      <c r="K1046" t="s">
        <v>1799</v>
      </c>
      <c r="L1046" t="s">
        <v>1577</v>
      </c>
      <c r="M1046" t="s">
        <v>1799</v>
      </c>
      <c r="N1046" t="s">
        <v>1799</v>
      </c>
      <c r="O1046" s="184" t="str">
        <f>"["&amp;$C1046&amp;"]["&amp;$D1046&amp;"]["&amp;$F1046&amp;"]"</f>
        <v>[S06_InstallationsVerificationReportsIssueDetail][19][AnnexIActivity]</v>
      </c>
    </row>
    <row r="1047" spans="1:15" x14ac:dyDescent="0.3">
      <c r="A1047" t="s">
        <v>1793</v>
      </c>
      <c r="B1047" t="s">
        <v>2099</v>
      </c>
      <c r="C1047" t="s">
        <v>2101</v>
      </c>
      <c r="D1047">
        <v>20</v>
      </c>
      <c r="E1047" t="s">
        <v>1447</v>
      </c>
      <c r="F1047" t="s">
        <v>2102</v>
      </c>
      <c r="G1047" t="s">
        <v>1737</v>
      </c>
      <c r="H1047" t="s">
        <v>1799</v>
      </c>
      <c r="I1047" t="s">
        <v>1799</v>
      </c>
      <c r="J1047" t="s">
        <v>1799</v>
      </c>
      <c r="K1047" t="s">
        <v>1799</v>
      </c>
      <c r="L1047" t="s">
        <v>1573</v>
      </c>
      <c r="M1047" t="s">
        <v>1799</v>
      </c>
      <c r="N1047" t="s">
        <v>1799</v>
      </c>
      <c r="O1047" s="184" t="str">
        <f>"["&amp;$C1047&amp;"]["&amp;$D1047&amp;"]["&amp;$F1047&amp;"]"</f>
        <v>[S06_InstallationsVerificationReportsIssueDetail][20][AnnexIActivity]</v>
      </c>
    </row>
    <row r="1048" spans="1:15" x14ac:dyDescent="0.3">
      <c r="A1048" t="s">
        <v>1793</v>
      </c>
      <c r="B1048" t="s">
        <v>2099</v>
      </c>
      <c r="C1048" t="s">
        <v>2101</v>
      </c>
      <c r="D1048">
        <v>21</v>
      </c>
      <c r="E1048" t="s">
        <v>1447</v>
      </c>
      <c r="F1048" t="s">
        <v>2102</v>
      </c>
      <c r="G1048" t="s">
        <v>1737</v>
      </c>
      <c r="H1048" t="s">
        <v>1799</v>
      </c>
      <c r="I1048" t="s">
        <v>1799</v>
      </c>
      <c r="J1048" t="s">
        <v>1799</v>
      </c>
      <c r="K1048" t="s">
        <v>1799</v>
      </c>
      <c r="L1048" t="s">
        <v>1562</v>
      </c>
      <c r="M1048" t="s">
        <v>1799</v>
      </c>
      <c r="N1048" t="s">
        <v>1799</v>
      </c>
      <c r="O1048" s="184" t="str">
        <f>"["&amp;$C1048&amp;"]["&amp;$D1048&amp;"]["&amp;$F1048&amp;"]"</f>
        <v>[S06_InstallationsVerificationReportsIssueDetail][21][AnnexIActivity]</v>
      </c>
    </row>
    <row r="1049" spans="1:15" x14ac:dyDescent="0.3">
      <c r="A1049" t="s">
        <v>1793</v>
      </c>
      <c r="B1049" t="s">
        <v>2099</v>
      </c>
      <c r="C1049" t="s">
        <v>2101</v>
      </c>
      <c r="D1049">
        <v>22</v>
      </c>
      <c r="E1049" t="s">
        <v>1447</v>
      </c>
      <c r="F1049" t="s">
        <v>2102</v>
      </c>
      <c r="G1049" t="s">
        <v>1737</v>
      </c>
      <c r="H1049" t="s">
        <v>1799</v>
      </c>
      <c r="I1049" t="s">
        <v>1799</v>
      </c>
      <c r="J1049" t="s">
        <v>1799</v>
      </c>
      <c r="K1049" t="s">
        <v>1799</v>
      </c>
      <c r="L1049" t="s">
        <v>1607</v>
      </c>
      <c r="M1049" t="s">
        <v>1799</v>
      </c>
      <c r="N1049" t="s">
        <v>1799</v>
      </c>
      <c r="O1049" s="184" t="str">
        <f>"["&amp;$C1049&amp;"]["&amp;$D1049&amp;"]["&amp;$F1049&amp;"]"</f>
        <v>[S06_InstallationsVerificationReportsIssueDetail][22][AnnexIActivity]</v>
      </c>
    </row>
    <row r="1050" spans="1:15" x14ac:dyDescent="0.3">
      <c r="A1050" t="s">
        <v>1793</v>
      </c>
      <c r="B1050" t="s">
        <v>2099</v>
      </c>
      <c r="C1050" t="s">
        <v>2101</v>
      </c>
      <c r="D1050">
        <v>23</v>
      </c>
      <c r="E1050" t="s">
        <v>1447</v>
      </c>
      <c r="F1050" t="s">
        <v>2102</v>
      </c>
      <c r="G1050" t="s">
        <v>1737</v>
      </c>
      <c r="H1050" t="s">
        <v>1799</v>
      </c>
      <c r="I1050" t="s">
        <v>1799</v>
      </c>
      <c r="J1050" t="s">
        <v>1799</v>
      </c>
      <c r="K1050" t="s">
        <v>1799</v>
      </c>
      <c r="L1050" t="s">
        <v>1518</v>
      </c>
      <c r="M1050" t="s">
        <v>1799</v>
      </c>
      <c r="N1050" t="s">
        <v>1799</v>
      </c>
      <c r="O1050" s="184" t="str">
        <f>"["&amp;$C1050&amp;"]["&amp;$D1050&amp;"]["&amp;$F1050&amp;"]"</f>
        <v>[S06_InstallationsVerificationReportsIssueDetail][23][AnnexIActivity]</v>
      </c>
    </row>
    <row r="1051" spans="1:15" x14ac:dyDescent="0.3">
      <c r="A1051" t="s">
        <v>1793</v>
      </c>
      <c r="B1051" t="s">
        <v>2099</v>
      </c>
      <c r="C1051" t="s">
        <v>2101</v>
      </c>
      <c r="D1051">
        <v>24</v>
      </c>
      <c r="E1051" t="s">
        <v>1447</v>
      </c>
      <c r="F1051" t="s">
        <v>2102</v>
      </c>
      <c r="G1051" t="s">
        <v>1737</v>
      </c>
      <c r="H1051" t="s">
        <v>1799</v>
      </c>
      <c r="I1051" t="s">
        <v>1799</v>
      </c>
      <c r="J1051" t="s">
        <v>1799</v>
      </c>
      <c r="K1051" t="s">
        <v>1799</v>
      </c>
      <c r="L1051" t="s">
        <v>1540</v>
      </c>
      <c r="M1051" t="s">
        <v>1799</v>
      </c>
      <c r="N1051" t="s">
        <v>1799</v>
      </c>
      <c r="O1051" s="184" t="str">
        <f>"["&amp;$C1051&amp;"]["&amp;$D1051&amp;"]["&amp;$F1051&amp;"]"</f>
        <v>[S06_InstallationsVerificationReportsIssueDetail][24][AnnexIActivity]</v>
      </c>
    </row>
    <row r="1052" spans="1:15" x14ac:dyDescent="0.3">
      <c r="A1052" t="s">
        <v>1793</v>
      </c>
      <c r="B1052" t="s">
        <v>2099</v>
      </c>
      <c r="C1052" t="s">
        <v>2101</v>
      </c>
      <c r="D1052">
        <v>25</v>
      </c>
      <c r="E1052" t="s">
        <v>1447</v>
      </c>
      <c r="F1052" t="s">
        <v>2102</v>
      </c>
      <c r="G1052" t="s">
        <v>1737</v>
      </c>
      <c r="H1052" t="s">
        <v>1799</v>
      </c>
      <c r="I1052" t="s">
        <v>1799</v>
      </c>
      <c r="J1052" t="s">
        <v>1799</v>
      </c>
      <c r="K1052" t="s">
        <v>1799</v>
      </c>
      <c r="L1052" t="s">
        <v>1530</v>
      </c>
      <c r="M1052" t="s">
        <v>1799</v>
      </c>
      <c r="N1052" t="s">
        <v>1799</v>
      </c>
      <c r="O1052" s="184" t="str">
        <f>"["&amp;$C1052&amp;"]["&amp;$D1052&amp;"]["&amp;$F1052&amp;"]"</f>
        <v>[S06_InstallationsVerificationReportsIssueDetail][25][AnnexIActivity]</v>
      </c>
    </row>
    <row r="1053" spans="1:15" x14ac:dyDescent="0.3">
      <c r="A1053" t="s">
        <v>1793</v>
      </c>
      <c r="B1053" t="s">
        <v>2099</v>
      </c>
      <c r="C1053" t="s">
        <v>2101</v>
      </c>
      <c r="D1053">
        <v>26</v>
      </c>
      <c r="E1053" t="s">
        <v>1447</v>
      </c>
      <c r="F1053" t="s">
        <v>2102</v>
      </c>
      <c r="G1053" t="s">
        <v>1737</v>
      </c>
      <c r="H1053" t="s">
        <v>1799</v>
      </c>
      <c r="I1053" t="s">
        <v>1799</v>
      </c>
      <c r="J1053" t="s">
        <v>1799</v>
      </c>
      <c r="K1053" t="s">
        <v>1799</v>
      </c>
      <c r="L1053" t="s">
        <v>1557</v>
      </c>
      <c r="M1053" t="s">
        <v>1799</v>
      </c>
      <c r="N1053" t="s">
        <v>1799</v>
      </c>
      <c r="O1053" s="184" t="str">
        <f>"["&amp;$C1053&amp;"]["&amp;$D1053&amp;"]["&amp;$F1053&amp;"]"</f>
        <v>[S06_InstallationsVerificationReportsIssueDetail][26][AnnexIActivity]</v>
      </c>
    </row>
    <row r="1054" spans="1:15" x14ac:dyDescent="0.3">
      <c r="A1054" t="s">
        <v>1793</v>
      </c>
      <c r="B1054" t="s">
        <v>2099</v>
      </c>
      <c r="C1054" t="s">
        <v>2101</v>
      </c>
      <c r="D1054">
        <v>1</v>
      </c>
      <c r="E1054" t="s">
        <v>1447</v>
      </c>
      <c r="F1054" t="s">
        <v>2109</v>
      </c>
      <c r="G1054" t="s">
        <v>1737</v>
      </c>
      <c r="H1054" t="s">
        <v>1799</v>
      </c>
      <c r="I1054" t="s">
        <v>1799</v>
      </c>
      <c r="J1054" t="s">
        <v>1799</v>
      </c>
      <c r="K1054" t="s">
        <v>1799</v>
      </c>
      <c r="L1054" t="s">
        <v>1439</v>
      </c>
      <c r="M1054" t="s">
        <v>1799</v>
      </c>
      <c r="N1054" t="s">
        <v>1799</v>
      </c>
      <c r="O1054" s="184" t="str">
        <f>"["&amp;$C1054&amp;"]["&amp;$D1054&amp;"]["&amp;$F1054&amp;"]"</f>
        <v>[S06_InstallationsVerificationReportsIssueDetail][1][TypeOfIssue]</v>
      </c>
    </row>
    <row r="1055" spans="1:15" x14ac:dyDescent="0.3">
      <c r="A1055" t="s">
        <v>1793</v>
      </c>
      <c r="B1055" t="s">
        <v>2099</v>
      </c>
      <c r="C1055" t="s">
        <v>2101</v>
      </c>
      <c r="D1055">
        <v>2</v>
      </c>
      <c r="E1055" t="s">
        <v>1447</v>
      </c>
      <c r="F1055" t="s">
        <v>2109</v>
      </c>
      <c r="G1055" t="s">
        <v>1737</v>
      </c>
      <c r="H1055" t="s">
        <v>1799</v>
      </c>
      <c r="I1055" t="s">
        <v>1799</v>
      </c>
      <c r="J1055" t="s">
        <v>1799</v>
      </c>
      <c r="K1055" t="s">
        <v>1799</v>
      </c>
      <c r="L1055" t="s">
        <v>1439</v>
      </c>
      <c r="M1055" t="s">
        <v>1799</v>
      </c>
      <c r="N1055" t="s">
        <v>1799</v>
      </c>
      <c r="O1055" s="184" t="str">
        <f>"["&amp;$C1055&amp;"]["&amp;$D1055&amp;"]["&amp;$F1055&amp;"]"</f>
        <v>[S06_InstallationsVerificationReportsIssueDetail][2][TypeOfIssue]</v>
      </c>
    </row>
    <row r="1056" spans="1:15" x14ac:dyDescent="0.3">
      <c r="A1056" t="s">
        <v>1793</v>
      </c>
      <c r="B1056" t="s">
        <v>2099</v>
      </c>
      <c r="C1056" t="s">
        <v>2101</v>
      </c>
      <c r="D1056">
        <v>3</v>
      </c>
      <c r="E1056" t="s">
        <v>1447</v>
      </c>
      <c r="F1056" t="s">
        <v>2109</v>
      </c>
      <c r="G1056" t="s">
        <v>1737</v>
      </c>
      <c r="H1056" t="s">
        <v>1799</v>
      </c>
      <c r="I1056" t="s">
        <v>1799</v>
      </c>
      <c r="J1056" t="s">
        <v>1799</v>
      </c>
      <c r="K1056" t="s">
        <v>1799</v>
      </c>
      <c r="L1056" t="s">
        <v>1467</v>
      </c>
      <c r="M1056" t="s">
        <v>1799</v>
      </c>
      <c r="N1056" t="s">
        <v>1799</v>
      </c>
      <c r="O1056" s="184" t="str">
        <f>"["&amp;$C1056&amp;"]["&amp;$D1056&amp;"]["&amp;$F1056&amp;"]"</f>
        <v>[S06_InstallationsVerificationReportsIssueDetail][3][TypeOfIssue]</v>
      </c>
    </row>
    <row r="1057" spans="1:15" x14ac:dyDescent="0.3">
      <c r="A1057" t="s">
        <v>1793</v>
      </c>
      <c r="B1057" t="s">
        <v>2099</v>
      </c>
      <c r="C1057" t="s">
        <v>2101</v>
      </c>
      <c r="D1057">
        <v>4</v>
      </c>
      <c r="E1057" t="s">
        <v>1447</v>
      </c>
      <c r="F1057" t="s">
        <v>2109</v>
      </c>
      <c r="G1057" t="s">
        <v>1737</v>
      </c>
      <c r="H1057" t="s">
        <v>1799</v>
      </c>
      <c r="I1057" t="s">
        <v>1799</v>
      </c>
      <c r="J1057" t="s">
        <v>1799</v>
      </c>
      <c r="K1057" t="s">
        <v>1799</v>
      </c>
      <c r="L1057" t="s">
        <v>1467</v>
      </c>
      <c r="M1057" t="s">
        <v>1799</v>
      </c>
      <c r="N1057" t="s">
        <v>1799</v>
      </c>
      <c r="O1057" s="184" t="str">
        <f>"["&amp;$C1057&amp;"]["&amp;$D1057&amp;"]["&amp;$F1057&amp;"]"</f>
        <v>[S06_InstallationsVerificationReportsIssueDetail][4][TypeOfIssue]</v>
      </c>
    </row>
    <row r="1058" spans="1:15" x14ac:dyDescent="0.3">
      <c r="A1058" t="s">
        <v>1793</v>
      </c>
      <c r="B1058" t="s">
        <v>2099</v>
      </c>
      <c r="C1058" t="s">
        <v>2101</v>
      </c>
      <c r="D1058">
        <v>5</v>
      </c>
      <c r="E1058" t="s">
        <v>1447</v>
      </c>
      <c r="F1058" t="s">
        <v>2109</v>
      </c>
      <c r="G1058" t="s">
        <v>1737</v>
      </c>
      <c r="H1058" t="s">
        <v>1799</v>
      </c>
      <c r="I1058" t="s">
        <v>1799</v>
      </c>
      <c r="J1058" t="s">
        <v>1799</v>
      </c>
      <c r="K1058" t="s">
        <v>1799</v>
      </c>
      <c r="L1058" t="s">
        <v>1467</v>
      </c>
      <c r="M1058" t="s">
        <v>1799</v>
      </c>
      <c r="N1058" t="s">
        <v>1799</v>
      </c>
      <c r="O1058" s="184" t="str">
        <f>"["&amp;$C1058&amp;"]["&amp;$D1058&amp;"]["&amp;$F1058&amp;"]"</f>
        <v>[S06_InstallationsVerificationReportsIssueDetail][5][TypeOfIssue]</v>
      </c>
    </row>
    <row r="1059" spans="1:15" x14ac:dyDescent="0.3">
      <c r="A1059" t="s">
        <v>1793</v>
      </c>
      <c r="B1059" t="s">
        <v>2099</v>
      </c>
      <c r="C1059" t="s">
        <v>2101</v>
      </c>
      <c r="D1059">
        <v>6</v>
      </c>
      <c r="E1059" t="s">
        <v>1447</v>
      </c>
      <c r="F1059" t="s">
        <v>2109</v>
      </c>
      <c r="G1059" t="s">
        <v>1737</v>
      </c>
      <c r="H1059" t="s">
        <v>1799</v>
      </c>
      <c r="I1059" t="s">
        <v>1799</v>
      </c>
      <c r="J1059" t="s">
        <v>1799</v>
      </c>
      <c r="K1059" t="s">
        <v>1799</v>
      </c>
      <c r="L1059" t="s">
        <v>1467</v>
      </c>
      <c r="M1059" t="s">
        <v>1799</v>
      </c>
      <c r="N1059" t="s">
        <v>1799</v>
      </c>
      <c r="O1059" s="184" t="str">
        <f>"["&amp;$C1059&amp;"]["&amp;$D1059&amp;"]["&amp;$F1059&amp;"]"</f>
        <v>[S06_InstallationsVerificationReportsIssueDetail][6][TypeOfIssue]</v>
      </c>
    </row>
    <row r="1060" spans="1:15" x14ac:dyDescent="0.3">
      <c r="A1060" t="s">
        <v>1793</v>
      </c>
      <c r="B1060" t="s">
        <v>2099</v>
      </c>
      <c r="C1060" t="s">
        <v>2101</v>
      </c>
      <c r="D1060">
        <v>7</v>
      </c>
      <c r="E1060" t="s">
        <v>1447</v>
      </c>
      <c r="F1060" t="s">
        <v>2109</v>
      </c>
      <c r="G1060" t="s">
        <v>1737</v>
      </c>
      <c r="H1060" t="s">
        <v>1799</v>
      </c>
      <c r="I1060" t="s">
        <v>1799</v>
      </c>
      <c r="J1060" t="s">
        <v>1799</v>
      </c>
      <c r="K1060" t="s">
        <v>1799</v>
      </c>
      <c r="L1060" t="s">
        <v>1467</v>
      </c>
      <c r="M1060" t="s">
        <v>1799</v>
      </c>
      <c r="N1060" t="s">
        <v>1799</v>
      </c>
      <c r="O1060" s="184" t="str">
        <f>"["&amp;$C1060&amp;"]["&amp;$D1060&amp;"]["&amp;$F1060&amp;"]"</f>
        <v>[S06_InstallationsVerificationReportsIssueDetail][7][TypeOfIssue]</v>
      </c>
    </row>
    <row r="1061" spans="1:15" x14ac:dyDescent="0.3">
      <c r="A1061" t="s">
        <v>1793</v>
      </c>
      <c r="B1061" t="s">
        <v>2099</v>
      </c>
      <c r="C1061" t="s">
        <v>2101</v>
      </c>
      <c r="D1061">
        <v>8</v>
      </c>
      <c r="E1061" t="s">
        <v>1447</v>
      </c>
      <c r="F1061" t="s">
        <v>2109</v>
      </c>
      <c r="G1061" t="s">
        <v>1737</v>
      </c>
      <c r="H1061" t="s">
        <v>1799</v>
      </c>
      <c r="I1061" t="s">
        <v>1799</v>
      </c>
      <c r="J1061" t="s">
        <v>1799</v>
      </c>
      <c r="K1061" t="s">
        <v>1799</v>
      </c>
      <c r="L1061" t="s">
        <v>1467</v>
      </c>
      <c r="M1061" t="s">
        <v>1799</v>
      </c>
      <c r="N1061" t="s">
        <v>1799</v>
      </c>
      <c r="O1061" s="184" t="str">
        <f>"["&amp;$C1061&amp;"]["&amp;$D1061&amp;"]["&amp;$F1061&amp;"]"</f>
        <v>[S06_InstallationsVerificationReportsIssueDetail][8][TypeOfIssue]</v>
      </c>
    </row>
    <row r="1062" spans="1:15" x14ac:dyDescent="0.3">
      <c r="A1062" t="s">
        <v>1793</v>
      </c>
      <c r="B1062" t="s">
        <v>2099</v>
      </c>
      <c r="C1062" t="s">
        <v>2101</v>
      </c>
      <c r="D1062">
        <v>9</v>
      </c>
      <c r="E1062" t="s">
        <v>1447</v>
      </c>
      <c r="F1062" t="s">
        <v>2109</v>
      </c>
      <c r="G1062" t="s">
        <v>1737</v>
      </c>
      <c r="H1062" t="s">
        <v>1799</v>
      </c>
      <c r="I1062" t="s">
        <v>1799</v>
      </c>
      <c r="J1062" t="s">
        <v>1799</v>
      </c>
      <c r="K1062" t="s">
        <v>1799</v>
      </c>
      <c r="L1062" t="s">
        <v>1467</v>
      </c>
      <c r="M1062" t="s">
        <v>1799</v>
      </c>
      <c r="N1062" t="s">
        <v>1799</v>
      </c>
      <c r="O1062" s="184" t="str">
        <f>"["&amp;$C1062&amp;"]["&amp;$D1062&amp;"]["&amp;$F1062&amp;"]"</f>
        <v>[S06_InstallationsVerificationReportsIssueDetail][9][TypeOfIssue]</v>
      </c>
    </row>
    <row r="1063" spans="1:15" x14ac:dyDescent="0.3">
      <c r="A1063" t="s">
        <v>1793</v>
      </c>
      <c r="B1063" t="s">
        <v>2099</v>
      </c>
      <c r="C1063" t="s">
        <v>2101</v>
      </c>
      <c r="D1063">
        <v>10</v>
      </c>
      <c r="E1063" t="s">
        <v>1447</v>
      </c>
      <c r="F1063" t="s">
        <v>2109</v>
      </c>
      <c r="G1063" t="s">
        <v>1737</v>
      </c>
      <c r="H1063" t="s">
        <v>1799</v>
      </c>
      <c r="I1063" t="s">
        <v>1799</v>
      </c>
      <c r="J1063" t="s">
        <v>1799</v>
      </c>
      <c r="K1063" t="s">
        <v>1799</v>
      </c>
      <c r="L1063" t="s">
        <v>1467</v>
      </c>
      <c r="M1063" t="s">
        <v>1799</v>
      </c>
      <c r="N1063" t="s">
        <v>1799</v>
      </c>
      <c r="O1063" s="184" t="str">
        <f>"["&amp;$C1063&amp;"]["&amp;$D1063&amp;"]["&amp;$F1063&amp;"]"</f>
        <v>[S06_InstallationsVerificationReportsIssueDetail][10][TypeOfIssue]</v>
      </c>
    </row>
    <row r="1064" spans="1:15" x14ac:dyDescent="0.3">
      <c r="A1064" t="s">
        <v>1793</v>
      </c>
      <c r="B1064" t="s">
        <v>2099</v>
      </c>
      <c r="C1064" t="s">
        <v>2101</v>
      </c>
      <c r="D1064">
        <v>11</v>
      </c>
      <c r="E1064" t="s">
        <v>1447</v>
      </c>
      <c r="F1064" t="s">
        <v>2109</v>
      </c>
      <c r="G1064" t="s">
        <v>1737</v>
      </c>
      <c r="H1064" t="s">
        <v>1799</v>
      </c>
      <c r="I1064" t="s">
        <v>1799</v>
      </c>
      <c r="J1064" t="s">
        <v>1799</v>
      </c>
      <c r="K1064" t="s">
        <v>1799</v>
      </c>
      <c r="L1064" t="s">
        <v>1467</v>
      </c>
      <c r="M1064" t="s">
        <v>1799</v>
      </c>
      <c r="N1064" t="s">
        <v>1799</v>
      </c>
      <c r="O1064" s="184" t="str">
        <f>"["&amp;$C1064&amp;"]["&amp;$D1064&amp;"]["&amp;$F1064&amp;"]"</f>
        <v>[S06_InstallationsVerificationReportsIssueDetail][11][TypeOfIssue]</v>
      </c>
    </row>
    <row r="1065" spans="1:15" x14ac:dyDescent="0.3">
      <c r="A1065" t="s">
        <v>1793</v>
      </c>
      <c r="B1065" t="s">
        <v>2099</v>
      </c>
      <c r="C1065" t="s">
        <v>2101</v>
      </c>
      <c r="D1065">
        <v>12</v>
      </c>
      <c r="E1065" t="s">
        <v>1447</v>
      </c>
      <c r="F1065" t="s">
        <v>2109</v>
      </c>
      <c r="G1065" t="s">
        <v>1737</v>
      </c>
      <c r="H1065" t="s">
        <v>1799</v>
      </c>
      <c r="I1065" t="s">
        <v>1799</v>
      </c>
      <c r="J1065" t="s">
        <v>1799</v>
      </c>
      <c r="K1065" t="s">
        <v>1799</v>
      </c>
      <c r="L1065" t="s">
        <v>1467</v>
      </c>
      <c r="M1065" t="s">
        <v>1799</v>
      </c>
      <c r="N1065" t="s">
        <v>1799</v>
      </c>
      <c r="O1065" s="184" t="str">
        <f>"["&amp;$C1065&amp;"]["&amp;$D1065&amp;"]["&amp;$F1065&amp;"]"</f>
        <v>[S06_InstallationsVerificationReportsIssueDetail][12][TypeOfIssue]</v>
      </c>
    </row>
    <row r="1066" spans="1:15" x14ac:dyDescent="0.3">
      <c r="A1066" t="s">
        <v>1793</v>
      </c>
      <c r="B1066" t="s">
        <v>2099</v>
      </c>
      <c r="C1066" t="s">
        <v>2101</v>
      </c>
      <c r="D1066">
        <v>13</v>
      </c>
      <c r="E1066" t="s">
        <v>1447</v>
      </c>
      <c r="F1066" t="s">
        <v>2109</v>
      </c>
      <c r="G1066" t="s">
        <v>1737</v>
      </c>
      <c r="H1066" t="s">
        <v>1799</v>
      </c>
      <c r="I1066" t="s">
        <v>1799</v>
      </c>
      <c r="J1066" t="s">
        <v>1799</v>
      </c>
      <c r="K1066" t="s">
        <v>1799</v>
      </c>
      <c r="L1066" t="s">
        <v>1467</v>
      </c>
      <c r="M1066" t="s">
        <v>1799</v>
      </c>
      <c r="N1066" t="s">
        <v>1799</v>
      </c>
      <c r="O1066" s="184" t="str">
        <f>"["&amp;$C1066&amp;"]["&amp;$D1066&amp;"]["&amp;$F1066&amp;"]"</f>
        <v>[S06_InstallationsVerificationReportsIssueDetail][13][TypeOfIssue]</v>
      </c>
    </row>
    <row r="1067" spans="1:15" x14ac:dyDescent="0.3">
      <c r="A1067" t="s">
        <v>1793</v>
      </c>
      <c r="B1067" t="s">
        <v>2099</v>
      </c>
      <c r="C1067" t="s">
        <v>2101</v>
      </c>
      <c r="D1067">
        <v>14</v>
      </c>
      <c r="E1067" t="s">
        <v>1447</v>
      </c>
      <c r="F1067" t="s">
        <v>2109</v>
      </c>
      <c r="G1067" t="s">
        <v>1737</v>
      </c>
      <c r="H1067" t="s">
        <v>1799</v>
      </c>
      <c r="I1067" t="s">
        <v>1799</v>
      </c>
      <c r="J1067" t="s">
        <v>1799</v>
      </c>
      <c r="K1067" t="s">
        <v>1799</v>
      </c>
      <c r="L1067" t="s">
        <v>1492</v>
      </c>
      <c r="M1067" t="s">
        <v>1799</v>
      </c>
      <c r="N1067" t="s">
        <v>1799</v>
      </c>
      <c r="O1067" s="184" t="str">
        <f>"["&amp;$C1067&amp;"]["&amp;$D1067&amp;"]["&amp;$F1067&amp;"]"</f>
        <v>[S06_InstallationsVerificationReportsIssueDetail][14][TypeOfIssue]</v>
      </c>
    </row>
    <row r="1068" spans="1:15" x14ac:dyDescent="0.3">
      <c r="A1068" t="s">
        <v>1793</v>
      </c>
      <c r="B1068" t="s">
        <v>2099</v>
      </c>
      <c r="C1068" t="s">
        <v>2101</v>
      </c>
      <c r="D1068">
        <v>15</v>
      </c>
      <c r="E1068" t="s">
        <v>1447</v>
      </c>
      <c r="F1068" t="s">
        <v>2109</v>
      </c>
      <c r="G1068" t="s">
        <v>1737</v>
      </c>
      <c r="H1068" t="s">
        <v>1799</v>
      </c>
      <c r="I1068" t="s">
        <v>1799</v>
      </c>
      <c r="J1068" t="s">
        <v>1799</v>
      </c>
      <c r="K1068" t="s">
        <v>1799</v>
      </c>
      <c r="L1068" t="s">
        <v>2110</v>
      </c>
      <c r="M1068" t="s">
        <v>1799</v>
      </c>
      <c r="N1068" t="s">
        <v>1799</v>
      </c>
      <c r="O1068" s="184" t="str">
        <f>"["&amp;$C1068&amp;"]["&amp;$D1068&amp;"]["&amp;$F1068&amp;"]"</f>
        <v>[S06_InstallationsVerificationReportsIssueDetail][15][TypeOfIssue]</v>
      </c>
    </row>
    <row r="1069" spans="1:15" x14ac:dyDescent="0.3">
      <c r="A1069" t="s">
        <v>1793</v>
      </c>
      <c r="B1069" t="s">
        <v>2099</v>
      </c>
      <c r="C1069" t="s">
        <v>2101</v>
      </c>
      <c r="D1069">
        <v>16</v>
      </c>
      <c r="E1069" t="s">
        <v>1447</v>
      </c>
      <c r="F1069" t="s">
        <v>2109</v>
      </c>
      <c r="G1069" t="s">
        <v>1737</v>
      </c>
      <c r="H1069" t="s">
        <v>1799</v>
      </c>
      <c r="I1069" t="s">
        <v>1799</v>
      </c>
      <c r="J1069" t="s">
        <v>1799</v>
      </c>
      <c r="K1069" t="s">
        <v>1799</v>
      </c>
      <c r="L1069" t="s">
        <v>2111</v>
      </c>
      <c r="M1069" t="s">
        <v>1799</v>
      </c>
      <c r="N1069" t="s">
        <v>1799</v>
      </c>
      <c r="O1069" s="184" t="str">
        <f>"["&amp;$C1069&amp;"]["&amp;$D1069&amp;"]["&amp;$F1069&amp;"]"</f>
        <v>[S06_InstallationsVerificationReportsIssueDetail][16][TypeOfIssue]</v>
      </c>
    </row>
    <row r="1070" spans="1:15" x14ac:dyDescent="0.3">
      <c r="A1070" t="s">
        <v>1793</v>
      </c>
      <c r="B1070" t="s">
        <v>2099</v>
      </c>
      <c r="C1070" t="s">
        <v>2101</v>
      </c>
      <c r="D1070">
        <v>17</v>
      </c>
      <c r="E1070" t="s">
        <v>1447</v>
      </c>
      <c r="F1070" t="s">
        <v>2109</v>
      </c>
      <c r="G1070" t="s">
        <v>1737</v>
      </c>
      <c r="H1070" t="s">
        <v>1799</v>
      </c>
      <c r="I1070" t="s">
        <v>1799</v>
      </c>
      <c r="J1070" t="s">
        <v>1799</v>
      </c>
      <c r="K1070" t="s">
        <v>1799</v>
      </c>
      <c r="L1070" t="s">
        <v>2112</v>
      </c>
      <c r="M1070" t="s">
        <v>1799</v>
      </c>
      <c r="N1070" t="s">
        <v>1799</v>
      </c>
      <c r="O1070" s="184" t="str">
        <f>"["&amp;$C1070&amp;"]["&amp;$D1070&amp;"]["&amp;$F1070&amp;"]"</f>
        <v>[S06_InstallationsVerificationReportsIssueDetail][17][TypeOfIssue]</v>
      </c>
    </row>
    <row r="1071" spans="1:15" x14ac:dyDescent="0.3">
      <c r="A1071" t="s">
        <v>1793</v>
      </c>
      <c r="B1071" t="s">
        <v>2099</v>
      </c>
      <c r="C1071" t="s">
        <v>2101</v>
      </c>
      <c r="D1071">
        <v>18</v>
      </c>
      <c r="E1071" t="s">
        <v>1447</v>
      </c>
      <c r="F1071" t="s">
        <v>2109</v>
      </c>
      <c r="G1071" t="s">
        <v>1737</v>
      </c>
      <c r="H1071" t="s">
        <v>1799</v>
      </c>
      <c r="I1071" t="s">
        <v>1799</v>
      </c>
      <c r="J1071" t="s">
        <v>1799</v>
      </c>
      <c r="K1071" t="s">
        <v>1799</v>
      </c>
      <c r="L1071" t="s">
        <v>1512</v>
      </c>
      <c r="M1071" t="s">
        <v>1799</v>
      </c>
      <c r="N1071" t="s">
        <v>1799</v>
      </c>
      <c r="O1071" s="184" t="str">
        <f>"["&amp;$C1071&amp;"]["&amp;$D1071&amp;"]["&amp;$F1071&amp;"]"</f>
        <v>[S06_InstallationsVerificationReportsIssueDetail][18][TypeOfIssue]</v>
      </c>
    </row>
    <row r="1072" spans="1:15" x14ac:dyDescent="0.3">
      <c r="A1072" t="s">
        <v>1793</v>
      </c>
      <c r="B1072" t="s">
        <v>2099</v>
      </c>
      <c r="C1072" t="s">
        <v>2101</v>
      </c>
      <c r="D1072">
        <v>19</v>
      </c>
      <c r="E1072" t="s">
        <v>1447</v>
      </c>
      <c r="F1072" t="s">
        <v>2109</v>
      </c>
      <c r="G1072" t="s">
        <v>1737</v>
      </c>
      <c r="H1072" t="s">
        <v>1799</v>
      </c>
      <c r="I1072" t="s">
        <v>1799</v>
      </c>
      <c r="J1072" t="s">
        <v>1799</v>
      </c>
      <c r="K1072" t="s">
        <v>1799</v>
      </c>
      <c r="L1072" t="s">
        <v>1512</v>
      </c>
      <c r="M1072" t="s">
        <v>1799</v>
      </c>
      <c r="N1072" t="s">
        <v>1799</v>
      </c>
      <c r="O1072" s="184" t="str">
        <f>"["&amp;$C1072&amp;"]["&amp;$D1072&amp;"]["&amp;$F1072&amp;"]"</f>
        <v>[S06_InstallationsVerificationReportsIssueDetail][19][TypeOfIssue]</v>
      </c>
    </row>
    <row r="1073" spans="1:15" x14ac:dyDescent="0.3">
      <c r="A1073" t="s">
        <v>1793</v>
      </c>
      <c r="B1073" t="s">
        <v>2099</v>
      </c>
      <c r="C1073" t="s">
        <v>2101</v>
      </c>
      <c r="D1073">
        <v>20</v>
      </c>
      <c r="E1073" t="s">
        <v>1447</v>
      </c>
      <c r="F1073" t="s">
        <v>2109</v>
      </c>
      <c r="G1073" t="s">
        <v>1737</v>
      </c>
      <c r="H1073" t="s">
        <v>1799</v>
      </c>
      <c r="I1073" t="s">
        <v>1799</v>
      </c>
      <c r="J1073" t="s">
        <v>1799</v>
      </c>
      <c r="K1073" t="s">
        <v>1799</v>
      </c>
      <c r="L1073" t="s">
        <v>1512</v>
      </c>
      <c r="M1073" t="s">
        <v>1799</v>
      </c>
      <c r="N1073" t="s">
        <v>1799</v>
      </c>
      <c r="O1073" s="184" t="str">
        <f>"["&amp;$C1073&amp;"]["&amp;$D1073&amp;"]["&amp;$F1073&amp;"]"</f>
        <v>[S06_InstallationsVerificationReportsIssueDetail][20][TypeOfIssue]</v>
      </c>
    </row>
    <row r="1074" spans="1:15" x14ac:dyDescent="0.3">
      <c r="A1074" t="s">
        <v>1793</v>
      </c>
      <c r="B1074" t="s">
        <v>2099</v>
      </c>
      <c r="C1074" t="s">
        <v>2101</v>
      </c>
      <c r="D1074">
        <v>21</v>
      </c>
      <c r="E1074" t="s">
        <v>1447</v>
      </c>
      <c r="F1074" t="s">
        <v>2109</v>
      </c>
      <c r="G1074" t="s">
        <v>1737</v>
      </c>
      <c r="H1074" t="s">
        <v>1799</v>
      </c>
      <c r="I1074" t="s">
        <v>1799</v>
      </c>
      <c r="J1074" t="s">
        <v>1799</v>
      </c>
      <c r="K1074" t="s">
        <v>1799</v>
      </c>
      <c r="L1074" t="s">
        <v>1512</v>
      </c>
      <c r="M1074" t="s">
        <v>1799</v>
      </c>
      <c r="N1074" t="s">
        <v>1799</v>
      </c>
      <c r="O1074" s="184" t="str">
        <f>"["&amp;$C1074&amp;"]["&amp;$D1074&amp;"]["&amp;$F1074&amp;"]"</f>
        <v>[S06_InstallationsVerificationReportsIssueDetail][21][TypeOfIssue]</v>
      </c>
    </row>
    <row r="1075" spans="1:15" x14ac:dyDescent="0.3">
      <c r="A1075" t="s">
        <v>1793</v>
      </c>
      <c r="B1075" t="s">
        <v>2099</v>
      </c>
      <c r="C1075" t="s">
        <v>2101</v>
      </c>
      <c r="D1075">
        <v>22</v>
      </c>
      <c r="E1075" t="s">
        <v>1447</v>
      </c>
      <c r="F1075" t="s">
        <v>2109</v>
      </c>
      <c r="G1075" t="s">
        <v>1737</v>
      </c>
      <c r="H1075" t="s">
        <v>1799</v>
      </c>
      <c r="I1075" t="s">
        <v>1799</v>
      </c>
      <c r="J1075" t="s">
        <v>1799</v>
      </c>
      <c r="K1075" t="s">
        <v>1799</v>
      </c>
      <c r="L1075" t="s">
        <v>1512</v>
      </c>
      <c r="M1075" t="s">
        <v>1799</v>
      </c>
      <c r="N1075" t="s">
        <v>1799</v>
      </c>
      <c r="O1075" s="184" t="str">
        <f>"["&amp;$C1075&amp;"]["&amp;$D1075&amp;"]["&amp;$F1075&amp;"]"</f>
        <v>[S06_InstallationsVerificationReportsIssueDetail][22][TypeOfIssue]</v>
      </c>
    </row>
    <row r="1076" spans="1:15" x14ac:dyDescent="0.3">
      <c r="A1076" t="s">
        <v>1793</v>
      </c>
      <c r="B1076" t="s">
        <v>2099</v>
      </c>
      <c r="C1076" t="s">
        <v>2101</v>
      </c>
      <c r="D1076">
        <v>23</v>
      </c>
      <c r="E1076" t="s">
        <v>1447</v>
      </c>
      <c r="F1076" t="s">
        <v>2109</v>
      </c>
      <c r="G1076" t="s">
        <v>1737</v>
      </c>
      <c r="H1076" t="s">
        <v>1799</v>
      </c>
      <c r="I1076" t="s">
        <v>1799</v>
      </c>
      <c r="J1076" t="s">
        <v>1799</v>
      </c>
      <c r="K1076" t="s">
        <v>1799</v>
      </c>
      <c r="L1076" t="s">
        <v>1512</v>
      </c>
      <c r="M1076" t="s">
        <v>1799</v>
      </c>
      <c r="N1076" t="s">
        <v>1799</v>
      </c>
      <c r="O1076" s="184" t="str">
        <f>"["&amp;$C1076&amp;"]["&amp;$D1076&amp;"]["&amp;$F1076&amp;"]"</f>
        <v>[S06_InstallationsVerificationReportsIssueDetail][23][TypeOfIssue]</v>
      </c>
    </row>
    <row r="1077" spans="1:15" x14ac:dyDescent="0.3">
      <c r="A1077" t="s">
        <v>1793</v>
      </c>
      <c r="B1077" t="s">
        <v>2099</v>
      </c>
      <c r="C1077" t="s">
        <v>2101</v>
      </c>
      <c r="D1077">
        <v>24</v>
      </c>
      <c r="E1077" t="s">
        <v>1447</v>
      </c>
      <c r="F1077" t="s">
        <v>2109</v>
      </c>
      <c r="G1077" t="s">
        <v>1737</v>
      </c>
      <c r="H1077" t="s">
        <v>1799</v>
      </c>
      <c r="I1077" t="s">
        <v>1799</v>
      </c>
      <c r="J1077" t="s">
        <v>1799</v>
      </c>
      <c r="K1077" t="s">
        <v>1799</v>
      </c>
      <c r="L1077" t="s">
        <v>1512</v>
      </c>
      <c r="M1077" t="s">
        <v>1799</v>
      </c>
      <c r="N1077" t="s">
        <v>1799</v>
      </c>
      <c r="O1077" s="184" t="str">
        <f>"["&amp;$C1077&amp;"]["&amp;$D1077&amp;"]["&amp;$F1077&amp;"]"</f>
        <v>[S06_InstallationsVerificationReportsIssueDetail][24][TypeOfIssue]</v>
      </c>
    </row>
    <row r="1078" spans="1:15" x14ac:dyDescent="0.3">
      <c r="A1078" t="s">
        <v>1793</v>
      </c>
      <c r="B1078" t="s">
        <v>2099</v>
      </c>
      <c r="C1078" t="s">
        <v>2101</v>
      </c>
      <c r="D1078">
        <v>25</v>
      </c>
      <c r="E1078" t="s">
        <v>1447</v>
      </c>
      <c r="F1078" t="s">
        <v>2109</v>
      </c>
      <c r="G1078" t="s">
        <v>1737</v>
      </c>
      <c r="H1078" t="s">
        <v>1799</v>
      </c>
      <c r="I1078" t="s">
        <v>1799</v>
      </c>
      <c r="J1078" t="s">
        <v>1799</v>
      </c>
      <c r="K1078" t="s">
        <v>1799</v>
      </c>
      <c r="L1078" t="s">
        <v>1512</v>
      </c>
      <c r="M1078" t="s">
        <v>1799</v>
      </c>
      <c r="N1078" t="s">
        <v>1799</v>
      </c>
      <c r="O1078" s="184" t="str">
        <f>"["&amp;$C1078&amp;"]["&amp;$D1078&amp;"]["&amp;$F1078&amp;"]"</f>
        <v>[S06_InstallationsVerificationReportsIssueDetail][25][TypeOfIssue]</v>
      </c>
    </row>
    <row r="1079" spans="1:15" x14ac:dyDescent="0.3">
      <c r="A1079" t="s">
        <v>1793</v>
      </c>
      <c r="B1079" t="s">
        <v>2099</v>
      </c>
      <c r="C1079" t="s">
        <v>2101</v>
      </c>
      <c r="D1079">
        <v>26</v>
      </c>
      <c r="E1079" t="s">
        <v>1447</v>
      </c>
      <c r="F1079" t="s">
        <v>2109</v>
      </c>
      <c r="G1079" t="s">
        <v>1737</v>
      </c>
      <c r="H1079" t="s">
        <v>1799</v>
      </c>
      <c r="I1079" t="s">
        <v>1799</v>
      </c>
      <c r="J1079" t="s">
        <v>1799</v>
      </c>
      <c r="K1079" t="s">
        <v>1799</v>
      </c>
      <c r="L1079" t="s">
        <v>1512</v>
      </c>
      <c r="M1079" t="s">
        <v>1799</v>
      </c>
      <c r="N1079" t="s">
        <v>1799</v>
      </c>
      <c r="O1079" s="184" t="str">
        <f>"["&amp;$C1079&amp;"]["&amp;$D1079&amp;"]["&amp;$F1079&amp;"]"</f>
        <v>[S06_InstallationsVerificationReportsIssueDetail][26][TypeOfIssue]</v>
      </c>
    </row>
    <row r="1080" spans="1:15" x14ac:dyDescent="0.3">
      <c r="A1080" t="s">
        <v>1793</v>
      </c>
      <c r="B1080" t="s">
        <v>2099</v>
      </c>
      <c r="C1080" t="s">
        <v>2101</v>
      </c>
      <c r="D1080">
        <v>1</v>
      </c>
      <c r="E1080" t="s">
        <v>1447</v>
      </c>
      <c r="F1080" t="s">
        <v>1866</v>
      </c>
      <c r="G1080" t="s">
        <v>1811</v>
      </c>
      <c r="H1080" t="s">
        <v>1799</v>
      </c>
      <c r="I1080">
        <v>2</v>
      </c>
      <c r="J1080" t="s">
        <v>1799</v>
      </c>
      <c r="K1080" t="s">
        <v>1799</v>
      </c>
      <c r="L1080" t="s">
        <v>1799</v>
      </c>
      <c r="M1080" t="s">
        <v>1799</v>
      </c>
      <c r="N1080" t="s">
        <v>1799</v>
      </c>
      <c r="O1080" s="184" t="str">
        <f>"["&amp;$C1080&amp;"]["&amp;$D1080&amp;"]["&amp;$F1080&amp;"]"</f>
        <v>[S06_InstallationsVerificationReportsIssueDetail][1][NumberOfInstallations]</v>
      </c>
    </row>
    <row r="1081" spans="1:15" x14ac:dyDescent="0.3">
      <c r="A1081" t="s">
        <v>1793</v>
      </c>
      <c r="B1081" t="s">
        <v>2099</v>
      </c>
      <c r="C1081" t="s">
        <v>2101</v>
      </c>
      <c r="D1081">
        <v>2</v>
      </c>
      <c r="E1081" t="s">
        <v>1447</v>
      </c>
      <c r="F1081" t="s">
        <v>1866</v>
      </c>
      <c r="G1081" t="s">
        <v>1811</v>
      </c>
      <c r="H1081" t="s">
        <v>1799</v>
      </c>
      <c r="I1081">
        <v>1</v>
      </c>
      <c r="J1081" t="s">
        <v>1799</v>
      </c>
      <c r="K1081" t="s">
        <v>1799</v>
      </c>
      <c r="L1081" t="s">
        <v>1799</v>
      </c>
      <c r="M1081" t="s">
        <v>1799</v>
      </c>
      <c r="N1081" t="s">
        <v>1799</v>
      </c>
      <c r="O1081" s="184" t="str">
        <f>"["&amp;$C1081&amp;"]["&amp;$D1081&amp;"]["&amp;$F1081&amp;"]"</f>
        <v>[S06_InstallationsVerificationReportsIssueDetail][2][NumberOfInstallations]</v>
      </c>
    </row>
    <row r="1082" spans="1:15" x14ac:dyDescent="0.3">
      <c r="A1082" t="s">
        <v>1793</v>
      </c>
      <c r="B1082" t="s">
        <v>2099</v>
      </c>
      <c r="C1082" t="s">
        <v>2101</v>
      </c>
      <c r="D1082">
        <v>3</v>
      </c>
      <c r="E1082" t="s">
        <v>1447</v>
      </c>
      <c r="F1082" t="s">
        <v>1866</v>
      </c>
      <c r="G1082" t="s">
        <v>1811</v>
      </c>
      <c r="H1082" t="s">
        <v>1799</v>
      </c>
      <c r="I1082">
        <v>28</v>
      </c>
      <c r="J1082" t="s">
        <v>1799</v>
      </c>
      <c r="K1082" t="s">
        <v>1799</v>
      </c>
      <c r="L1082" t="s">
        <v>1799</v>
      </c>
      <c r="M1082" t="s">
        <v>1799</v>
      </c>
      <c r="N1082" t="s">
        <v>1799</v>
      </c>
      <c r="O1082" s="184" t="str">
        <f>"["&amp;$C1082&amp;"]["&amp;$D1082&amp;"]["&amp;$F1082&amp;"]"</f>
        <v>[S06_InstallationsVerificationReportsIssueDetail][3][NumberOfInstallations]</v>
      </c>
    </row>
    <row r="1083" spans="1:15" x14ac:dyDescent="0.3">
      <c r="A1083" t="s">
        <v>1793</v>
      </c>
      <c r="B1083" t="s">
        <v>2099</v>
      </c>
      <c r="C1083" t="s">
        <v>2101</v>
      </c>
      <c r="D1083">
        <v>4</v>
      </c>
      <c r="E1083" t="s">
        <v>1447</v>
      </c>
      <c r="F1083" t="s">
        <v>1866</v>
      </c>
      <c r="G1083" t="s">
        <v>1811</v>
      </c>
      <c r="H1083" t="s">
        <v>1799</v>
      </c>
      <c r="I1083">
        <v>1</v>
      </c>
      <c r="J1083" t="s">
        <v>1799</v>
      </c>
      <c r="K1083" t="s">
        <v>1799</v>
      </c>
      <c r="L1083" t="s">
        <v>1799</v>
      </c>
      <c r="M1083" t="s">
        <v>1799</v>
      </c>
      <c r="N1083" t="s">
        <v>1799</v>
      </c>
      <c r="O1083" s="184" t="str">
        <f>"["&amp;$C1083&amp;"]["&amp;$D1083&amp;"]["&amp;$F1083&amp;"]"</f>
        <v>[S06_InstallationsVerificationReportsIssueDetail][4][NumberOfInstallations]</v>
      </c>
    </row>
    <row r="1084" spans="1:15" x14ac:dyDescent="0.3">
      <c r="A1084" t="s">
        <v>1793</v>
      </c>
      <c r="B1084" t="s">
        <v>2099</v>
      </c>
      <c r="C1084" t="s">
        <v>2101</v>
      </c>
      <c r="D1084">
        <v>5</v>
      </c>
      <c r="E1084" t="s">
        <v>1447</v>
      </c>
      <c r="F1084" t="s">
        <v>1866</v>
      </c>
      <c r="G1084" t="s">
        <v>1811</v>
      </c>
      <c r="H1084" t="s">
        <v>1799</v>
      </c>
      <c r="I1084">
        <v>1</v>
      </c>
      <c r="J1084" t="s">
        <v>1799</v>
      </c>
      <c r="K1084" t="s">
        <v>1799</v>
      </c>
      <c r="L1084" t="s">
        <v>1799</v>
      </c>
      <c r="M1084" t="s">
        <v>1799</v>
      </c>
      <c r="N1084" t="s">
        <v>1799</v>
      </c>
      <c r="O1084" s="184" t="str">
        <f>"["&amp;$C1084&amp;"]["&amp;$D1084&amp;"]["&amp;$F1084&amp;"]"</f>
        <v>[S06_InstallationsVerificationReportsIssueDetail][5][NumberOfInstallations]</v>
      </c>
    </row>
    <row r="1085" spans="1:15" x14ac:dyDescent="0.3">
      <c r="A1085" t="s">
        <v>1793</v>
      </c>
      <c r="B1085" t="s">
        <v>2099</v>
      </c>
      <c r="C1085" t="s">
        <v>2101</v>
      </c>
      <c r="D1085">
        <v>6</v>
      </c>
      <c r="E1085" t="s">
        <v>1447</v>
      </c>
      <c r="F1085" t="s">
        <v>1866</v>
      </c>
      <c r="G1085" t="s">
        <v>1811</v>
      </c>
      <c r="H1085" t="s">
        <v>1799</v>
      </c>
      <c r="I1085">
        <v>1</v>
      </c>
      <c r="J1085" t="s">
        <v>1799</v>
      </c>
      <c r="K1085" t="s">
        <v>1799</v>
      </c>
      <c r="L1085" t="s">
        <v>1799</v>
      </c>
      <c r="M1085" t="s">
        <v>1799</v>
      </c>
      <c r="N1085" t="s">
        <v>1799</v>
      </c>
      <c r="O1085" s="184" t="str">
        <f>"["&amp;$C1085&amp;"]["&amp;$D1085&amp;"]["&amp;$F1085&amp;"]"</f>
        <v>[S06_InstallationsVerificationReportsIssueDetail][6][NumberOfInstallations]</v>
      </c>
    </row>
    <row r="1086" spans="1:15" x14ac:dyDescent="0.3">
      <c r="A1086" t="s">
        <v>1793</v>
      </c>
      <c r="B1086" t="s">
        <v>2099</v>
      </c>
      <c r="C1086" t="s">
        <v>2101</v>
      </c>
      <c r="D1086">
        <v>7</v>
      </c>
      <c r="E1086" t="s">
        <v>1447</v>
      </c>
      <c r="F1086" t="s">
        <v>1866</v>
      </c>
      <c r="G1086" t="s">
        <v>1811</v>
      </c>
      <c r="H1086" t="s">
        <v>1799</v>
      </c>
      <c r="I1086">
        <v>1</v>
      </c>
      <c r="J1086" t="s">
        <v>1799</v>
      </c>
      <c r="K1086" t="s">
        <v>1799</v>
      </c>
      <c r="L1086" t="s">
        <v>1799</v>
      </c>
      <c r="M1086" t="s">
        <v>1799</v>
      </c>
      <c r="N1086" t="s">
        <v>1799</v>
      </c>
      <c r="O1086" s="184" t="str">
        <f>"["&amp;$C1086&amp;"]["&amp;$D1086&amp;"]["&amp;$F1086&amp;"]"</f>
        <v>[S06_InstallationsVerificationReportsIssueDetail][7][NumberOfInstallations]</v>
      </c>
    </row>
    <row r="1087" spans="1:15" x14ac:dyDescent="0.3">
      <c r="A1087" t="s">
        <v>1793</v>
      </c>
      <c r="B1087" t="s">
        <v>2099</v>
      </c>
      <c r="C1087" t="s">
        <v>2101</v>
      </c>
      <c r="D1087">
        <v>8</v>
      </c>
      <c r="E1087" t="s">
        <v>1447</v>
      </c>
      <c r="F1087" t="s">
        <v>1866</v>
      </c>
      <c r="G1087" t="s">
        <v>1811</v>
      </c>
      <c r="H1087" t="s">
        <v>1799</v>
      </c>
      <c r="I1087">
        <v>1</v>
      </c>
      <c r="J1087" t="s">
        <v>1799</v>
      </c>
      <c r="K1087" t="s">
        <v>1799</v>
      </c>
      <c r="L1087" t="s">
        <v>1799</v>
      </c>
      <c r="M1087" t="s">
        <v>1799</v>
      </c>
      <c r="N1087" t="s">
        <v>1799</v>
      </c>
      <c r="O1087" s="184" t="str">
        <f>"["&amp;$C1087&amp;"]["&amp;$D1087&amp;"]["&amp;$F1087&amp;"]"</f>
        <v>[S06_InstallationsVerificationReportsIssueDetail][8][NumberOfInstallations]</v>
      </c>
    </row>
    <row r="1088" spans="1:15" x14ac:dyDescent="0.3">
      <c r="A1088" t="s">
        <v>1793</v>
      </c>
      <c r="B1088" t="s">
        <v>2099</v>
      </c>
      <c r="C1088" t="s">
        <v>2101</v>
      </c>
      <c r="D1088">
        <v>9</v>
      </c>
      <c r="E1088" t="s">
        <v>1447</v>
      </c>
      <c r="F1088" t="s">
        <v>1866</v>
      </c>
      <c r="G1088" t="s">
        <v>1811</v>
      </c>
      <c r="H1088" t="s">
        <v>1799</v>
      </c>
      <c r="I1088">
        <v>1</v>
      </c>
      <c r="J1088" t="s">
        <v>1799</v>
      </c>
      <c r="K1088" t="s">
        <v>1799</v>
      </c>
      <c r="L1088" t="s">
        <v>1799</v>
      </c>
      <c r="M1088" t="s">
        <v>1799</v>
      </c>
      <c r="N1088" t="s">
        <v>1799</v>
      </c>
      <c r="O1088" s="184" t="str">
        <f>"["&amp;$C1088&amp;"]["&amp;$D1088&amp;"]["&amp;$F1088&amp;"]"</f>
        <v>[S06_InstallationsVerificationReportsIssueDetail][9][NumberOfInstallations]</v>
      </c>
    </row>
    <row r="1089" spans="1:15" x14ac:dyDescent="0.3">
      <c r="A1089" t="s">
        <v>1793</v>
      </c>
      <c r="B1089" t="s">
        <v>2099</v>
      </c>
      <c r="C1089" t="s">
        <v>2101</v>
      </c>
      <c r="D1089">
        <v>10</v>
      </c>
      <c r="E1089" t="s">
        <v>1447</v>
      </c>
      <c r="F1089" t="s">
        <v>1866</v>
      </c>
      <c r="G1089" t="s">
        <v>1811</v>
      </c>
      <c r="H1089" t="s">
        <v>1799</v>
      </c>
      <c r="I1089">
        <v>3</v>
      </c>
      <c r="J1089" t="s">
        <v>1799</v>
      </c>
      <c r="K1089" t="s">
        <v>1799</v>
      </c>
      <c r="L1089" t="s">
        <v>1799</v>
      </c>
      <c r="M1089" t="s">
        <v>1799</v>
      </c>
      <c r="N1089" t="s">
        <v>1799</v>
      </c>
      <c r="O1089" s="184" t="str">
        <f>"["&amp;$C1089&amp;"]["&amp;$D1089&amp;"]["&amp;$F1089&amp;"]"</f>
        <v>[S06_InstallationsVerificationReportsIssueDetail][10][NumberOfInstallations]</v>
      </c>
    </row>
    <row r="1090" spans="1:15" x14ac:dyDescent="0.3">
      <c r="A1090" t="s">
        <v>1793</v>
      </c>
      <c r="B1090" t="s">
        <v>2099</v>
      </c>
      <c r="C1090" t="s">
        <v>2101</v>
      </c>
      <c r="D1090">
        <v>11</v>
      </c>
      <c r="E1090" t="s">
        <v>1447</v>
      </c>
      <c r="F1090" t="s">
        <v>1866</v>
      </c>
      <c r="G1090" t="s">
        <v>1811</v>
      </c>
      <c r="H1090" t="s">
        <v>1799</v>
      </c>
      <c r="I1090">
        <v>3</v>
      </c>
      <c r="J1090" t="s">
        <v>1799</v>
      </c>
      <c r="K1090" t="s">
        <v>1799</v>
      </c>
      <c r="L1090" t="s">
        <v>1799</v>
      </c>
      <c r="M1090" t="s">
        <v>1799</v>
      </c>
      <c r="N1090" t="s">
        <v>1799</v>
      </c>
      <c r="O1090" s="184" t="str">
        <f>"["&amp;$C1090&amp;"]["&amp;$D1090&amp;"]["&amp;$F1090&amp;"]"</f>
        <v>[S06_InstallationsVerificationReportsIssueDetail][11][NumberOfInstallations]</v>
      </c>
    </row>
    <row r="1091" spans="1:15" x14ac:dyDescent="0.3">
      <c r="A1091" t="s">
        <v>1793</v>
      </c>
      <c r="B1091" t="s">
        <v>2099</v>
      </c>
      <c r="C1091" t="s">
        <v>2101</v>
      </c>
      <c r="D1091">
        <v>12</v>
      </c>
      <c r="E1091" t="s">
        <v>1447</v>
      </c>
      <c r="F1091" t="s">
        <v>1866</v>
      </c>
      <c r="G1091" t="s">
        <v>1811</v>
      </c>
      <c r="H1091" t="s">
        <v>1799</v>
      </c>
      <c r="I1091">
        <v>1</v>
      </c>
      <c r="J1091" t="s">
        <v>1799</v>
      </c>
      <c r="K1091" t="s">
        <v>1799</v>
      </c>
      <c r="L1091" t="s">
        <v>1799</v>
      </c>
      <c r="M1091" t="s">
        <v>1799</v>
      </c>
      <c r="N1091" t="s">
        <v>1799</v>
      </c>
      <c r="O1091" s="184" t="str">
        <f>"["&amp;$C1091&amp;"]["&amp;$D1091&amp;"]["&amp;$F1091&amp;"]"</f>
        <v>[S06_InstallationsVerificationReportsIssueDetail][12][NumberOfInstallations]</v>
      </c>
    </row>
    <row r="1092" spans="1:15" x14ac:dyDescent="0.3">
      <c r="A1092" t="s">
        <v>1793</v>
      </c>
      <c r="B1092" t="s">
        <v>2099</v>
      </c>
      <c r="C1092" t="s">
        <v>2101</v>
      </c>
      <c r="D1092">
        <v>13</v>
      </c>
      <c r="E1092" t="s">
        <v>1447</v>
      </c>
      <c r="F1092" t="s">
        <v>1866</v>
      </c>
      <c r="G1092" t="s">
        <v>1811</v>
      </c>
      <c r="H1092" t="s">
        <v>1799</v>
      </c>
      <c r="I1092">
        <v>2</v>
      </c>
      <c r="J1092" t="s">
        <v>1799</v>
      </c>
      <c r="K1092" t="s">
        <v>1799</v>
      </c>
      <c r="L1092" t="s">
        <v>1799</v>
      </c>
      <c r="M1092" t="s">
        <v>1799</v>
      </c>
      <c r="N1092" t="s">
        <v>1799</v>
      </c>
      <c r="O1092" s="184" t="str">
        <f>"["&amp;$C1092&amp;"]["&amp;$D1092&amp;"]["&amp;$F1092&amp;"]"</f>
        <v>[S06_InstallationsVerificationReportsIssueDetail][13][NumberOfInstallations]</v>
      </c>
    </row>
    <row r="1093" spans="1:15" x14ac:dyDescent="0.3">
      <c r="A1093" t="s">
        <v>1793</v>
      </c>
      <c r="B1093" t="s">
        <v>2099</v>
      </c>
      <c r="C1093" t="s">
        <v>2101</v>
      </c>
      <c r="D1093">
        <v>14</v>
      </c>
      <c r="E1093" t="s">
        <v>1447</v>
      </c>
      <c r="F1093" t="s">
        <v>1866</v>
      </c>
      <c r="G1093" t="s">
        <v>1811</v>
      </c>
      <c r="H1093" t="s">
        <v>1799</v>
      </c>
      <c r="I1093">
        <v>4</v>
      </c>
      <c r="J1093" t="s">
        <v>1799</v>
      </c>
      <c r="K1093" t="s">
        <v>1799</v>
      </c>
      <c r="L1093" t="s">
        <v>1799</v>
      </c>
      <c r="M1093" t="s">
        <v>1799</v>
      </c>
      <c r="N1093" t="s">
        <v>1799</v>
      </c>
      <c r="O1093" s="184" t="str">
        <f>"["&amp;$C1093&amp;"]["&amp;$D1093&amp;"]["&amp;$F1093&amp;"]"</f>
        <v>[S06_InstallationsVerificationReportsIssueDetail][14][NumberOfInstallations]</v>
      </c>
    </row>
    <row r="1094" spans="1:15" x14ac:dyDescent="0.3">
      <c r="A1094" t="s">
        <v>1793</v>
      </c>
      <c r="B1094" t="s">
        <v>2099</v>
      </c>
      <c r="C1094" t="s">
        <v>2101</v>
      </c>
      <c r="D1094">
        <v>15</v>
      </c>
      <c r="E1094" t="s">
        <v>1447</v>
      </c>
      <c r="F1094" t="s">
        <v>1866</v>
      </c>
      <c r="G1094" t="s">
        <v>1811</v>
      </c>
      <c r="H1094" t="s">
        <v>1799</v>
      </c>
      <c r="I1094">
        <v>1</v>
      </c>
      <c r="J1094" t="s">
        <v>1799</v>
      </c>
      <c r="K1094" t="s">
        <v>1799</v>
      </c>
      <c r="L1094" t="s">
        <v>1799</v>
      </c>
      <c r="M1094" t="s">
        <v>1799</v>
      </c>
      <c r="N1094" t="s">
        <v>1799</v>
      </c>
      <c r="O1094" s="184" t="str">
        <f>"["&amp;$C1094&amp;"]["&amp;$D1094&amp;"]["&amp;$F1094&amp;"]"</f>
        <v>[S06_InstallationsVerificationReportsIssueDetail][15][NumberOfInstallations]</v>
      </c>
    </row>
    <row r="1095" spans="1:15" x14ac:dyDescent="0.3">
      <c r="A1095" t="s">
        <v>1793</v>
      </c>
      <c r="B1095" t="s">
        <v>2099</v>
      </c>
      <c r="C1095" t="s">
        <v>2101</v>
      </c>
      <c r="D1095">
        <v>16</v>
      </c>
      <c r="E1095" t="s">
        <v>1447</v>
      </c>
      <c r="F1095" t="s">
        <v>1866</v>
      </c>
      <c r="G1095" t="s">
        <v>1811</v>
      </c>
      <c r="H1095" t="s">
        <v>1799</v>
      </c>
      <c r="I1095">
        <v>1</v>
      </c>
      <c r="J1095" t="s">
        <v>1799</v>
      </c>
      <c r="K1095" t="s">
        <v>1799</v>
      </c>
      <c r="L1095" t="s">
        <v>1799</v>
      </c>
      <c r="M1095" t="s">
        <v>1799</v>
      </c>
      <c r="N1095" t="s">
        <v>1799</v>
      </c>
      <c r="O1095" s="184" t="str">
        <f>"["&amp;$C1095&amp;"]["&amp;$D1095&amp;"]["&amp;$F1095&amp;"]"</f>
        <v>[S06_InstallationsVerificationReportsIssueDetail][16][NumberOfInstallations]</v>
      </c>
    </row>
    <row r="1096" spans="1:15" x14ac:dyDescent="0.3">
      <c r="A1096" t="s">
        <v>1793</v>
      </c>
      <c r="B1096" t="s">
        <v>2099</v>
      </c>
      <c r="C1096" t="s">
        <v>2101</v>
      </c>
      <c r="D1096">
        <v>17</v>
      </c>
      <c r="E1096" t="s">
        <v>1447</v>
      </c>
      <c r="F1096" t="s">
        <v>1866</v>
      </c>
      <c r="G1096" t="s">
        <v>1811</v>
      </c>
      <c r="H1096" t="s">
        <v>1799</v>
      </c>
      <c r="I1096">
        <v>2</v>
      </c>
      <c r="J1096" t="s">
        <v>1799</v>
      </c>
      <c r="K1096" t="s">
        <v>1799</v>
      </c>
      <c r="L1096" t="s">
        <v>1799</v>
      </c>
      <c r="M1096" t="s">
        <v>1799</v>
      </c>
      <c r="N1096" t="s">
        <v>1799</v>
      </c>
      <c r="O1096" s="184" t="str">
        <f>"["&amp;$C1096&amp;"]["&amp;$D1096&amp;"]["&amp;$F1096&amp;"]"</f>
        <v>[S06_InstallationsVerificationReportsIssueDetail][17][NumberOfInstallations]</v>
      </c>
    </row>
    <row r="1097" spans="1:15" x14ac:dyDescent="0.3">
      <c r="A1097" t="s">
        <v>1793</v>
      </c>
      <c r="B1097" t="s">
        <v>2099</v>
      </c>
      <c r="C1097" t="s">
        <v>2101</v>
      </c>
      <c r="D1097">
        <v>18</v>
      </c>
      <c r="E1097" t="s">
        <v>1447</v>
      </c>
      <c r="F1097" t="s">
        <v>1866</v>
      </c>
      <c r="G1097" t="s">
        <v>1811</v>
      </c>
      <c r="H1097" t="s">
        <v>1799</v>
      </c>
      <c r="I1097">
        <v>14</v>
      </c>
      <c r="J1097" t="s">
        <v>1799</v>
      </c>
      <c r="K1097" t="s">
        <v>1799</v>
      </c>
      <c r="L1097" t="s">
        <v>1799</v>
      </c>
      <c r="M1097" t="s">
        <v>1799</v>
      </c>
      <c r="N1097" t="s">
        <v>1799</v>
      </c>
      <c r="O1097" s="184" t="str">
        <f>"["&amp;$C1097&amp;"]["&amp;$D1097&amp;"]["&amp;$F1097&amp;"]"</f>
        <v>[S06_InstallationsVerificationReportsIssueDetail][18][NumberOfInstallations]</v>
      </c>
    </row>
    <row r="1098" spans="1:15" x14ac:dyDescent="0.3">
      <c r="A1098" t="s">
        <v>1793</v>
      </c>
      <c r="B1098" t="s">
        <v>2099</v>
      </c>
      <c r="C1098" t="s">
        <v>2101</v>
      </c>
      <c r="D1098">
        <v>19</v>
      </c>
      <c r="E1098" t="s">
        <v>1447</v>
      </c>
      <c r="F1098" t="s">
        <v>1866</v>
      </c>
      <c r="G1098" t="s">
        <v>1811</v>
      </c>
      <c r="H1098" t="s">
        <v>1799</v>
      </c>
      <c r="I1098">
        <v>1</v>
      </c>
      <c r="J1098" t="s">
        <v>1799</v>
      </c>
      <c r="K1098" t="s">
        <v>1799</v>
      </c>
      <c r="L1098" t="s">
        <v>1799</v>
      </c>
      <c r="M1098" t="s">
        <v>1799</v>
      </c>
      <c r="N1098" t="s">
        <v>1799</v>
      </c>
      <c r="O1098" s="184" t="str">
        <f>"["&amp;$C1098&amp;"]["&amp;$D1098&amp;"]["&amp;$F1098&amp;"]"</f>
        <v>[S06_InstallationsVerificationReportsIssueDetail][19][NumberOfInstallations]</v>
      </c>
    </row>
    <row r="1099" spans="1:15" x14ac:dyDescent="0.3">
      <c r="A1099" t="s">
        <v>1793</v>
      </c>
      <c r="B1099" t="s">
        <v>2099</v>
      </c>
      <c r="C1099" t="s">
        <v>2101</v>
      </c>
      <c r="D1099">
        <v>20</v>
      </c>
      <c r="E1099" t="s">
        <v>1447</v>
      </c>
      <c r="F1099" t="s">
        <v>1866</v>
      </c>
      <c r="G1099" t="s">
        <v>1811</v>
      </c>
      <c r="H1099" t="s">
        <v>1799</v>
      </c>
      <c r="I1099">
        <v>1</v>
      </c>
      <c r="J1099" t="s">
        <v>1799</v>
      </c>
      <c r="K1099" t="s">
        <v>1799</v>
      </c>
      <c r="L1099" t="s">
        <v>1799</v>
      </c>
      <c r="M1099" t="s">
        <v>1799</v>
      </c>
      <c r="N1099" t="s">
        <v>1799</v>
      </c>
      <c r="O1099" s="184" t="str">
        <f>"["&amp;$C1099&amp;"]["&amp;$D1099&amp;"]["&amp;$F1099&amp;"]"</f>
        <v>[S06_InstallationsVerificationReportsIssueDetail][20][NumberOfInstallations]</v>
      </c>
    </row>
    <row r="1100" spans="1:15" x14ac:dyDescent="0.3">
      <c r="A1100" t="s">
        <v>1793</v>
      </c>
      <c r="B1100" t="s">
        <v>2099</v>
      </c>
      <c r="C1100" t="s">
        <v>2101</v>
      </c>
      <c r="D1100">
        <v>21</v>
      </c>
      <c r="E1100" t="s">
        <v>1447</v>
      </c>
      <c r="F1100" t="s">
        <v>1866</v>
      </c>
      <c r="G1100" t="s">
        <v>1811</v>
      </c>
      <c r="H1100" t="s">
        <v>1799</v>
      </c>
      <c r="I1100">
        <v>1</v>
      </c>
      <c r="J1100" t="s">
        <v>1799</v>
      </c>
      <c r="K1100" t="s">
        <v>1799</v>
      </c>
      <c r="L1100" t="s">
        <v>1799</v>
      </c>
      <c r="M1100" t="s">
        <v>1799</v>
      </c>
      <c r="N1100" t="s">
        <v>1799</v>
      </c>
      <c r="O1100" s="184" t="str">
        <f>"["&amp;$C1100&amp;"]["&amp;$D1100&amp;"]["&amp;$F1100&amp;"]"</f>
        <v>[S06_InstallationsVerificationReportsIssueDetail][21][NumberOfInstallations]</v>
      </c>
    </row>
    <row r="1101" spans="1:15" x14ac:dyDescent="0.3">
      <c r="A1101" t="s">
        <v>1793</v>
      </c>
      <c r="B1101" t="s">
        <v>2099</v>
      </c>
      <c r="C1101" t="s">
        <v>2101</v>
      </c>
      <c r="D1101">
        <v>22</v>
      </c>
      <c r="E1101" t="s">
        <v>1447</v>
      </c>
      <c r="F1101" t="s">
        <v>1866</v>
      </c>
      <c r="G1101" t="s">
        <v>1811</v>
      </c>
      <c r="H1101" t="s">
        <v>1799</v>
      </c>
      <c r="I1101">
        <v>1</v>
      </c>
      <c r="J1101" t="s">
        <v>1799</v>
      </c>
      <c r="K1101" t="s">
        <v>1799</v>
      </c>
      <c r="L1101" t="s">
        <v>1799</v>
      </c>
      <c r="M1101" t="s">
        <v>1799</v>
      </c>
      <c r="N1101" t="s">
        <v>1799</v>
      </c>
      <c r="O1101" s="184" t="str">
        <f>"["&amp;$C1101&amp;"]["&amp;$D1101&amp;"]["&amp;$F1101&amp;"]"</f>
        <v>[S06_InstallationsVerificationReportsIssueDetail][22][NumberOfInstallations]</v>
      </c>
    </row>
    <row r="1102" spans="1:15" x14ac:dyDescent="0.3">
      <c r="A1102" t="s">
        <v>1793</v>
      </c>
      <c r="B1102" t="s">
        <v>2099</v>
      </c>
      <c r="C1102" t="s">
        <v>2101</v>
      </c>
      <c r="D1102">
        <v>23</v>
      </c>
      <c r="E1102" t="s">
        <v>1447</v>
      </c>
      <c r="F1102" t="s">
        <v>1866</v>
      </c>
      <c r="G1102" t="s">
        <v>1811</v>
      </c>
      <c r="H1102" t="s">
        <v>1799</v>
      </c>
      <c r="I1102">
        <v>1</v>
      </c>
      <c r="J1102" t="s">
        <v>1799</v>
      </c>
      <c r="K1102" t="s">
        <v>1799</v>
      </c>
      <c r="L1102" t="s">
        <v>1799</v>
      </c>
      <c r="M1102" t="s">
        <v>1799</v>
      </c>
      <c r="N1102" t="s">
        <v>1799</v>
      </c>
      <c r="O1102" s="184" t="str">
        <f>"["&amp;$C1102&amp;"]["&amp;$D1102&amp;"]["&amp;$F1102&amp;"]"</f>
        <v>[S06_InstallationsVerificationReportsIssueDetail][23][NumberOfInstallations]</v>
      </c>
    </row>
    <row r="1103" spans="1:15" x14ac:dyDescent="0.3">
      <c r="A1103" t="s">
        <v>1793</v>
      </c>
      <c r="B1103" t="s">
        <v>2099</v>
      </c>
      <c r="C1103" t="s">
        <v>2101</v>
      </c>
      <c r="D1103">
        <v>24</v>
      </c>
      <c r="E1103" t="s">
        <v>1447</v>
      </c>
      <c r="F1103" t="s">
        <v>1866</v>
      </c>
      <c r="G1103" t="s">
        <v>1811</v>
      </c>
      <c r="H1103" t="s">
        <v>1799</v>
      </c>
      <c r="I1103">
        <v>2</v>
      </c>
      <c r="J1103" t="s">
        <v>1799</v>
      </c>
      <c r="K1103" t="s">
        <v>1799</v>
      </c>
      <c r="L1103" t="s">
        <v>1799</v>
      </c>
      <c r="M1103" t="s">
        <v>1799</v>
      </c>
      <c r="N1103" t="s">
        <v>1799</v>
      </c>
      <c r="O1103" s="184" t="str">
        <f>"["&amp;$C1103&amp;"]["&amp;$D1103&amp;"]["&amp;$F1103&amp;"]"</f>
        <v>[S06_InstallationsVerificationReportsIssueDetail][24][NumberOfInstallations]</v>
      </c>
    </row>
    <row r="1104" spans="1:15" x14ac:dyDescent="0.3">
      <c r="A1104" t="s">
        <v>1793</v>
      </c>
      <c r="B1104" t="s">
        <v>2099</v>
      </c>
      <c r="C1104" t="s">
        <v>2101</v>
      </c>
      <c r="D1104">
        <v>25</v>
      </c>
      <c r="E1104" t="s">
        <v>1447</v>
      </c>
      <c r="F1104" t="s">
        <v>1866</v>
      </c>
      <c r="G1104" t="s">
        <v>1811</v>
      </c>
      <c r="H1104" t="s">
        <v>1799</v>
      </c>
      <c r="I1104">
        <v>1</v>
      </c>
      <c r="J1104" t="s">
        <v>1799</v>
      </c>
      <c r="K1104" t="s">
        <v>1799</v>
      </c>
      <c r="L1104" t="s">
        <v>1799</v>
      </c>
      <c r="M1104" t="s">
        <v>1799</v>
      </c>
      <c r="N1104" t="s">
        <v>1799</v>
      </c>
      <c r="O1104" s="184" t="str">
        <f>"["&amp;$C1104&amp;"]["&amp;$D1104&amp;"]["&amp;$F1104&amp;"]"</f>
        <v>[S06_InstallationsVerificationReportsIssueDetail][25][NumberOfInstallations]</v>
      </c>
    </row>
    <row r="1105" spans="1:15" x14ac:dyDescent="0.3">
      <c r="A1105" t="s">
        <v>1793</v>
      </c>
      <c r="B1105" t="s">
        <v>2099</v>
      </c>
      <c r="C1105" t="s">
        <v>2101</v>
      </c>
      <c r="D1105">
        <v>26</v>
      </c>
      <c r="E1105" t="s">
        <v>1447</v>
      </c>
      <c r="F1105" t="s">
        <v>1866</v>
      </c>
      <c r="G1105" t="s">
        <v>1811</v>
      </c>
      <c r="H1105" t="s">
        <v>1799</v>
      </c>
      <c r="I1105">
        <v>1</v>
      </c>
      <c r="J1105" t="s">
        <v>1799</v>
      </c>
      <c r="K1105" t="s">
        <v>1799</v>
      </c>
      <c r="L1105" t="s">
        <v>1799</v>
      </c>
      <c r="M1105" t="s">
        <v>1799</v>
      </c>
      <c r="N1105" t="s">
        <v>1799</v>
      </c>
      <c r="O1105" s="184" t="str">
        <f>"["&amp;$C1105&amp;"]["&amp;$D1105&amp;"]["&amp;$F1105&amp;"]"</f>
        <v>[S06_InstallationsVerificationReportsIssueDetail][26][NumberOfInstallations]</v>
      </c>
    </row>
    <row r="1106" spans="1:15" x14ac:dyDescent="0.3">
      <c r="A1106" t="s">
        <v>1793</v>
      </c>
      <c r="B1106" t="s">
        <v>2099</v>
      </c>
      <c r="C1106" t="s">
        <v>2101</v>
      </c>
      <c r="D1106">
        <v>1</v>
      </c>
      <c r="E1106" t="s">
        <v>1447</v>
      </c>
      <c r="F1106" t="s">
        <v>2093</v>
      </c>
      <c r="G1106" t="s">
        <v>1811</v>
      </c>
      <c r="H1106" t="s">
        <v>1799</v>
      </c>
      <c r="I1106">
        <v>2</v>
      </c>
      <c r="J1106" t="s">
        <v>1799</v>
      </c>
      <c r="K1106" t="s">
        <v>1799</v>
      </c>
      <c r="L1106" t="s">
        <v>1799</v>
      </c>
      <c r="M1106" t="s">
        <v>1799</v>
      </c>
      <c r="N1106" t="s">
        <v>1799</v>
      </c>
      <c r="O1106" s="184" t="str">
        <f>"["&amp;$C1106&amp;"]["&amp;$D1106&amp;"]["&amp;$F1106&amp;"]"</f>
        <v>[S06_InstallationsVerificationReportsIssueDetail][1][NumberOfIssues]</v>
      </c>
    </row>
    <row r="1107" spans="1:15" x14ac:dyDescent="0.3">
      <c r="A1107" t="s">
        <v>1793</v>
      </c>
      <c r="B1107" t="s">
        <v>2099</v>
      </c>
      <c r="C1107" t="s">
        <v>2101</v>
      </c>
      <c r="D1107">
        <v>2</v>
      </c>
      <c r="E1107" t="s">
        <v>1447</v>
      </c>
      <c r="F1107" t="s">
        <v>2093</v>
      </c>
      <c r="G1107" t="s">
        <v>1811</v>
      </c>
      <c r="H1107" t="s">
        <v>1799</v>
      </c>
      <c r="I1107">
        <v>1</v>
      </c>
      <c r="J1107" t="s">
        <v>1799</v>
      </c>
      <c r="K1107" t="s">
        <v>1799</v>
      </c>
      <c r="L1107" t="s">
        <v>1799</v>
      </c>
      <c r="M1107" t="s">
        <v>1799</v>
      </c>
      <c r="N1107" t="s">
        <v>1799</v>
      </c>
      <c r="O1107" s="184" t="str">
        <f>"["&amp;$C1107&amp;"]["&amp;$D1107&amp;"]["&amp;$F1107&amp;"]"</f>
        <v>[S06_InstallationsVerificationReportsIssueDetail][2][NumberOfIssues]</v>
      </c>
    </row>
    <row r="1108" spans="1:15" x14ac:dyDescent="0.3">
      <c r="A1108" t="s">
        <v>1793</v>
      </c>
      <c r="B1108" t="s">
        <v>2099</v>
      </c>
      <c r="C1108" t="s">
        <v>2101</v>
      </c>
      <c r="D1108">
        <v>3</v>
      </c>
      <c r="E1108" t="s">
        <v>1447</v>
      </c>
      <c r="F1108" t="s">
        <v>2093</v>
      </c>
      <c r="G1108" t="s">
        <v>1811</v>
      </c>
      <c r="H1108" t="s">
        <v>1799</v>
      </c>
      <c r="I1108">
        <v>9</v>
      </c>
      <c r="J1108" t="s">
        <v>1799</v>
      </c>
      <c r="K1108" t="s">
        <v>1799</v>
      </c>
      <c r="L1108" t="s">
        <v>1799</v>
      </c>
      <c r="M1108" t="s">
        <v>1799</v>
      </c>
      <c r="N1108" t="s">
        <v>1799</v>
      </c>
      <c r="O1108" s="184" t="str">
        <f>"["&amp;$C1108&amp;"]["&amp;$D1108&amp;"]["&amp;$F1108&amp;"]"</f>
        <v>[S06_InstallationsVerificationReportsIssueDetail][3][NumberOfIssues]</v>
      </c>
    </row>
    <row r="1109" spans="1:15" x14ac:dyDescent="0.3">
      <c r="A1109" t="s">
        <v>1793</v>
      </c>
      <c r="B1109" t="s">
        <v>2099</v>
      </c>
      <c r="C1109" t="s">
        <v>2101</v>
      </c>
      <c r="D1109">
        <v>4</v>
      </c>
      <c r="E1109" t="s">
        <v>1447</v>
      </c>
      <c r="F1109" t="s">
        <v>2093</v>
      </c>
      <c r="G1109" t="s">
        <v>1811</v>
      </c>
      <c r="H1109" t="s">
        <v>1799</v>
      </c>
      <c r="I1109">
        <v>1</v>
      </c>
      <c r="J1109" t="s">
        <v>1799</v>
      </c>
      <c r="K1109" t="s">
        <v>1799</v>
      </c>
      <c r="L1109" t="s">
        <v>1799</v>
      </c>
      <c r="M1109" t="s">
        <v>1799</v>
      </c>
      <c r="N1109" t="s">
        <v>1799</v>
      </c>
      <c r="O1109" s="184" t="str">
        <f>"["&amp;$C1109&amp;"]["&amp;$D1109&amp;"]["&amp;$F1109&amp;"]"</f>
        <v>[S06_InstallationsVerificationReportsIssueDetail][4][NumberOfIssues]</v>
      </c>
    </row>
    <row r="1110" spans="1:15" x14ac:dyDescent="0.3">
      <c r="A1110" t="s">
        <v>1793</v>
      </c>
      <c r="B1110" t="s">
        <v>2099</v>
      </c>
      <c r="C1110" t="s">
        <v>2101</v>
      </c>
      <c r="D1110">
        <v>5</v>
      </c>
      <c r="E1110" t="s">
        <v>1447</v>
      </c>
      <c r="F1110" t="s">
        <v>2093</v>
      </c>
      <c r="G1110" t="s">
        <v>1811</v>
      </c>
      <c r="H1110" t="s">
        <v>1799</v>
      </c>
      <c r="I1110">
        <v>2</v>
      </c>
      <c r="J1110" t="s">
        <v>1799</v>
      </c>
      <c r="K1110" t="s">
        <v>1799</v>
      </c>
      <c r="L1110" t="s">
        <v>1799</v>
      </c>
      <c r="M1110" t="s">
        <v>1799</v>
      </c>
      <c r="N1110" t="s">
        <v>1799</v>
      </c>
      <c r="O1110" s="184" t="str">
        <f>"["&amp;$C1110&amp;"]["&amp;$D1110&amp;"]["&amp;$F1110&amp;"]"</f>
        <v>[S06_InstallationsVerificationReportsIssueDetail][5][NumberOfIssues]</v>
      </c>
    </row>
    <row r="1111" spans="1:15" x14ac:dyDescent="0.3">
      <c r="A1111" t="s">
        <v>1793</v>
      </c>
      <c r="B1111" t="s">
        <v>2099</v>
      </c>
      <c r="C1111" t="s">
        <v>2101</v>
      </c>
      <c r="D1111">
        <v>6</v>
      </c>
      <c r="E1111" t="s">
        <v>1447</v>
      </c>
      <c r="F1111" t="s">
        <v>2093</v>
      </c>
      <c r="G1111" t="s">
        <v>1811</v>
      </c>
      <c r="H1111" t="s">
        <v>1799</v>
      </c>
      <c r="I1111">
        <v>1</v>
      </c>
      <c r="J1111" t="s">
        <v>1799</v>
      </c>
      <c r="K1111" t="s">
        <v>1799</v>
      </c>
      <c r="L1111" t="s">
        <v>1799</v>
      </c>
      <c r="M1111" t="s">
        <v>1799</v>
      </c>
      <c r="N1111" t="s">
        <v>1799</v>
      </c>
      <c r="O1111" s="184" t="str">
        <f>"["&amp;$C1111&amp;"]["&amp;$D1111&amp;"]["&amp;$F1111&amp;"]"</f>
        <v>[S06_InstallationsVerificationReportsIssueDetail][6][NumberOfIssues]</v>
      </c>
    </row>
    <row r="1112" spans="1:15" x14ac:dyDescent="0.3">
      <c r="A1112" t="s">
        <v>1793</v>
      </c>
      <c r="B1112" t="s">
        <v>2099</v>
      </c>
      <c r="C1112" t="s">
        <v>2101</v>
      </c>
      <c r="D1112">
        <v>7</v>
      </c>
      <c r="E1112" t="s">
        <v>1447</v>
      </c>
      <c r="F1112" t="s">
        <v>2093</v>
      </c>
      <c r="G1112" t="s">
        <v>1811</v>
      </c>
      <c r="H1112" t="s">
        <v>1799</v>
      </c>
      <c r="I1112">
        <v>1</v>
      </c>
      <c r="J1112" t="s">
        <v>1799</v>
      </c>
      <c r="K1112" t="s">
        <v>1799</v>
      </c>
      <c r="L1112" t="s">
        <v>1799</v>
      </c>
      <c r="M1112" t="s">
        <v>1799</v>
      </c>
      <c r="N1112" t="s">
        <v>1799</v>
      </c>
      <c r="O1112" s="184" t="str">
        <f>"["&amp;$C1112&amp;"]["&amp;$D1112&amp;"]["&amp;$F1112&amp;"]"</f>
        <v>[S06_InstallationsVerificationReportsIssueDetail][7][NumberOfIssues]</v>
      </c>
    </row>
    <row r="1113" spans="1:15" x14ac:dyDescent="0.3">
      <c r="A1113" t="s">
        <v>1793</v>
      </c>
      <c r="B1113" t="s">
        <v>2099</v>
      </c>
      <c r="C1113" t="s">
        <v>2101</v>
      </c>
      <c r="D1113">
        <v>8</v>
      </c>
      <c r="E1113" t="s">
        <v>1447</v>
      </c>
      <c r="F1113" t="s">
        <v>2093</v>
      </c>
      <c r="G1113" t="s">
        <v>1811</v>
      </c>
      <c r="H1113" t="s">
        <v>1799</v>
      </c>
      <c r="I1113">
        <v>1</v>
      </c>
      <c r="J1113" t="s">
        <v>1799</v>
      </c>
      <c r="K1113" t="s">
        <v>1799</v>
      </c>
      <c r="L1113" t="s">
        <v>1799</v>
      </c>
      <c r="M1113" t="s">
        <v>1799</v>
      </c>
      <c r="N1113" t="s">
        <v>1799</v>
      </c>
      <c r="O1113" s="184" t="str">
        <f>"["&amp;$C1113&amp;"]["&amp;$D1113&amp;"]["&amp;$F1113&amp;"]"</f>
        <v>[S06_InstallationsVerificationReportsIssueDetail][8][NumberOfIssues]</v>
      </c>
    </row>
    <row r="1114" spans="1:15" x14ac:dyDescent="0.3">
      <c r="A1114" t="s">
        <v>1793</v>
      </c>
      <c r="B1114" t="s">
        <v>2099</v>
      </c>
      <c r="C1114" t="s">
        <v>2101</v>
      </c>
      <c r="D1114">
        <v>9</v>
      </c>
      <c r="E1114" t="s">
        <v>1447</v>
      </c>
      <c r="F1114" t="s">
        <v>2093</v>
      </c>
      <c r="G1114" t="s">
        <v>1811</v>
      </c>
      <c r="H1114" t="s">
        <v>1799</v>
      </c>
      <c r="I1114">
        <v>1</v>
      </c>
      <c r="J1114" t="s">
        <v>1799</v>
      </c>
      <c r="K1114" t="s">
        <v>1799</v>
      </c>
      <c r="L1114" t="s">
        <v>1799</v>
      </c>
      <c r="M1114" t="s">
        <v>1799</v>
      </c>
      <c r="N1114" t="s">
        <v>1799</v>
      </c>
      <c r="O1114" s="184" t="str">
        <f>"["&amp;$C1114&amp;"]["&amp;$D1114&amp;"]["&amp;$F1114&amp;"]"</f>
        <v>[S06_InstallationsVerificationReportsIssueDetail][9][NumberOfIssues]</v>
      </c>
    </row>
    <row r="1115" spans="1:15" x14ac:dyDescent="0.3">
      <c r="A1115" t="s">
        <v>1793</v>
      </c>
      <c r="B1115" t="s">
        <v>2099</v>
      </c>
      <c r="C1115" t="s">
        <v>2101</v>
      </c>
      <c r="D1115">
        <v>10</v>
      </c>
      <c r="E1115" t="s">
        <v>1447</v>
      </c>
      <c r="F1115" t="s">
        <v>2093</v>
      </c>
      <c r="G1115" t="s">
        <v>1811</v>
      </c>
      <c r="H1115" t="s">
        <v>1799</v>
      </c>
      <c r="I1115">
        <v>3</v>
      </c>
      <c r="J1115" t="s">
        <v>1799</v>
      </c>
      <c r="K1115" t="s">
        <v>1799</v>
      </c>
      <c r="L1115" t="s">
        <v>1799</v>
      </c>
      <c r="M1115" t="s">
        <v>1799</v>
      </c>
      <c r="N1115" t="s">
        <v>1799</v>
      </c>
      <c r="O1115" s="184" t="str">
        <f>"["&amp;$C1115&amp;"]["&amp;$D1115&amp;"]["&amp;$F1115&amp;"]"</f>
        <v>[S06_InstallationsVerificationReportsIssueDetail][10][NumberOfIssues]</v>
      </c>
    </row>
    <row r="1116" spans="1:15" x14ac:dyDescent="0.3">
      <c r="A1116" t="s">
        <v>1793</v>
      </c>
      <c r="B1116" t="s">
        <v>2099</v>
      </c>
      <c r="C1116" t="s">
        <v>2101</v>
      </c>
      <c r="D1116">
        <v>11</v>
      </c>
      <c r="E1116" t="s">
        <v>1447</v>
      </c>
      <c r="F1116" t="s">
        <v>2093</v>
      </c>
      <c r="G1116" t="s">
        <v>1811</v>
      </c>
      <c r="H1116" t="s">
        <v>1799</v>
      </c>
      <c r="I1116">
        <v>4</v>
      </c>
      <c r="J1116" t="s">
        <v>1799</v>
      </c>
      <c r="K1116" t="s">
        <v>1799</v>
      </c>
      <c r="L1116" t="s">
        <v>1799</v>
      </c>
      <c r="M1116" t="s">
        <v>1799</v>
      </c>
      <c r="N1116" t="s">
        <v>1799</v>
      </c>
      <c r="O1116" s="184" t="str">
        <f>"["&amp;$C1116&amp;"]["&amp;$D1116&amp;"]["&amp;$F1116&amp;"]"</f>
        <v>[S06_InstallationsVerificationReportsIssueDetail][11][NumberOfIssues]</v>
      </c>
    </row>
    <row r="1117" spans="1:15" x14ac:dyDescent="0.3">
      <c r="A1117" t="s">
        <v>1793</v>
      </c>
      <c r="B1117" t="s">
        <v>2099</v>
      </c>
      <c r="C1117" t="s">
        <v>2101</v>
      </c>
      <c r="D1117">
        <v>12</v>
      </c>
      <c r="E1117" t="s">
        <v>1447</v>
      </c>
      <c r="F1117" t="s">
        <v>2093</v>
      </c>
      <c r="G1117" t="s">
        <v>1811</v>
      </c>
      <c r="H1117" t="s">
        <v>1799</v>
      </c>
      <c r="I1117">
        <v>2</v>
      </c>
      <c r="J1117" t="s">
        <v>1799</v>
      </c>
      <c r="K1117" t="s">
        <v>1799</v>
      </c>
      <c r="L1117" t="s">
        <v>1799</v>
      </c>
      <c r="M1117" t="s">
        <v>1799</v>
      </c>
      <c r="N1117" t="s">
        <v>1799</v>
      </c>
      <c r="O1117" s="184" t="str">
        <f>"["&amp;$C1117&amp;"]["&amp;$D1117&amp;"]["&amp;$F1117&amp;"]"</f>
        <v>[S06_InstallationsVerificationReportsIssueDetail][12][NumberOfIssues]</v>
      </c>
    </row>
    <row r="1118" spans="1:15" x14ac:dyDescent="0.3">
      <c r="A1118" t="s">
        <v>1793</v>
      </c>
      <c r="B1118" t="s">
        <v>2099</v>
      </c>
      <c r="C1118" t="s">
        <v>2101</v>
      </c>
      <c r="D1118">
        <v>13</v>
      </c>
      <c r="E1118" t="s">
        <v>1447</v>
      </c>
      <c r="F1118" t="s">
        <v>2093</v>
      </c>
      <c r="G1118" t="s">
        <v>1811</v>
      </c>
      <c r="H1118" t="s">
        <v>1799</v>
      </c>
      <c r="I1118">
        <v>5</v>
      </c>
      <c r="J1118" t="s">
        <v>1799</v>
      </c>
      <c r="K1118" t="s">
        <v>1799</v>
      </c>
      <c r="L1118" t="s">
        <v>1799</v>
      </c>
      <c r="M1118" t="s">
        <v>1799</v>
      </c>
      <c r="N1118" t="s">
        <v>1799</v>
      </c>
      <c r="O1118" s="184" t="str">
        <f>"["&amp;$C1118&amp;"]["&amp;$D1118&amp;"]["&amp;$F1118&amp;"]"</f>
        <v>[S06_InstallationsVerificationReportsIssueDetail][13][NumberOfIssues]</v>
      </c>
    </row>
    <row r="1119" spans="1:15" x14ac:dyDescent="0.3">
      <c r="A1119" t="s">
        <v>1793</v>
      </c>
      <c r="B1119" t="s">
        <v>2099</v>
      </c>
      <c r="C1119" t="s">
        <v>2101</v>
      </c>
      <c r="D1119">
        <v>14</v>
      </c>
      <c r="E1119" t="s">
        <v>1447</v>
      </c>
      <c r="F1119" t="s">
        <v>2093</v>
      </c>
      <c r="G1119" t="s">
        <v>1811</v>
      </c>
      <c r="H1119" t="s">
        <v>1799</v>
      </c>
      <c r="I1119">
        <v>4</v>
      </c>
      <c r="J1119" t="s">
        <v>1799</v>
      </c>
      <c r="K1119" t="s">
        <v>1799</v>
      </c>
      <c r="L1119" t="s">
        <v>1799</v>
      </c>
      <c r="M1119" t="s">
        <v>1799</v>
      </c>
      <c r="N1119" t="s">
        <v>1799</v>
      </c>
      <c r="O1119" s="184" t="str">
        <f>"["&amp;$C1119&amp;"]["&amp;$D1119&amp;"]["&amp;$F1119&amp;"]"</f>
        <v>[S06_InstallationsVerificationReportsIssueDetail][14][NumberOfIssues]</v>
      </c>
    </row>
    <row r="1120" spans="1:15" x14ac:dyDescent="0.3">
      <c r="A1120" t="s">
        <v>1793</v>
      </c>
      <c r="B1120" t="s">
        <v>2099</v>
      </c>
      <c r="C1120" t="s">
        <v>2101</v>
      </c>
      <c r="D1120">
        <v>15</v>
      </c>
      <c r="E1120" t="s">
        <v>1447</v>
      </c>
      <c r="F1120" t="s">
        <v>2093</v>
      </c>
      <c r="G1120" t="s">
        <v>1811</v>
      </c>
      <c r="H1120" t="s">
        <v>1799</v>
      </c>
      <c r="I1120">
        <v>1</v>
      </c>
      <c r="J1120" t="s">
        <v>1799</v>
      </c>
      <c r="K1120" t="s">
        <v>1799</v>
      </c>
      <c r="L1120" t="s">
        <v>1799</v>
      </c>
      <c r="M1120" t="s">
        <v>1799</v>
      </c>
      <c r="N1120" t="s">
        <v>1799</v>
      </c>
      <c r="O1120" s="184" t="str">
        <f>"["&amp;$C1120&amp;"]["&amp;$D1120&amp;"]["&amp;$F1120&amp;"]"</f>
        <v>[S06_InstallationsVerificationReportsIssueDetail][15][NumberOfIssues]</v>
      </c>
    </row>
    <row r="1121" spans="1:15" x14ac:dyDescent="0.3">
      <c r="A1121" t="s">
        <v>1793</v>
      </c>
      <c r="B1121" t="s">
        <v>2099</v>
      </c>
      <c r="C1121" t="s">
        <v>2101</v>
      </c>
      <c r="D1121">
        <v>16</v>
      </c>
      <c r="E1121" t="s">
        <v>1447</v>
      </c>
      <c r="F1121" t="s">
        <v>2093</v>
      </c>
      <c r="G1121" t="s">
        <v>1811</v>
      </c>
      <c r="H1121" t="s">
        <v>1799</v>
      </c>
      <c r="I1121">
        <v>1</v>
      </c>
      <c r="J1121" t="s">
        <v>1799</v>
      </c>
      <c r="K1121" t="s">
        <v>1799</v>
      </c>
      <c r="L1121" t="s">
        <v>1799</v>
      </c>
      <c r="M1121" t="s">
        <v>1799</v>
      </c>
      <c r="N1121" t="s">
        <v>1799</v>
      </c>
      <c r="O1121" s="184" t="str">
        <f>"["&amp;$C1121&amp;"]["&amp;$D1121&amp;"]["&amp;$F1121&amp;"]"</f>
        <v>[S06_InstallationsVerificationReportsIssueDetail][16][NumberOfIssues]</v>
      </c>
    </row>
    <row r="1122" spans="1:15" x14ac:dyDescent="0.3">
      <c r="A1122" t="s">
        <v>1793</v>
      </c>
      <c r="B1122" t="s">
        <v>2099</v>
      </c>
      <c r="C1122" t="s">
        <v>2101</v>
      </c>
      <c r="D1122">
        <v>17</v>
      </c>
      <c r="E1122" t="s">
        <v>1447</v>
      </c>
      <c r="F1122" t="s">
        <v>2093</v>
      </c>
      <c r="G1122" t="s">
        <v>1811</v>
      </c>
      <c r="H1122" t="s">
        <v>1799</v>
      </c>
      <c r="I1122">
        <v>2</v>
      </c>
      <c r="J1122" t="s">
        <v>1799</v>
      </c>
      <c r="K1122" t="s">
        <v>1799</v>
      </c>
      <c r="L1122" t="s">
        <v>1799</v>
      </c>
      <c r="M1122" t="s">
        <v>1799</v>
      </c>
      <c r="N1122" t="s">
        <v>1799</v>
      </c>
      <c r="O1122" s="184" t="str">
        <f>"["&amp;$C1122&amp;"]["&amp;$D1122&amp;"]["&amp;$F1122&amp;"]"</f>
        <v>[S06_InstallationsVerificationReportsIssueDetail][17][NumberOfIssues]</v>
      </c>
    </row>
    <row r="1123" spans="1:15" x14ac:dyDescent="0.3">
      <c r="A1123" t="s">
        <v>1793</v>
      </c>
      <c r="B1123" t="s">
        <v>2099</v>
      </c>
      <c r="C1123" t="s">
        <v>2101</v>
      </c>
      <c r="D1123">
        <v>18</v>
      </c>
      <c r="E1123" t="s">
        <v>1447</v>
      </c>
      <c r="F1123" t="s">
        <v>2093</v>
      </c>
      <c r="G1123" t="s">
        <v>1811</v>
      </c>
      <c r="H1123" t="s">
        <v>1799</v>
      </c>
      <c r="I1123">
        <v>11</v>
      </c>
      <c r="J1123" t="s">
        <v>1799</v>
      </c>
      <c r="K1123" t="s">
        <v>1799</v>
      </c>
      <c r="L1123" t="s">
        <v>1799</v>
      </c>
      <c r="M1123" t="s">
        <v>1799</v>
      </c>
      <c r="N1123" t="s">
        <v>1799</v>
      </c>
      <c r="O1123" s="184" t="str">
        <f>"["&amp;$C1123&amp;"]["&amp;$D1123&amp;"]["&amp;$F1123&amp;"]"</f>
        <v>[S06_InstallationsVerificationReportsIssueDetail][18][NumberOfIssues]</v>
      </c>
    </row>
    <row r="1124" spans="1:15" x14ac:dyDescent="0.3">
      <c r="A1124" t="s">
        <v>1793</v>
      </c>
      <c r="B1124" t="s">
        <v>2099</v>
      </c>
      <c r="C1124" t="s">
        <v>2101</v>
      </c>
      <c r="D1124">
        <v>19</v>
      </c>
      <c r="E1124" t="s">
        <v>1447</v>
      </c>
      <c r="F1124" t="s">
        <v>2093</v>
      </c>
      <c r="G1124" t="s">
        <v>1811</v>
      </c>
      <c r="H1124" t="s">
        <v>1799</v>
      </c>
      <c r="I1124">
        <v>2</v>
      </c>
      <c r="J1124" t="s">
        <v>1799</v>
      </c>
      <c r="K1124" t="s">
        <v>1799</v>
      </c>
      <c r="L1124" t="s">
        <v>1799</v>
      </c>
      <c r="M1124" t="s">
        <v>1799</v>
      </c>
      <c r="N1124" t="s">
        <v>1799</v>
      </c>
      <c r="O1124" s="184" t="str">
        <f>"["&amp;$C1124&amp;"]["&amp;$D1124&amp;"]["&amp;$F1124&amp;"]"</f>
        <v>[S06_InstallationsVerificationReportsIssueDetail][19][NumberOfIssues]</v>
      </c>
    </row>
    <row r="1125" spans="1:15" x14ac:dyDescent="0.3">
      <c r="A1125" t="s">
        <v>1793</v>
      </c>
      <c r="B1125" t="s">
        <v>2099</v>
      </c>
      <c r="C1125" t="s">
        <v>2101</v>
      </c>
      <c r="D1125">
        <v>20</v>
      </c>
      <c r="E1125" t="s">
        <v>1447</v>
      </c>
      <c r="F1125" t="s">
        <v>2093</v>
      </c>
      <c r="G1125" t="s">
        <v>1811</v>
      </c>
      <c r="H1125" t="s">
        <v>1799</v>
      </c>
      <c r="I1125">
        <v>2</v>
      </c>
      <c r="J1125" t="s">
        <v>1799</v>
      </c>
      <c r="K1125" t="s">
        <v>1799</v>
      </c>
      <c r="L1125" t="s">
        <v>1799</v>
      </c>
      <c r="M1125" t="s">
        <v>1799</v>
      </c>
      <c r="N1125" t="s">
        <v>1799</v>
      </c>
      <c r="O1125" s="184" t="str">
        <f>"["&amp;$C1125&amp;"]["&amp;$D1125&amp;"]["&amp;$F1125&amp;"]"</f>
        <v>[S06_InstallationsVerificationReportsIssueDetail][20][NumberOfIssues]</v>
      </c>
    </row>
    <row r="1126" spans="1:15" x14ac:dyDescent="0.3">
      <c r="A1126" t="s">
        <v>1793</v>
      </c>
      <c r="B1126" t="s">
        <v>2099</v>
      </c>
      <c r="C1126" t="s">
        <v>2101</v>
      </c>
      <c r="D1126">
        <v>21</v>
      </c>
      <c r="E1126" t="s">
        <v>1447</v>
      </c>
      <c r="F1126" t="s">
        <v>2093</v>
      </c>
      <c r="G1126" t="s">
        <v>1811</v>
      </c>
      <c r="H1126" t="s">
        <v>1799</v>
      </c>
      <c r="I1126">
        <v>2</v>
      </c>
      <c r="J1126" t="s">
        <v>1799</v>
      </c>
      <c r="K1126" t="s">
        <v>1799</v>
      </c>
      <c r="L1126" t="s">
        <v>1799</v>
      </c>
      <c r="M1126" t="s">
        <v>1799</v>
      </c>
      <c r="N1126" t="s">
        <v>1799</v>
      </c>
      <c r="O1126" s="184" t="str">
        <f>"["&amp;$C1126&amp;"]["&amp;$D1126&amp;"]["&amp;$F1126&amp;"]"</f>
        <v>[S06_InstallationsVerificationReportsIssueDetail][21][NumberOfIssues]</v>
      </c>
    </row>
    <row r="1127" spans="1:15" x14ac:dyDescent="0.3">
      <c r="A1127" t="s">
        <v>1793</v>
      </c>
      <c r="B1127" t="s">
        <v>2099</v>
      </c>
      <c r="C1127" t="s">
        <v>2101</v>
      </c>
      <c r="D1127">
        <v>22</v>
      </c>
      <c r="E1127" t="s">
        <v>1447</v>
      </c>
      <c r="F1127" t="s">
        <v>2093</v>
      </c>
      <c r="G1127" t="s">
        <v>1811</v>
      </c>
      <c r="H1127" t="s">
        <v>1799</v>
      </c>
      <c r="I1127">
        <v>1</v>
      </c>
      <c r="J1127" t="s">
        <v>1799</v>
      </c>
      <c r="K1127" t="s">
        <v>1799</v>
      </c>
      <c r="L1127" t="s">
        <v>1799</v>
      </c>
      <c r="M1127" t="s">
        <v>1799</v>
      </c>
      <c r="N1127" t="s">
        <v>1799</v>
      </c>
      <c r="O1127" s="184" t="str">
        <f>"["&amp;$C1127&amp;"]["&amp;$D1127&amp;"]["&amp;$F1127&amp;"]"</f>
        <v>[S06_InstallationsVerificationReportsIssueDetail][22][NumberOfIssues]</v>
      </c>
    </row>
    <row r="1128" spans="1:15" x14ac:dyDescent="0.3">
      <c r="A1128" t="s">
        <v>1793</v>
      </c>
      <c r="B1128" t="s">
        <v>2099</v>
      </c>
      <c r="C1128" t="s">
        <v>2101</v>
      </c>
      <c r="D1128">
        <v>23</v>
      </c>
      <c r="E1128" t="s">
        <v>1447</v>
      </c>
      <c r="F1128" t="s">
        <v>2093</v>
      </c>
      <c r="G1128" t="s">
        <v>1811</v>
      </c>
      <c r="H1128" t="s">
        <v>1799</v>
      </c>
      <c r="I1128">
        <v>1</v>
      </c>
      <c r="J1128" t="s">
        <v>1799</v>
      </c>
      <c r="K1128" t="s">
        <v>1799</v>
      </c>
      <c r="L1128" t="s">
        <v>1799</v>
      </c>
      <c r="M1128" t="s">
        <v>1799</v>
      </c>
      <c r="N1128" t="s">
        <v>1799</v>
      </c>
      <c r="O1128" s="184" t="str">
        <f>"["&amp;$C1128&amp;"]["&amp;$D1128&amp;"]["&amp;$F1128&amp;"]"</f>
        <v>[S06_InstallationsVerificationReportsIssueDetail][23][NumberOfIssues]</v>
      </c>
    </row>
    <row r="1129" spans="1:15" x14ac:dyDescent="0.3">
      <c r="A1129" t="s">
        <v>1793</v>
      </c>
      <c r="B1129" t="s">
        <v>2099</v>
      </c>
      <c r="C1129" t="s">
        <v>2101</v>
      </c>
      <c r="D1129">
        <v>24</v>
      </c>
      <c r="E1129" t="s">
        <v>1447</v>
      </c>
      <c r="F1129" t="s">
        <v>2093</v>
      </c>
      <c r="G1129" t="s">
        <v>1811</v>
      </c>
      <c r="H1129" t="s">
        <v>1799</v>
      </c>
      <c r="I1129">
        <v>3</v>
      </c>
      <c r="J1129" t="s">
        <v>1799</v>
      </c>
      <c r="K1129" t="s">
        <v>1799</v>
      </c>
      <c r="L1129" t="s">
        <v>1799</v>
      </c>
      <c r="M1129" t="s">
        <v>1799</v>
      </c>
      <c r="N1129" t="s">
        <v>1799</v>
      </c>
      <c r="O1129" s="184" t="str">
        <f>"["&amp;$C1129&amp;"]["&amp;$D1129&amp;"]["&amp;$F1129&amp;"]"</f>
        <v>[S06_InstallationsVerificationReportsIssueDetail][24][NumberOfIssues]</v>
      </c>
    </row>
    <row r="1130" spans="1:15" x14ac:dyDescent="0.3">
      <c r="A1130" t="s">
        <v>1793</v>
      </c>
      <c r="B1130" t="s">
        <v>2099</v>
      </c>
      <c r="C1130" t="s">
        <v>2101</v>
      </c>
      <c r="D1130">
        <v>25</v>
      </c>
      <c r="E1130" t="s">
        <v>1447</v>
      </c>
      <c r="F1130" t="s">
        <v>2093</v>
      </c>
      <c r="G1130" t="s">
        <v>1811</v>
      </c>
      <c r="H1130" t="s">
        <v>1799</v>
      </c>
      <c r="I1130">
        <v>1</v>
      </c>
      <c r="J1130" t="s">
        <v>1799</v>
      </c>
      <c r="K1130" t="s">
        <v>1799</v>
      </c>
      <c r="L1130" t="s">
        <v>1799</v>
      </c>
      <c r="M1130" t="s">
        <v>1799</v>
      </c>
      <c r="N1130" t="s">
        <v>1799</v>
      </c>
      <c r="O1130" s="184" t="str">
        <f>"["&amp;$C1130&amp;"]["&amp;$D1130&amp;"]["&amp;$F1130&amp;"]"</f>
        <v>[S06_InstallationsVerificationReportsIssueDetail][25][NumberOfIssues]</v>
      </c>
    </row>
    <row r="1131" spans="1:15" x14ac:dyDescent="0.3">
      <c r="A1131" t="s">
        <v>1793</v>
      </c>
      <c r="B1131" t="s">
        <v>2099</v>
      </c>
      <c r="C1131" t="s">
        <v>2101</v>
      </c>
      <c r="D1131">
        <v>26</v>
      </c>
      <c r="E1131" t="s">
        <v>1447</v>
      </c>
      <c r="F1131" t="s">
        <v>2093</v>
      </c>
      <c r="G1131" t="s">
        <v>1811</v>
      </c>
      <c r="H1131" t="s">
        <v>1799</v>
      </c>
      <c r="I1131">
        <v>1</v>
      </c>
      <c r="J1131" t="s">
        <v>1799</v>
      </c>
      <c r="K1131" t="s">
        <v>1799</v>
      </c>
      <c r="L1131" t="s">
        <v>1799</v>
      </c>
      <c r="M1131" t="s">
        <v>1799</v>
      </c>
      <c r="N1131" t="s">
        <v>1799</v>
      </c>
      <c r="O1131" s="184" t="str">
        <f>"["&amp;$C1131&amp;"]["&amp;$D1131&amp;"]["&amp;$F1131&amp;"]"</f>
        <v>[S06_InstallationsVerificationReportsIssueDetail][26][NumberOfIssues]</v>
      </c>
    </row>
    <row r="1132" spans="1:15" x14ac:dyDescent="0.3">
      <c r="A1132" t="s">
        <v>1793</v>
      </c>
      <c r="B1132" t="s">
        <v>2099</v>
      </c>
      <c r="C1132" t="s">
        <v>2101</v>
      </c>
      <c r="D1132">
        <v>1</v>
      </c>
      <c r="E1132" t="s">
        <v>1447</v>
      </c>
      <c r="F1132" t="s">
        <v>2113</v>
      </c>
      <c r="G1132" t="s">
        <v>1922</v>
      </c>
      <c r="H1132" t="s">
        <v>1799</v>
      </c>
      <c r="I1132" t="s">
        <v>1799</v>
      </c>
      <c r="J1132">
        <v>0</v>
      </c>
      <c r="K1132" t="s">
        <v>1799</v>
      </c>
      <c r="L1132" t="s">
        <v>1799</v>
      </c>
      <c r="M1132" t="s">
        <v>1799</v>
      </c>
      <c r="N1132" t="s">
        <v>1799</v>
      </c>
      <c r="O1132" s="184" t="str">
        <f>"["&amp;$C1132&amp;"]["&amp;$D1132&amp;"]["&amp;$F1132&amp;"]"</f>
        <v>[S06_InstallationsVerificationReportsIssueDetail][1][ShareOfReportsConservativeEstimate]</v>
      </c>
    </row>
    <row r="1133" spans="1:15" x14ac:dyDescent="0.3">
      <c r="A1133" t="s">
        <v>1793</v>
      </c>
      <c r="B1133" t="s">
        <v>2099</v>
      </c>
      <c r="C1133" t="s">
        <v>2101</v>
      </c>
      <c r="D1133">
        <v>2</v>
      </c>
      <c r="E1133" t="s">
        <v>1447</v>
      </c>
      <c r="F1133" t="s">
        <v>2113</v>
      </c>
      <c r="G1133" t="s">
        <v>1922</v>
      </c>
      <c r="H1133" t="s">
        <v>1799</v>
      </c>
      <c r="I1133" t="s">
        <v>1799</v>
      </c>
      <c r="J1133">
        <v>0</v>
      </c>
      <c r="K1133" t="s">
        <v>1799</v>
      </c>
      <c r="L1133" t="s">
        <v>1799</v>
      </c>
      <c r="M1133" t="s">
        <v>1799</v>
      </c>
      <c r="N1133" t="s">
        <v>1799</v>
      </c>
      <c r="O1133" s="184" t="str">
        <f>"["&amp;$C1133&amp;"]["&amp;$D1133&amp;"]["&amp;$F1133&amp;"]"</f>
        <v>[S06_InstallationsVerificationReportsIssueDetail][2][ShareOfReportsConservativeEstimate]</v>
      </c>
    </row>
    <row r="1134" spans="1:15" x14ac:dyDescent="0.3">
      <c r="A1134" t="s">
        <v>1793</v>
      </c>
      <c r="B1134" t="s">
        <v>2099</v>
      </c>
      <c r="C1134" t="s">
        <v>2101</v>
      </c>
      <c r="D1134">
        <v>3</v>
      </c>
      <c r="E1134" t="s">
        <v>1447</v>
      </c>
      <c r="F1134" t="s">
        <v>2113</v>
      </c>
      <c r="G1134" t="s">
        <v>1922</v>
      </c>
      <c r="H1134" t="s">
        <v>1799</v>
      </c>
      <c r="I1134" t="s">
        <v>1799</v>
      </c>
      <c r="J1134">
        <v>0</v>
      </c>
      <c r="K1134" t="s">
        <v>1799</v>
      </c>
      <c r="L1134" t="s">
        <v>1799</v>
      </c>
      <c r="M1134" t="s">
        <v>1799</v>
      </c>
      <c r="N1134" t="s">
        <v>1799</v>
      </c>
      <c r="O1134" s="184" t="str">
        <f>"["&amp;$C1134&amp;"]["&amp;$D1134&amp;"]["&amp;$F1134&amp;"]"</f>
        <v>[S06_InstallationsVerificationReportsIssueDetail][3][ShareOfReportsConservativeEstimate]</v>
      </c>
    </row>
    <row r="1135" spans="1:15" x14ac:dyDescent="0.3">
      <c r="A1135" t="s">
        <v>1793</v>
      </c>
      <c r="B1135" t="s">
        <v>2099</v>
      </c>
      <c r="C1135" t="s">
        <v>2101</v>
      </c>
      <c r="D1135">
        <v>4</v>
      </c>
      <c r="E1135" t="s">
        <v>1447</v>
      </c>
      <c r="F1135" t="s">
        <v>2113</v>
      </c>
      <c r="G1135" t="s">
        <v>1922</v>
      </c>
      <c r="H1135" t="s">
        <v>1799</v>
      </c>
      <c r="I1135" t="s">
        <v>1799</v>
      </c>
      <c r="J1135">
        <v>0</v>
      </c>
      <c r="K1135" t="s">
        <v>1799</v>
      </c>
      <c r="L1135" t="s">
        <v>1799</v>
      </c>
      <c r="M1135" t="s">
        <v>1799</v>
      </c>
      <c r="N1135" t="s">
        <v>1799</v>
      </c>
      <c r="O1135" s="184" t="str">
        <f>"["&amp;$C1135&amp;"]["&amp;$D1135&amp;"]["&amp;$F1135&amp;"]"</f>
        <v>[S06_InstallationsVerificationReportsIssueDetail][4][ShareOfReportsConservativeEstimate]</v>
      </c>
    </row>
    <row r="1136" spans="1:15" x14ac:dyDescent="0.3">
      <c r="A1136" t="s">
        <v>1793</v>
      </c>
      <c r="B1136" t="s">
        <v>2099</v>
      </c>
      <c r="C1136" t="s">
        <v>2101</v>
      </c>
      <c r="D1136">
        <v>5</v>
      </c>
      <c r="E1136" t="s">
        <v>1447</v>
      </c>
      <c r="F1136" t="s">
        <v>2113</v>
      </c>
      <c r="G1136" t="s">
        <v>1922</v>
      </c>
      <c r="H1136" t="s">
        <v>1799</v>
      </c>
      <c r="I1136" t="s">
        <v>1799</v>
      </c>
      <c r="J1136">
        <v>0</v>
      </c>
      <c r="K1136" t="s">
        <v>1799</v>
      </c>
      <c r="L1136" t="s">
        <v>1799</v>
      </c>
      <c r="M1136" t="s">
        <v>1799</v>
      </c>
      <c r="N1136" t="s">
        <v>1799</v>
      </c>
      <c r="O1136" s="184" t="str">
        <f>"["&amp;$C1136&amp;"]["&amp;$D1136&amp;"]["&amp;$F1136&amp;"]"</f>
        <v>[S06_InstallationsVerificationReportsIssueDetail][5][ShareOfReportsConservativeEstimate]</v>
      </c>
    </row>
    <row r="1137" spans="1:15" x14ac:dyDescent="0.3">
      <c r="A1137" t="s">
        <v>1793</v>
      </c>
      <c r="B1137" t="s">
        <v>2099</v>
      </c>
      <c r="C1137" t="s">
        <v>2101</v>
      </c>
      <c r="D1137">
        <v>6</v>
      </c>
      <c r="E1137" t="s">
        <v>1447</v>
      </c>
      <c r="F1137" t="s">
        <v>2113</v>
      </c>
      <c r="G1137" t="s">
        <v>1922</v>
      </c>
      <c r="H1137" t="s">
        <v>1799</v>
      </c>
      <c r="I1137" t="s">
        <v>1799</v>
      </c>
      <c r="J1137">
        <v>0</v>
      </c>
      <c r="K1137" t="s">
        <v>1799</v>
      </c>
      <c r="L1137" t="s">
        <v>1799</v>
      </c>
      <c r="M1137" t="s">
        <v>1799</v>
      </c>
      <c r="N1137" t="s">
        <v>1799</v>
      </c>
      <c r="O1137" s="184" t="str">
        <f>"["&amp;$C1137&amp;"]["&amp;$D1137&amp;"]["&amp;$F1137&amp;"]"</f>
        <v>[S06_InstallationsVerificationReportsIssueDetail][6][ShareOfReportsConservativeEstimate]</v>
      </c>
    </row>
    <row r="1138" spans="1:15" x14ac:dyDescent="0.3">
      <c r="A1138" t="s">
        <v>1793</v>
      </c>
      <c r="B1138" t="s">
        <v>2099</v>
      </c>
      <c r="C1138" t="s">
        <v>2101</v>
      </c>
      <c r="D1138">
        <v>7</v>
      </c>
      <c r="E1138" t="s">
        <v>1447</v>
      </c>
      <c r="F1138" t="s">
        <v>2113</v>
      </c>
      <c r="G1138" t="s">
        <v>1922</v>
      </c>
      <c r="H1138" t="s">
        <v>1799</v>
      </c>
      <c r="I1138" t="s">
        <v>1799</v>
      </c>
      <c r="J1138">
        <v>0</v>
      </c>
      <c r="K1138" t="s">
        <v>1799</v>
      </c>
      <c r="L1138" t="s">
        <v>1799</v>
      </c>
      <c r="M1138" t="s">
        <v>1799</v>
      </c>
      <c r="N1138" t="s">
        <v>1799</v>
      </c>
      <c r="O1138" s="184" t="str">
        <f>"["&amp;$C1138&amp;"]["&amp;$D1138&amp;"]["&amp;$F1138&amp;"]"</f>
        <v>[S06_InstallationsVerificationReportsIssueDetail][7][ShareOfReportsConservativeEstimate]</v>
      </c>
    </row>
    <row r="1139" spans="1:15" x14ac:dyDescent="0.3">
      <c r="A1139" t="s">
        <v>1793</v>
      </c>
      <c r="B1139" t="s">
        <v>2099</v>
      </c>
      <c r="C1139" t="s">
        <v>2101</v>
      </c>
      <c r="D1139">
        <v>8</v>
      </c>
      <c r="E1139" t="s">
        <v>1447</v>
      </c>
      <c r="F1139" t="s">
        <v>2113</v>
      </c>
      <c r="G1139" t="s">
        <v>1922</v>
      </c>
      <c r="H1139" t="s">
        <v>1799</v>
      </c>
      <c r="I1139" t="s">
        <v>1799</v>
      </c>
      <c r="J1139">
        <v>0</v>
      </c>
      <c r="K1139" t="s">
        <v>1799</v>
      </c>
      <c r="L1139" t="s">
        <v>1799</v>
      </c>
      <c r="M1139" t="s">
        <v>1799</v>
      </c>
      <c r="N1139" t="s">
        <v>1799</v>
      </c>
      <c r="O1139" s="184" t="str">
        <f>"["&amp;$C1139&amp;"]["&amp;$D1139&amp;"]["&amp;$F1139&amp;"]"</f>
        <v>[S06_InstallationsVerificationReportsIssueDetail][8][ShareOfReportsConservativeEstimate]</v>
      </c>
    </row>
    <row r="1140" spans="1:15" x14ac:dyDescent="0.3">
      <c r="A1140" t="s">
        <v>1793</v>
      </c>
      <c r="B1140" t="s">
        <v>2099</v>
      </c>
      <c r="C1140" t="s">
        <v>2101</v>
      </c>
      <c r="D1140">
        <v>9</v>
      </c>
      <c r="E1140" t="s">
        <v>1447</v>
      </c>
      <c r="F1140" t="s">
        <v>2113</v>
      </c>
      <c r="G1140" t="s">
        <v>1922</v>
      </c>
      <c r="H1140" t="s">
        <v>1799</v>
      </c>
      <c r="I1140" t="s">
        <v>1799</v>
      </c>
      <c r="J1140">
        <v>0</v>
      </c>
      <c r="K1140" t="s">
        <v>1799</v>
      </c>
      <c r="L1140" t="s">
        <v>1799</v>
      </c>
      <c r="M1140" t="s">
        <v>1799</v>
      </c>
      <c r="N1140" t="s">
        <v>1799</v>
      </c>
      <c r="O1140" s="184" t="str">
        <f>"["&amp;$C1140&amp;"]["&amp;$D1140&amp;"]["&amp;$F1140&amp;"]"</f>
        <v>[S06_InstallationsVerificationReportsIssueDetail][9][ShareOfReportsConservativeEstimate]</v>
      </c>
    </row>
    <row r="1141" spans="1:15" x14ac:dyDescent="0.3">
      <c r="A1141" t="s">
        <v>1793</v>
      </c>
      <c r="B1141" t="s">
        <v>2099</v>
      </c>
      <c r="C1141" t="s">
        <v>2101</v>
      </c>
      <c r="D1141">
        <v>10</v>
      </c>
      <c r="E1141" t="s">
        <v>1447</v>
      </c>
      <c r="F1141" t="s">
        <v>2113</v>
      </c>
      <c r="G1141" t="s">
        <v>1922</v>
      </c>
      <c r="H1141" t="s">
        <v>1799</v>
      </c>
      <c r="I1141" t="s">
        <v>1799</v>
      </c>
      <c r="J1141">
        <v>0</v>
      </c>
      <c r="K1141" t="s">
        <v>1799</v>
      </c>
      <c r="L1141" t="s">
        <v>1799</v>
      </c>
      <c r="M1141" t="s">
        <v>1799</v>
      </c>
      <c r="N1141" t="s">
        <v>1799</v>
      </c>
      <c r="O1141" s="184" t="str">
        <f>"["&amp;$C1141&amp;"]["&amp;$D1141&amp;"]["&amp;$F1141&amp;"]"</f>
        <v>[S06_InstallationsVerificationReportsIssueDetail][10][ShareOfReportsConservativeEstimate]</v>
      </c>
    </row>
    <row r="1142" spans="1:15" x14ac:dyDescent="0.3">
      <c r="A1142" t="s">
        <v>1793</v>
      </c>
      <c r="B1142" t="s">
        <v>2099</v>
      </c>
      <c r="C1142" t="s">
        <v>2101</v>
      </c>
      <c r="D1142">
        <v>11</v>
      </c>
      <c r="E1142" t="s">
        <v>1447</v>
      </c>
      <c r="F1142" t="s">
        <v>2113</v>
      </c>
      <c r="G1142" t="s">
        <v>1922</v>
      </c>
      <c r="H1142" t="s">
        <v>1799</v>
      </c>
      <c r="I1142" t="s">
        <v>1799</v>
      </c>
      <c r="J1142">
        <v>0</v>
      </c>
      <c r="K1142" t="s">
        <v>1799</v>
      </c>
      <c r="L1142" t="s">
        <v>1799</v>
      </c>
      <c r="M1142" t="s">
        <v>1799</v>
      </c>
      <c r="N1142" t="s">
        <v>1799</v>
      </c>
      <c r="O1142" s="184" t="str">
        <f>"["&amp;$C1142&amp;"]["&amp;$D1142&amp;"]["&amp;$F1142&amp;"]"</f>
        <v>[S06_InstallationsVerificationReportsIssueDetail][11][ShareOfReportsConservativeEstimate]</v>
      </c>
    </row>
    <row r="1143" spans="1:15" x14ac:dyDescent="0.3">
      <c r="A1143" t="s">
        <v>1793</v>
      </c>
      <c r="B1143" t="s">
        <v>2099</v>
      </c>
      <c r="C1143" t="s">
        <v>2101</v>
      </c>
      <c r="D1143">
        <v>12</v>
      </c>
      <c r="E1143" t="s">
        <v>1447</v>
      </c>
      <c r="F1143" t="s">
        <v>2113</v>
      </c>
      <c r="G1143" t="s">
        <v>1922</v>
      </c>
      <c r="H1143" t="s">
        <v>1799</v>
      </c>
      <c r="I1143" t="s">
        <v>1799</v>
      </c>
      <c r="J1143">
        <v>0</v>
      </c>
      <c r="K1143" t="s">
        <v>1799</v>
      </c>
      <c r="L1143" t="s">
        <v>1799</v>
      </c>
      <c r="M1143" t="s">
        <v>1799</v>
      </c>
      <c r="N1143" t="s">
        <v>1799</v>
      </c>
      <c r="O1143" s="184" t="str">
        <f>"["&amp;$C1143&amp;"]["&amp;$D1143&amp;"]["&amp;$F1143&amp;"]"</f>
        <v>[S06_InstallationsVerificationReportsIssueDetail][12][ShareOfReportsConservativeEstimate]</v>
      </c>
    </row>
    <row r="1144" spans="1:15" x14ac:dyDescent="0.3">
      <c r="A1144" t="s">
        <v>1793</v>
      </c>
      <c r="B1144" t="s">
        <v>2099</v>
      </c>
      <c r="C1144" t="s">
        <v>2101</v>
      </c>
      <c r="D1144">
        <v>13</v>
      </c>
      <c r="E1144" t="s">
        <v>1447</v>
      </c>
      <c r="F1144" t="s">
        <v>2113</v>
      </c>
      <c r="G1144" t="s">
        <v>1922</v>
      </c>
      <c r="H1144" t="s">
        <v>1799</v>
      </c>
      <c r="I1144" t="s">
        <v>1799</v>
      </c>
      <c r="J1144">
        <v>0</v>
      </c>
      <c r="K1144" t="s">
        <v>1799</v>
      </c>
      <c r="L1144" t="s">
        <v>1799</v>
      </c>
      <c r="M1144" t="s">
        <v>1799</v>
      </c>
      <c r="N1144" t="s">
        <v>1799</v>
      </c>
      <c r="O1144" s="184" t="str">
        <f>"["&amp;$C1144&amp;"]["&amp;$D1144&amp;"]["&amp;$F1144&amp;"]"</f>
        <v>[S06_InstallationsVerificationReportsIssueDetail][13][ShareOfReportsConservativeEstimate]</v>
      </c>
    </row>
    <row r="1145" spans="1:15" x14ac:dyDescent="0.3">
      <c r="A1145" t="s">
        <v>1793</v>
      </c>
      <c r="B1145" t="s">
        <v>2099</v>
      </c>
      <c r="C1145" t="s">
        <v>2101</v>
      </c>
      <c r="D1145">
        <v>14</v>
      </c>
      <c r="E1145" t="s">
        <v>1447</v>
      </c>
      <c r="F1145" t="s">
        <v>2113</v>
      </c>
      <c r="G1145" t="s">
        <v>1922</v>
      </c>
      <c r="H1145" t="s">
        <v>1799</v>
      </c>
      <c r="I1145" t="s">
        <v>1799</v>
      </c>
      <c r="J1145">
        <v>0</v>
      </c>
      <c r="K1145" t="s">
        <v>1799</v>
      </c>
      <c r="L1145" t="s">
        <v>1799</v>
      </c>
      <c r="M1145" t="s">
        <v>1799</v>
      </c>
      <c r="N1145" t="s">
        <v>1799</v>
      </c>
      <c r="O1145" s="184" t="str">
        <f>"["&amp;$C1145&amp;"]["&amp;$D1145&amp;"]["&amp;$F1145&amp;"]"</f>
        <v>[S06_InstallationsVerificationReportsIssueDetail][14][ShareOfReportsConservativeEstimate]</v>
      </c>
    </row>
    <row r="1146" spans="1:15" x14ac:dyDescent="0.3">
      <c r="A1146" t="s">
        <v>1793</v>
      </c>
      <c r="B1146" t="s">
        <v>2099</v>
      </c>
      <c r="C1146" t="s">
        <v>2101</v>
      </c>
      <c r="D1146">
        <v>15</v>
      </c>
      <c r="E1146" t="s">
        <v>1447</v>
      </c>
      <c r="F1146" t="s">
        <v>2113</v>
      </c>
      <c r="G1146" t="s">
        <v>1922</v>
      </c>
      <c r="H1146" t="s">
        <v>1799</v>
      </c>
      <c r="I1146" t="s">
        <v>1799</v>
      </c>
      <c r="J1146">
        <v>0</v>
      </c>
      <c r="K1146" t="s">
        <v>1799</v>
      </c>
      <c r="L1146" t="s">
        <v>1799</v>
      </c>
      <c r="M1146" t="s">
        <v>1799</v>
      </c>
      <c r="N1146" t="s">
        <v>1799</v>
      </c>
      <c r="O1146" s="184" t="str">
        <f>"["&amp;$C1146&amp;"]["&amp;$D1146&amp;"]["&amp;$F1146&amp;"]"</f>
        <v>[S06_InstallationsVerificationReportsIssueDetail][15][ShareOfReportsConservativeEstimate]</v>
      </c>
    </row>
    <row r="1147" spans="1:15" x14ac:dyDescent="0.3">
      <c r="A1147" t="s">
        <v>1793</v>
      </c>
      <c r="B1147" t="s">
        <v>2099</v>
      </c>
      <c r="C1147" t="s">
        <v>2101</v>
      </c>
      <c r="D1147">
        <v>16</v>
      </c>
      <c r="E1147" t="s">
        <v>1447</v>
      </c>
      <c r="F1147" t="s">
        <v>2113</v>
      </c>
      <c r="G1147" t="s">
        <v>1922</v>
      </c>
      <c r="H1147" t="s">
        <v>1799</v>
      </c>
      <c r="I1147" t="s">
        <v>1799</v>
      </c>
      <c r="J1147">
        <v>0</v>
      </c>
      <c r="K1147" t="s">
        <v>1799</v>
      </c>
      <c r="L1147" t="s">
        <v>1799</v>
      </c>
      <c r="M1147" t="s">
        <v>1799</v>
      </c>
      <c r="N1147" t="s">
        <v>1799</v>
      </c>
      <c r="O1147" s="184" t="str">
        <f>"["&amp;$C1147&amp;"]["&amp;$D1147&amp;"]["&amp;$F1147&amp;"]"</f>
        <v>[S06_InstallationsVerificationReportsIssueDetail][16][ShareOfReportsConservativeEstimate]</v>
      </c>
    </row>
    <row r="1148" spans="1:15" x14ac:dyDescent="0.3">
      <c r="A1148" t="s">
        <v>1793</v>
      </c>
      <c r="B1148" t="s">
        <v>2099</v>
      </c>
      <c r="C1148" t="s">
        <v>2101</v>
      </c>
      <c r="D1148">
        <v>17</v>
      </c>
      <c r="E1148" t="s">
        <v>1447</v>
      </c>
      <c r="F1148" t="s">
        <v>2113</v>
      </c>
      <c r="G1148" t="s">
        <v>1922</v>
      </c>
      <c r="H1148" t="s">
        <v>1799</v>
      </c>
      <c r="I1148" t="s">
        <v>1799</v>
      </c>
      <c r="J1148">
        <v>0</v>
      </c>
      <c r="K1148" t="s">
        <v>1799</v>
      </c>
      <c r="L1148" t="s">
        <v>1799</v>
      </c>
      <c r="M1148" t="s">
        <v>1799</v>
      </c>
      <c r="N1148" t="s">
        <v>1799</v>
      </c>
      <c r="O1148" s="184" t="str">
        <f>"["&amp;$C1148&amp;"]["&amp;$D1148&amp;"]["&amp;$F1148&amp;"]"</f>
        <v>[S06_InstallationsVerificationReportsIssueDetail][17][ShareOfReportsConservativeEstimate]</v>
      </c>
    </row>
    <row r="1149" spans="1:15" x14ac:dyDescent="0.3">
      <c r="A1149" t="s">
        <v>1793</v>
      </c>
      <c r="B1149" t="s">
        <v>2099</v>
      </c>
      <c r="C1149" t="s">
        <v>2101</v>
      </c>
      <c r="D1149">
        <v>18</v>
      </c>
      <c r="E1149" t="s">
        <v>1447</v>
      </c>
      <c r="F1149" t="s">
        <v>2113</v>
      </c>
      <c r="G1149" t="s">
        <v>1922</v>
      </c>
      <c r="H1149" t="s">
        <v>1799</v>
      </c>
      <c r="I1149" t="s">
        <v>1799</v>
      </c>
      <c r="J1149">
        <v>0</v>
      </c>
      <c r="K1149" t="s">
        <v>1799</v>
      </c>
      <c r="L1149" t="s">
        <v>1799</v>
      </c>
      <c r="M1149" t="s">
        <v>1799</v>
      </c>
      <c r="N1149" t="s">
        <v>1799</v>
      </c>
      <c r="O1149" s="184" t="str">
        <f>"["&amp;$C1149&amp;"]["&amp;$D1149&amp;"]["&amp;$F1149&amp;"]"</f>
        <v>[S06_InstallationsVerificationReportsIssueDetail][18][ShareOfReportsConservativeEstimate]</v>
      </c>
    </row>
    <row r="1150" spans="1:15" x14ac:dyDescent="0.3">
      <c r="A1150" t="s">
        <v>1793</v>
      </c>
      <c r="B1150" t="s">
        <v>2099</v>
      </c>
      <c r="C1150" t="s">
        <v>2101</v>
      </c>
      <c r="D1150">
        <v>19</v>
      </c>
      <c r="E1150" t="s">
        <v>1447</v>
      </c>
      <c r="F1150" t="s">
        <v>2113</v>
      </c>
      <c r="G1150" t="s">
        <v>1922</v>
      </c>
      <c r="H1150" t="s">
        <v>1799</v>
      </c>
      <c r="I1150" t="s">
        <v>1799</v>
      </c>
      <c r="J1150">
        <v>0</v>
      </c>
      <c r="K1150" t="s">
        <v>1799</v>
      </c>
      <c r="L1150" t="s">
        <v>1799</v>
      </c>
      <c r="M1150" t="s">
        <v>1799</v>
      </c>
      <c r="N1150" t="s">
        <v>1799</v>
      </c>
      <c r="O1150" s="184" t="str">
        <f>"["&amp;$C1150&amp;"]["&amp;$D1150&amp;"]["&amp;$F1150&amp;"]"</f>
        <v>[S06_InstallationsVerificationReportsIssueDetail][19][ShareOfReportsConservativeEstimate]</v>
      </c>
    </row>
    <row r="1151" spans="1:15" x14ac:dyDescent="0.3">
      <c r="A1151" t="s">
        <v>1793</v>
      </c>
      <c r="B1151" t="s">
        <v>2099</v>
      </c>
      <c r="C1151" t="s">
        <v>2101</v>
      </c>
      <c r="D1151">
        <v>20</v>
      </c>
      <c r="E1151" t="s">
        <v>1447</v>
      </c>
      <c r="F1151" t="s">
        <v>2113</v>
      </c>
      <c r="G1151" t="s">
        <v>1922</v>
      </c>
      <c r="H1151" t="s">
        <v>1799</v>
      </c>
      <c r="I1151" t="s">
        <v>1799</v>
      </c>
      <c r="J1151">
        <v>0</v>
      </c>
      <c r="K1151" t="s">
        <v>1799</v>
      </c>
      <c r="L1151" t="s">
        <v>1799</v>
      </c>
      <c r="M1151" t="s">
        <v>1799</v>
      </c>
      <c r="N1151" t="s">
        <v>1799</v>
      </c>
      <c r="O1151" s="184" t="str">
        <f>"["&amp;$C1151&amp;"]["&amp;$D1151&amp;"]["&amp;$F1151&amp;"]"</f>
        <v>[S06_InstallationsVerificationReportsIssueDetail][20][ShareOfReportsConservativeEstimate]</v>
      </c>
    </row>
    <row r="1152" spans="1:15" x14ac:dyDescent="0.3">
      <c r="A1152" t="s">
        <v>1793</v>
      </c>
      <c r="B1152" t="s">
        <v>2099</v>
      </c>
      <c r="C1152" t="s">
        <v>2101</v>
      </c>
      <c r="D1152">
        <v>21</v>
      </c>
      <c r="E1152" t="s">
        <v>1447</v>
      </c>
      <c r="F1152" t="s">
        <v>2113</v>
      </c>
      <c r="G1152" t="s">
        <v>1922</v>
      </c>
      <c r="H1152" t="s">
        <v>1799</v>
      </c>
      <c r="I1152" t="s">
        <v>1799</v>
      </c>
      <c r="J1152">
        <v>0</v>
      </c>
      <c r="K1152" t="s">
        <v>1799</v>
      </c>
      <c r="L1152" t="s">
        <v>1799</v>
      </c>
      <c r="M1152" t="s">
        <v>1799</v>
      </c>
      <c r="N1152" t="s">
        <v>1799</v>
      </c>
      <c r="O1152" s="184" t="str">
        <f>"["&amp;$C1152&amp;"]["&amp;$D1152&amp;"]["&amp;$F1152&amp;"]"</f>
        <v>[S06_InstallationsVerificationReportsIssueDetail][21][ShareOfReportsConservativeEstimate]</v>
      </c>
    </row>
    <row r="1153" spans="1:15" x14ac:dyDescent="0.3">
      <c r="A1153" t="s">
        <v>1793</v>
      </c>
      <c r="B1153" t="s">
        <v>2099</v>
      </c>
      <c r="C1153" t="s">
        <v>2101</v>
      </c>
      <c r="D1153">
        <v>22</v>
      </c>
      <c r="E1153" t="s">
        <v>1447</v>
      </c>
      <c r="F1153" t="s">
        <v>2113</v>
      </c>
      <c r="G1153" t="s">
        <v>1922</v>
      </c>
      <c r="H1153" t="s">
        <v>1799</v>
      </c>
      <c r="I1153" t="s">
        <v>1799</v>
      </c>
      <c r="J1153">
        <v>0</v>
      </c>
      <c r="K1153" t="s">
        <v>1799</v>
      </c>
      <c r="L1153" t="s">
        <v>1799</v>
      </c>
      <c r="M1153" t="s">
        <v>1799</v>
      </c>
      <c r="N1153" t="s">
        <v>1799</v>
      </c>
      <c r="O1153" s="184" t="str">
        <f>"["&amp;$C1153&amp;"]["&amp;$D1153&amp;"]["&amp;$F1153&amp;"]"</f>
        <v>[S06_InstallationsVerificationReportsIssueDetail][22][ShareOfReportsConservativeEstimate]</v>
      </c>
    </row>
    <row r="1154" spans="1:15" x14ac:dyDescent="0.3">
      <c r="A1154" t="s">
        <v>1793</v>
      </c>
      <c r="B1154" t="s">
        <v>2099</v>
      </c>
      <c r="C1154" t="s">
        <v>2101</v>
      </c>
      <c r="D1154">
        <v>23</v>
      </c>
      <c r="E1154" t="s">
        <v>1447</v>
      </c>
      <c r="F1154" t="s">
        <v>2113</v>
      </c>
      <c r="G1154" t="s">
        <v>1922</v>
      </c>
      <c r="H1154" t="s">
        <v>1799</v>
      </c>
      <c r="I1154" t="s">
        <v>1799</v>
      </c>
      <c r="J1154">
        <v>0</v>
      </c>
      <c r="K1154" t="s">
        <v>1799</v>
      </c>
      <c r="L1154" t="s">
        <v>1799</v>
      </c>
      <c r="M1154" t="s">
        <v>1799</v>
      </c>
      <c r="N1154" t="s">
        <v>1799</v>
      </c>
      <c r="O1154" s="184" t="str">
        <f>"["&amp;$C1154&amp;"]["&amp;$D1154&amp;"]["&amp;$F1154&amp;"]"</f>
        <v>[S06_InstallationsVerificationReportsIssueDetail][23][ShareOfReportsConservativeEstimate]</v>
      </c>
    </row>
    <row r="1155" spans="1:15" x14ac:dyDescent="0.3">
      <c r="A1155" t="s">
        <v>1793</v>
      </c>
      <c r="B1155" t="s">
        <v>2099</v>
      </c>
      <c r="C1155" t="s">
        <v>2101</v>
      </c>
      <c r="D1155">
        <v>24</v>
      </c>
      <c r="E1155" t="s">
        <v>1447</v>
      </c>
      <c r="F1155" t="s">
        <v>2113</v>
      </c>
      <c r="G1155" t="s">
        <v>1922</v>
      </c>
      <c r="H1155" t="s">
        <v>1799</v>
      </c>
      <c r="I1155" t="s">
        <v>1799</v>
      </c>
      <c r="J1155">
        <v>0</v>
      </c>
      <c r="K1155" t="s">
        <v>1799</v>
      </c>
      <c r="L1155" t="s">
        <v>1799</v>
      </c>
      <c r="M1155" t="s">
        <v>1799</v>
      </c>
      <c r="N1155" t="s">
        <v>1799</v>
      </c>
      <c r="O1155" s="184" t="str">
        <f>"["&amp;$C1155&amp;"]["&amp;$D1155&amp;"]["&amp;$F1155&amp;"]"</f>
        <v>[S06_InstallationsVerificationReportsIssueDetail][24][ShareOfReportsConservativeEstimate]</v>
      </c>
    </row>
    <row r="1156" spans="1:15" x14ac:dyDescent="0.3">
      <c r="A1156" t="s">
        <v>1793</v>
      </c>
      <c r="B1156" t="s">
        <v>2099</v>
      </c>
      <c r="C1156" t="s">
        <v>2101</v>
      </c>
      <c r="D1156">
        <v>25</v>
      </c>
      <c r="E1156" t="s">
        <v>1447</v>
      </c>
      <c r="F1156" t="s">
        <v>2113</v>
      </c>
      <c r="G1156" t="s">
        <v>1922</v>
      </c>
      <c r="H1156" t="s">
        <v>1799</v>
      </c>
      <c r="I1156" t="s">
        <v>1799</v>
      </c>
      <c r="J1156">
        <v>0</v>
      </c>
      <c r="K1156" t="s">
        <v>1799</v>
      </c>
      <c r="L1156" t="s">
        <v>1799</v>
      </c>
      <c r="M1156" t="s">
        <v>1799</v>
      </c>
      <c r="N1156" t="s">
        <v>1799</v>
      </c>
      <c r="O1156" s="184" t="str">
        <f>"["&amp;$C1156&amp;"]["&amp;$D1156&amp;"]["&amp;$F1156&amp;"]"</f>
        <v>[S06_InstallationsVerificationReportsIssueDetail][25][ShareOfReportsConservativeEstimate]</v>
      </c>
    </row>
    <row r="1157" spans="1:15" x14ac:dyDescent="0.3">
      <c r="A1157" t="s">
        <v>1793</v>
      </c>
      <c r="B1157" t="s">
        <v>2099</v>
      </c>
      <c r="C1157" t="s">
        <v>2101</v>
      </c>
      <c r="D1157">
        <v>26</v>
      </c>
      <c r="E1157" t="s">
        <v>1447</v>
      </c>
      <c r="F1157" t="s">
        <v>2113</v>
      </c>
      <c r="G1157" t="s">
        <v>1922</v>
      </c>
      <c r="H1157" t="s">
        <v>1799</v>
      </c>
      <c r="I1157" t="s">
        <v>1799</v>
      </c>
      <c r="J1157">
        <v>0</v>
      </c>
      <c r="K1157" t="s">
        <v>1799</v>
      </c>
      <c r="L1157" t="s">
        <v>1799</v>
      </c>
      <c r="M1157" t="s">
        <v>1799</v>
      </c>
      <c r="N1157" t="s">
        <v>1799</v>
      </c>
      <c r="O1157" s="184" t="str">
        <f>"["&amp;$C1157&amp;"]["&amp;$D1157&amp;"]["&amp;$F1157&amp;"]"</f>
        <v>[S06_InstallationsVerificationReportsIssueDetail][26][ShareOfReportsConservativeEstimate]</v>
      </c>
    </row>
    <row r="1158" spans="1:15" x14ac:dyDescent="0.3">
      <c r="A1158" t="s">
        <v>1793</v>
      </c>
      <c r="B1158" t="s">
        <v>2114</v>
      </c>
      <c r="C1158" t="s">
        <v>2115</v>
      </c>
      <c r="D1158">
        <v>0</v>
      </c>
      <c r="E1158" t="s">
        <v>1447</v>
      </c>
      <c r="F1158" t="s">
        <v>2115</v>
      </c>
      <c r="G1158" t="s">
        <v>1833</v>
      </c>
      <c r="H1158" t="s">
        <v>1799</v>
      </c>
      <c r="I1158" t="s">
        <v>1799</v>
      </c>
      <c r="J1158" t="s">
        <v>1799</v>
      </c>
      <c r="K1158" t="s">
        <v>1799</v>
      </c>
      <c r="L1158" t="s">
        <v>1419</v>
      </c>
      <c r="M1158" t="s">
        <v>1799</v>
      </c>
      <c r="N1158" t="s">
        <v>1799</v>
      </c>
      <c r="O1158" s="184" t="str">
        <f>"["&amp;$C1158&amp;"]["&amp;$D1158&amp;"]["&amp;$F1158&amp;"]"</f>
        <v>[InstallationsVerificationReportChecks][0][InstallationsVerificationReportChecks]</v>
      </c>
    </row>
    <row r="1159" spans="1:15" x14ac:dyDescent="0.3">
      <c r="A1159" t="s">
        <v>1793</v>
      </c>
      <c r="B1159" t="s">
        <v>2114</v>
      </c>
      <c r="C1159" t="s">
        <v>2116</v>
      </c>
      <c r="D1159">
        <v>1</v>
      </c>
      <c r="E1159" t="s">
        <v>1447</v>
      </c>
      <c r="F1159" t="s">
        <v>2117</v>
      </c>
      <c r="G1159" t="s">
        <v>1922</v>
      </c>
      <c r="H1159" t="s">
        <v>1799</v>
      </c>
      <c r="I1159" t="s">
        <v>1799</v>
      </c>
      <c r="J1159">
        <v>1</v>
      </c>
      <c r="K1159" t="s">
        <v>1799</v>
      </c>
      <c r="L1159" t="s">
        <v>1799</v>
      </c>
      <c r="M1159" t="s">
        <v>1799</v>
      </c>
      <c r="N1159" t="s">
        <v>1799</v>
      </c>
      <c r="O1159" s="184" t="str">
        <f>"["&amp;$C1159&amp;"]["&amp;$D1159&amp;"]["&amp;$F1159&amp;"]"</f>
        <v>[S06_InstallationsVerificationReportChecksDetail1][1][PercentageShare]</v>
      </c>
    </row>
    <row r="1160" spans="1:15" x14ac:dyDescent="0.3">
      <c r="A1160" t="s">
        <v>1793</v>
      </c>
      <c r="B1160" t="s">
        <v>2114</v>
      </c>
      <c r="C1160" t="s">
        <v>2116</v>
      </c>
      <c r="D1160">
        <v>2</v>
      </c>
      <c r="E1160" t="s">
        <v>1447</v>
      </c>
      <c r="F1160" t="s">
        <v>2117</v>
      </c>
      <c r="G1160" t="s">
        <v>1922</v>
      </c>
      <c r="H1160" t="s">
        <v>1799</v>
      </c>
      <c r="I1160" t="s">
        <v>1799</v>
      </c>
      <c r="J1160">
        <v>1</v>
      </c>
      <c r="K1160" t="s">
        <v>1799</v>
      </c>
      <c r="L1160" t="s">
        <v>1799</v>
      </c>
      <c r="M1160" t="s">
        <v>1799</v>
      </c>
      <c r="N1160" t="s">
        <v>1799</v>
      </c>
      <c r="O1160" s="184" t="str">
        <f>"["&amp;$C1160&amp;"]["&amp;$D1160&amp;"]["&amp;$F1160&amp;"]"</f>
        <v>[S06_InstallationsVerificationReportChecksDetail1][2][PercentageShare]</v>
      </c>
    </row>
    <row r="1161" spans="1:15" x14ac:dyDescent="0.3">
      <c r="A1161" t="s">
        <v>1793</v>
      </c>
      <c r="B1161" t="s">
        <v>2114</v>
      </c>
      <c r="C1161" t="s">
        <v>2116</v>
      </c>
      <c r="D1161">
        <v>3</v>
      </c>
      <c r="E1161" t="s">
        <v>1447</v>
      </c>
      <c r="F1161" t="s">
        <v>2117</v>
      </c>
      <c r="G1161" t="s">
        <v>1922</v>
      </c>
      <c r="H1161" t="s">
        <v>1799</v>
      </c>
      <c r="I1161" t="s">
        <v>1799</v>
      </c>
      <c r="J1161">
        <v>0</v>
      </c>
      <c r="K1161" t="s">
        <v>1799</v>
      </c>
      <c r="L1161" t="s">
        <v>1799</v>
      </c>
      <c r="M1161" t="s">
        <v>1799</v>
      </c>
      <c r="N1161" t="s">
        <v>1799</v>
      </c>
      <c r="O1161" s="184" t="str">
        <f>"["&amp;$C1161&amp;"]["&amp;$D1161&amp;"]["&amp;$F1161&amp;"]"</f>
        <v>[S06_InstallationsVerificationReportChecksDetail1][3][PercentageShare]</v>
      </c>
    </row>
    <row r="1162" spans="1:15" x14ac:dyDescent="0.3">
      <c r="A1162" t="s">
        <v>1793</v>
      </c>
      <c r="B1162" t="s">
        <v>2114</v>
      </c>
      <c r="C1162" t="s">
        <v>2116</v>
      </c>
      <c r="D1162">
        <v>4</v>
      </c>
      <c r="E1162" t="s">
        <v>1447</v>
      </c>
      <c r="F1162" t="s">
        <v>2117</v>
      </c>
      <c r="G1162" t="s">
        <v>1922</v>
      </c>
      <c r="H1162" t="s">
        <v>1799</v>
      </c>
      <c r="I1162" t="s">
        <v>1799</v>
      </c>
      <c r="J1162">
        <v>1</v>
      </c>
      <c r="K1162" t="s">
        <v>1799</v>
      </c>
      <c r="L1162" t="s">
        <v>1799</v>
      </c>
      <c r="M1162" t="s">
        <v>1799</v>
      </c>
      <c r="N1162" t="s">
        <v>1799</v>
      </c>
      <c r="O1162" s="184" t="str">
        <f>"["&amp;$C1162&amp;"]["&amp;$D1162&amp;"]["&amp;$F1162&amp;"]"</f>
        <v>[S06_InstallationsVerificationReportChecksDetail1][4][PercentageShare]</v>
      </c>
    </row>
    <row r="1163" spans="1:15" x14ac:dyDescent="0.3">
      <c r="A1163" t="s">
        <v>1793</v>
      </c>
      <c r="B1163" t="s">
        <v>2114</v>
      </c>
      <c r="C1163" t="s">
        <v>2116</v>
      </c>
      <c r="D1163">
        <v>5</v>
      </c>
      <c r="E1163" t="s">
        <v>1447</v>
      </c>
      <c r="F1163" t="s">
        <v>2117</v>
      </c>
      <c r="G1163" t="s">
        <v>1922</v>
      </c>
      <c r="H1163" t="s">
        <v>1799</v>
      </c>
      <c r="I1163" t="s">
        <v>1799</v>
      </c>
      <c r="J1163">
        <v>1</v>
      </c>
      <c r="K1163" t="s">
        <v>1799</v>
      </c>
      <c r="L1163" t="s">
        <v>1799</v>
      </c>
      <c r="M1163" t="s">
        <v>1799</v>
      </c>
      <c r="N1163" t="s">
        <v>1799</v>
      </c>
      <c r="O1163" s="184" t="str">
        <f>"["&amp;$C1163&amp;"]["&amp;$D1163&amp;"]["&amp;$F1163&amp;"]"</f>
        <v>[S06_InstallationsVerificationReportChecksDetail1][5][PercentageShare]</v>
      </c>
    </row>
    <row r="1164" spans="1:15" x14ac:dyDescent="0.3">
      <c r="A1164" t="s">
        <v>1793</v>
      </c>
      <c r="B1164" t="s">
        <v>2114</v>
      </c>
      <c r="C1164" t="s">
        <v>2116</v>
      </c>
      <c r="D1164">
        <v>4</v>
      </c>
      <c r="E1164" t="s">
        <v>1447</v>
      </c>
      <c r="F1164" t="s">
        <v>2118</v>
      </c>
      <c r="G1164" t="s">
        <v>1861</v>
      </c>
      <c r="H1164" t="s">
        <v>1799</v>
      </c>
      <c r="I1164" t="s">
        <v>1799</v>
      </c>
      <c r="J1164" t="s">
        <v>1799</v>
      </c>
      <c r="K1164" t="s">
        <v>2119</v>
      </c>
      <c r="L1164" t="s">
        <v>1799</v>
      </c>
      <c r="M1164" t="s">
        <v>1799</v>
      </c>
      <c r="N1164" t="s">
        <v>1799</v>
      </c>
      <c r="O1164" s="184" t="str">
        <f>"["&amp;$C1164&amp;"]["&amp;$D1164&amp;"]["&amp;$F1164&amp;"]"</f>
        <v>[S06_InstallationsVerificationReportChecksDetail1][4][FurtherInformation]</v>
      </c>
    </row>
    <row r="1165" spans="1:15" x14ac:dyDescent="0.3">
      <c r="A1165" t="s">
        <v>1793</v>
      </c>
      <c r="B1165" t="s">
        <v>2114</v>
      </c>
      <c r="C1165" t="s">
        <v>2116</v>
      </c>
      <c r="D1165">
        <v>5</v>
      </c>
      <c r="E1165" t="s">
        <v>1447</v>
      </c>
      <c r="F1165" t="s">
        <v>2118</v>
      </c>
      <c r="G1165" t="s">
        <v>1861</v>
      </c>
      <c r="H1165" t="s">
        <v>1799</v>
      </c>
      <c r="I1165" t="s">
        <v>1799</v>
      </c>
      <c r="J1165" t="s">
        <v>1799</v>
      </c>
      <c r="K1165" t="s">
        <v>2120</v>
      </c>
      <c r="L1165" t="s">
        <v>1799</v>
      </c>
      <c r="M1165" t="s">
        <v>1799</v>
      </c>
      <c r="N1165" t="s">
        <v>1799</v>
      </c>
      <c r="O1165" s="184" t="str">
        <f>"["&amp;$C1165&amp;"]["&amp;$D1165&amp;"]["&amp;$F1165&amp;"]"</f>
        <v>[S06_InstallationsVerificationReportChecksDetail1][5][FurtherInformation]</v>
      </c>
    </row>
    <row r="1166" spans="1:15" x14ac:dyDescent="0.3">
      <c r="A1166" t="s">
        <v>1793</v>
      </c>
      <c r="B1166" t="s">
        <v>2114</v>
      </c>
      <c r="C1166" t="s">
        <v>2116</v>
      </c>
      <c r="D1166">
        <v>5</v>
      </c>
      <c r="E1166" t="s">
        <v>1447</v>
      </c>
      <c r="F1166" t="s">
        <v>2121</v>
      </c>
      <c r="G1166" t="s">
        <v>1737</v>
      </c>
      <c r="H1166" t="s">
        <v>1799</v>
      </c>
      <c r="I1166" t="s">
        <v>1799</v>
      </c>
      <c r="J1166" t="s">
        <v>1799</v>
      </c>
      <c r="K1166" t="s">
        <v>1799</v>
      </c>
      <c r="L1166" t="s">
        <v>1234</v>
      </c>
      <c r="M1166" t="s">
        <v>1799</v>
      </c>
      <c r="N1166" t="s">
        <v>1799</v>
      </c>
      <c r="O1166" s="184" t="str">
        <f>"["&amp;$C1166&amp;"]["&amp;$D1166&amp;"]["&amp;$F1166&amp;"]"</f>
        <v>[S06_InstallationsVerificationReportChecksDetail1][5][SelectingCriteria]</v>
      </c>
    </row>
    <row r="1167" spans="1:15" x14ac:dyDescent="0.3">
      <c r="A1167" t="s">
        <v>1793</v>
      </c>
      <c r="B1167" t="s">
        <v>2114</v>
      </c>
      <c r="C1167" t="s">
        <v>2122</v>
      </c>
      <c r="D1167">
        <v>1</v>
      </c>
      <c r="E1167" t="s">
        <v>1447</v>
      </c>
      <c r="F1167" t="s">
        <v>2123</v>
      </c>
      <c r="G1167" t="s">
        <v>1811</v>
      </c>
      <c r="H1167" t="s">
        <v>1799</v>
      </c>
      <c r="I1167">
        <v>0</v>
      </c>
      <c r="J1167" t="s">
        <v>1799</v>
      </c>
      <c r="K1167" t="s">
        <v>1799</v>
      </c>
      <c r="L1167" t="s">
        <v>1799</v>
      </c>
      <c r="M1167" t="s">
        <v>1799</v>
      </c>
      <c r="N1167" t="s">
        <v>1799</v>
      </c>
      <c r="O1167" s="184" t="str">
        <f>"["&amp;$C1167&amp;"]["&amp;$D1167&amp;"]["&amp;$F1167&amp;"]"</f>
        <v>[S06_InstallationsVerificationReportChecksDetail2][1][NumberOfReports]</v>
      </c>
    </row>
    <row r="1168" spans="1:15" x14ac:dyDescent="0.3">
      <c r="A1168" t="s">
        <v>1793</v>
      </c>
      <c r="B1168" t="s">
        <v>2114</v>
      </c>
      <c r="C1168" t="s">
        <v>2122</v>
      </c>
      <c r="D1168">
        <v>2</v>
      </c>
      <c r="E1168" t="s">
        <v>1447</v>
      </c>
      <c r="F1168" t="s">
        <v>2123</v>
      </c>
      <c r="G1168" t="s">
        <v>1811</v>
      </c>
      <c r="H1168" t="s">
        <v>1799</v>
      </c>
      <c r="I1168">
        <v>3</v>
      </c>
      <c r="J1168" t="s">
        <v>1799</v>
      </c>
      <c r="K1168" t="s">
        <v>1799</v>
      </c>
      <c r="L1168" t="s">
        <v>1799</v>
      </c>
      <c r="M1168" t="s">
        <v>1799</v>
      </c>
      <c r="N1168" t="s">
        <v>1799</v>
      </c>
      <c r="O1168" s="184" t="str">
        <f>"["&amp;$C1168&amp;"]["&amp;$D1168&amp;"]["&amp;$F1168&amp;"]"</f>
        <v>[S06_InstallationsVerificationReportChecksDetail2][2][NumberOfReports]</v>
      </c>
    </row>
    <row r="1169" spans="1:15" x14ac:dyDescent="0.3">
      <c r="A1169" t="s">
        <v>1793</v>
      </c>
      <c r="B1169" t="s">
        <v>2114</v>
      </c>
      <c r="C1169" t="s">
        <v>2122</v>
      </c>
      <c r="D1169">
        <v>2</v>
      </c>
      <c r="E1169" t="s">
        <v>1447</v>
      </c>
      <c r="F1169" t="s">
        <v>2118</v>
      </c>
      <c r="G1169" t="s">
        <v>1861</v>
      </c>
      <c r="H1169" t="s">
        <v>1799</v>
      </c>
      <c r="I1169" t="s">
        <v>1799</v>
      </c>
      <c r="J1169" t="s">
        <v>1799</v>
      </c>
      <c r="K1169" t="s">
        <v>2124</v>
      </c>
      <c r="L1169" t="s">
        <v>1799</v>
      </c>
      <c r="M1169" t="s">
        <v>1799</v>
      </c>
      <c r="N1169" t="s">
        <v>1799</v>
      </c>
      <c r="O1169" s="184" t="str">
        <f>"["&amp;$C1169&amp;"]["&amp;$D1169&amp;"]["&amp;$F1169&amp;"]"</f>
        <v>[S06_InstallationsVerificationReportChecksDetail2][2][FurtherInformation]</v>
      </c>
    </row>
    <row r="1170" spans="1:15" x14ac:dyDescent="0.3">
      <c r="A1170" t="s">
        <v>1793</v>
      </c>
      <c r="B1170" t="s">
        <v>2114</v>
      </c>
      <c r="C1170" t="s">
        <v>2125</v>
      </c>
      <c r="D1170">
        <v>1</v>
      </c>
      <c r="E1170" t="s">
        <v>1447</v>
      </c>
      <c r="F1170" t="s">
        <v>2126</v>
      </c>
      <c r="G1170" t="s">
        <v>1797</v>
      </c>
      <c r="H1170" t="s">
        <v>1755</v>
      </c>
      <c r="I1170" t="s">
        <v>1799</v>
      </c>
      <c r="J1170" t="s">
        <v>1799</v>
      </c>
      <c r="K1170" t="s">
        <v>1799</v>
      </c>
      <c r="L1170" t="s">
        <v>1799</v>
      </c>
      <c r="M1170" t="s">
        <v>1799</v>
      </c>
      <c r="N1170" t="s">
        <v>1799</v>
      </c>
      <c r="O1170" s="184" t="str">
        <f>"["&amp;$C1170&amp;"]["&amp;$D1170&amp;"]["&amp;$F1170&amp;"]"</f>
        <v>[S06_InstallationsVerificationReportChecksDetail3][1][ActionsTaken]</v>
      </c>
    </row>
    <row r="1171" spans="1:15" x14ac:dyDescent="0.3">
      <c r="A1171" t="s">
        <v>1793</v>
      </c>
      <c r="B1171" t="s">
        <v>2114</v>
      </c>
      <c r="C1171" t="s">
        <v>2125</v>
      </c>
      <c r="D1171">
        <v>2</v>
      </c>
      <c r="E1171" t="s">
        <v>1419</v>
      </c>
      <c r="F1171" t="s">
        <v>2126</v>
      </c>
      <c r="G1171" t="s">
        <v>1861</v>
      </c>
      <c r="H1171" t="s">
        <v>1799</v>
      </c>
      <c r="I1171" t="s">
        <v>1799</v>
      </c>
      <c r="J1171" t="s">
        <v>1799</v>
      </c>
      <c r="K1171" t="s">
        <v>2127</v>
      </c>
      <c r="L1171" t="s">
        <v>1799</v>
      </c>
      <c r="M1171" t="s">
        <v>1799</v>
      </c>
      <c r="N1171" t="s">
        <v>1799</v>
      </c>
      <c r="O1171" s="184" t="str">
        <f>"["&amp;$C1171&amp;"]["&amp;$D1171&amp;"]["&amp;$F1171&amp;"]"</f>
        <v>[S06_InstallationsVerificationReportChecksDetail3][2][ActionsTaken]</v>
      </c>
    </row>
    <row r="1172" spans="1:15" x14ac:dyDescent="0.3">
      <c r="A1172" t="s">
        <v>1793</v>
      </c>
      <c r="B1172" t="s">
        <v>2128</v>
      </c>
      <c r="C1172" t="s">
        <v>2129</v>
      </c>
      <c r="D1172">
        <v>0</v>
      </c>
      <c r="E1172" t="s">
        <v>1447</v>
      </c>
      <c r="F1172" t="s">
        <v>2129</v>
      </c>
      <c r="G1172" t="s">
        <v>1833</v>
      </c>
      <c r="H1172" t="s">
        <v>1799</v>
      </c>
      <c r="I1172" t="s">
        <v>1799</v>
      </c>
      <c r="J1172" t="s">
        <v>1799</v>
      </c>
      <c r="K1172" t="s">
        <v>1799</v>
      </c>
      <c r="L1172" t="s">
        <v>1419</v>
      </c>
      <c r="M1172" t="s">
        <v>1799</v>
      </c>
      <c r="N1172" t="s">
        <v>1799</v>
      </c>
      <c r="O1172" s="184" t="str">
        <f>"["&amp;$C1172&amp;"]["&amp;$D1172&amp;"]["&amp;$F1172&amp;"]"</f>
        <v>[InstallationVisitsWaivedHighEmitters][0][InstallationVisitsWaivedHighEmitters]</v>
      </c>
    </row>
    <row r="1173" spans="1:15" x14ac:dyDescent="0.3">
      <c r="A1173" t="s">
        <v>1793</v>
      </c>
      <c r="B1173" t="s">
        <v>2128</v>
      </c>
      <c r="C1173" t="s">
        <v>2130</v>
      </c>
      <c r="D1173">
        <v>1</v>
      </c>
      <c r="E1173" t="s">
        <v>1447</v>
      </c>
      <c r="F1173" t="s">
        <v>2131</v>
      </c>
      <c r="G1173" t="s">
        <v>1737</v>
      </c>
      <c r="H1173" t="s">
        <v>1799</v>
      </c>
      <c r="I1173" t="s">
        <v>1799</v>
      </c>
      <c r="J1173" t="s">
        <v>1799</v>
      </c>
      <c r="K1173" t="s">
        <v>1799</v>
      </c>
      <c r="L1173" t="s">
        <v>1526</v>
      </c>
      <c r="M1173" t="s">
        <v>1799</v>
      </c>
      <c r="N1173" t="s">
        <v>1799</v>
      </c>
      <c r="O1173" s="184" t="str">
        <f>"["&amp;$C1173&amp;"]["&amp;$D1173&amp;"]["&amp;$F1173&amp;"]"</f>
        <v>[S06_InstallationsVisitsWaivedHighEmittersDetail][1][ConditionForWaiving]</v>
      </c>
    </row>
    <row r="1174" spans="1:15" x14ac:dyDescent="0.3">
      <c r="A1174" t="s">
        <v>1793</v>
      </c>
      <c r="B1174" t="s">
        <v>2128</v>
      </c>
      <c r="C1174" t="s">
        <v>2130</v>
      </c>
      <c r="D1174">
        <v>1</v>
      </c>
      <c r="E1174" t="s">
        <v>1447</v>
      </c>
      <c r="F1174" t="s">
        <v>2102</v>
      </c>
      <c r="G1174" t="s">
        <v>1737</v>
      </c>
      <c r="H1174" t="s">
        <v>1799</v>
      </c>
      <c r="I1174" t="s">
        <v>1799</v>
      </c>
      <c r="J1174" t="s">
        <v>1799</v>
      </c>
      <c r="K1174" t="s">
        <v>1799</v>
      </c>
      <c r="L1174" t="s">
        <v>1420</v>
      </c>
      <c r="M1174" t="s">
        <v>1799</v>
      </c>
      <c r="N1174" t="s">
        <v>1799</v>
      </c>
      <c r="O1174" s="184" t="str">
        <f>"["&amp;$C1174&amp;"]["&amp;$D1174&amp;"]["&amp;$F1174&amp;"]"</f>
        <v>[S06_InstallationsVisitsWaivedHighEmittersDetail][1][AnnexIActivity]</v>
      </c>
    </row>
    <row r="1175" spans="1:15" x14ac:dyDescent="0.3">
      <c r="A1175" t="s">
        <v>1793</v>
      </c>
      <c r="B1175" t="s">
        <v>2128</v>
      </c>
      <c r="C1175" t="s">
        <v>2130</v>
      </c>
      <c r="D1175">
        <v>1</v>
      </c>
      <c r="E1175" t="s">
        <v>1447</v>
      </c>
      <c r="F1175" t="s">
        <v>1866</v>
      </c>
      <c r="G1175" t="s">
        <v>1811</v>
      </c>
      <c r="H1175" t="s">
        <v>1799</v>
      </c>
      <c r="I1175">
        <v>3</v>
      </c>
      <c r="J1175" t="s">
        <v>1799</v>
      </c>
      <c r="K1175" t="s">
        <v>1799</v>
      </c>
      <c r="L1175" t="s">
        <v>1799</v>
      </c>
      <c r="M1175" t="s">
        <v>1799</v>
      </c>
      <c r="N1175" t="s">
        <v>1799</v>
      </c>
      <c r="O1175" s="184" t="str">
        <f>"["&amp;$C1175&amp;"]["&amp;$D1175&amp;"]["&amp;$F1175&amp;"]"</f>
        <v>[S06_InstallationsVisitsWaivedHighEmittersDetail][1][NumberOfInstallations]</v>
      </c>
    </row>
    <row r="1176" spans="1:15" x14ac:dyDescent="0.3">
      <c r="A1176" t="s">
        <v>1793</v>
      </c>
      <c r="B1176" t="s">
        <v>2128</v>
      </c>
      <c r="C1176" t="s">
        <v>2132</v>
      </c>
      <c r="D1176">
        <v>0</v>
      </c>
      <c r="E1176" t="s">
        <v>1447</v>
      </c>
      <c r="F1176" t="s">
        <v>2132</v>
      </c>
      <c r="G1176" t="s">
        <v>1833</v>
      </c>
      <c r="H1176" t="s">
        <v>1799</v>
      </c>
      <c r="I1176" t="s">
        <v>1799</v>
      </c>
      <c r="J1176" t="s">
        <v>1799</v>
      </c>
      <c r="K1176" t="s">
        <v>1799</v>
      </c>
      <c r="L1176" t="s">
        <v>1419</v>
      </c>
      <c r="M1176" t="s">
        <v>1799</v>
      </c>
      <c r="N1176" t="s">
        <v>1799</v>
      </c>
      <c r="O1176" s="184" t="str">
        <f>"["&amp;$C1176&amp;"]["&amp;$D1176&amp;"]["&amp;$F1176&amp;"]"</f>
        <v>[InstallationsVisitsWaivedLowEmitters][0][InstallationsVisitsWaivedLowEmitters]</v>
      </c>
    </row>
    <row r="1177" spans="1:15" x14ac:dyDescent="0.3">
      <c r="A1177" t="s">
        <v>1793</v>
      </c>
      <c r="B1177" t="s">
        <v>2128</v>
      </c>
      <c r="C1177" t="s">
        <v>2133</v>
      </c>
      <c r="D1177">
        <v>0</v>
      </c>
      <c r="E1177" t="s">
        <v>1447</v>
      </c>
      <c r="F1177" t="s">
        <v>2133</v>
      </c>
      <c r="G1177" t="s">
        <v>1811</v>
      </c>
      <c r="H1177" t="s">
        <v>1799</v>
      </c>
      <c r="I1177">
        <v>8</v>
      </c>
      <c r="J1177" t="s">
        <v>1799</v>
      </c>
      <c r="K1177" t="s">
        <v>1799</v>
      </c>
      <c r="L1177" t="s">
        <v>1799</v>
      </c>
      <c r="M1177" t="s">
        <v>1799</v>
      </c>
      <c r="N1177" t="s">
        <v>1799</v>
      </c>
      <c r="O1177" s="184" t="str">
        <f>"["&amp;$C1177&amp;"]["&amp;$D1177&amp;"]["&amp;$F1177&amp;"]"</f>
        <v>[InstallationsVisitsWaivedLowEmittersDetail][0][InstallationsVisitsWaivedLowEmittersDetail]</v>
      </c>
    </row>
    <row r="1178" spans="1:15" x14ac:dyDescent="0.3">
      <c r="A1178" t="s">
        <v>1793</v>
      </c>
      <c r="B1178" t="s">
        <v>2134</v>
      </c>
      <c r="C1178" t="s">
        <v>2135</v>
      </c>
      <c r="D1178">
        <v>0</v>
      </c>
      <c r="E1178" t="s">
        <v>1447</v>
      </c>
      <c r="F1178" t="s">
        <v>2135</v>
      </c>
      <c r="G1178" t="s">
        <v>1833</v>
      </c>
      <c r="H1178" t="s">
        <v>1799</v>
      </c>
      <c r="I1178" t="s">
        <v>1799</v>
      </c>
      <c r="J1178" t="s">
        <v>1799</v>
      </c>
      <c r="K1178" t="s">
        <v>1799</v>
      </c>
      <c r="L1178" t="s">
        <v>1419</v>
      </c>
      <c r="M1178" t="s">
        <v>1799</v>
      </c>
      <c r="N1178" t="s">
        <v>1799</v>
      </c>
      <c r="O1178" s="184" t="str">
        <f>"["&amp;$C1178&amp;"]["&amp;$D1178&amp;"]["&amp;$F1178&amp;"]"</f>
        <v>[VirtualVisitsInstallations][0][VirtualVisitsInstallations]</v>
      </c>
    </row>
    <row r="1179" spans="1:15" x14ac:dyDescent="0.3">
      <c r="A1179" t="s">
        <v>1793</v>
      </c>
      <c r="B1179" t="s">
        <v>2134</v>
      </c>
      <c r="C1179" t="s">
        <v>2136</v>
      </c>
      <c r="D1179">
        <v>1</v>
      </c>
      <c r="E1179" t="s">
        <v>1447</v>
      </c>
      <c r="F1179" t="s">
        <v>2137</v>
      </c>
      <c r="G1179" t="s">
        <v>1797</v>
      </c>
      <c r="H1179" t="s">
        <v>2138</v>
      </c>
      <c r="I1179" t="s">
        <v>1799</v>
      </c>
      <c r="J1179" t="s">
        <v>1799</v>
      </c>
      <c r="K1179" t="s">
        <v>1799</v>
      </c>
      <c r="L1179" t="s">
        <v>1799</v>
      </c>
      <c r="M1179" t="s">
        <v>1799</v>
      </c>
      <c r="N1179" t="s">
        <v>1799</v>
      </c>
      <c r="O1179" s="184" t="str">
        <f>"["&amp;$C1179&amp;"]["&amp;$D1179&amp;"]["&amp;$F1179&amp;"]"</f>
        <v>[S06_VirtualVisitsInstallationsDetails][1][TypeForceMajeur]</v>
      </c>
    </row>
    <row r="1180" spans="1:15" x14ac:dyDescent="0.3">
      <c r="A1180" t="s">
        <v>1793</v>
      </c>
      <c r="B1180" t="s">
        <v>2134</v>
      </c>
      <c r="C1180" t="s">
        <v>2136</v>
      </c>
      <c r="D1180">
        <v>1</v>
      </c>
      <c r="E1180" t="s">
        <v>1447</v>
      </c>
      <c r="F1180" t="s">
        <v>2139</v>
      </c>
      <c r="G1180" t="s">
        <v>1811</v>
      </c>
      <c r="H1180" t="s">
        <v>1799</v>
      </c>
      <c r="I1180">
        <v>77</v>
      </c>
      <c r="J1180" t="s">
        <v>1799</v>
      </c>
      <c r="K1180" t="s">
        <v>1799</v>
      </c>
      <c r="L1180" t="s">
        <v>1799</v>
      </c>
      <c r="M1180" t="s">
        <v>1799</v>
      </c>
      <c r="N1180" t="s">
        <v>1799</v>
      </c>
      <c r="O1180" s="184" t="str">
        <f>"["&amp;$C1180&amp;"]["&amp;$D1180&amp;"]["&amp;$F1180&amp;"]"</f>
        <v>[S06_VirtualVisitsInstallationsDetails][1][NumberOfInstallationsVV]</v>
      </c>
    </row>
    <row r="1181" spans="1:15" x14ac:dyDescent="0.3">
      <c r="A1181" t="s">
        <v>1793</v>
      </c>
      <c r="B1181" t="s">
        <v>2134</v>
      </c>
      <c r="C1181" t="s">
        <v>2136</v>
      </c>
      <c r="D1181">
        <v>1</v>
      </c>
      <c r="E1181" t="s">
        <v>1447</v>
      </c>
      <c r="F1181" t="s">
        <v>2140</v>
      </c>
      <c r="G1181" t="s">
        <v>1737</v>
      </c>
      <c r="H1181" t="s">
        <v>1799</v>
      </c>
      <c r="I1181" t="s">
        <v>1799</v>
      </c>
      <c r="J1181" t="s">
        <v>1799</v>
      </c>
      <c r="K1181" t="s">
        <v>1799</v>
      </c>
      <c r="L1181" t="s">
        <v>1470</v>
      </c>
      <c r="M1181" t="s">
        <v>1799</v>
      </c>
      <c r="N1181" t="s">
        <v>1799</v>
      </c>
      <c r="O1181" s="184" t="str">
        <f>"["&amp;$C1181&amp;"]["&amp;$D1181&amp;"]["&amp;$F1181&amp;"]"</f>
        <v>[S06_VirtualVisitsInstallationsDetails][1][AuthorityApproval]</v>
      </c>
    </row>
    <row r="1182" spans="1:15" x14ac:dyDescent="0.3">
      <c r="A1182" t="s">
        <v>1793</v>
      </c>
      <c r="B1182" t="s">
        <v>2134</v>
      </c>
      <c r="C1182" t="s">
        <v>2136</v>
      </c>
      <c r="D1182">
        <v>1</v>
      </c>
      <c r="E1182" t="s">
        <v>1447</v>
      </c>
      <c r="F1182" t="s">
        <v>2141</v>
      </c>
      <c r="G1182" t="s">
        <v>1797</v>
      </c>
      <c r="H1182" t="s">
        <v>1419</v>
      </c>
      <c r="I1182" t="s">
        <v>1799</v>
      </c>
      <c r="J1182" t="s">
        <v>1799</v>
      </c>
      <c r="K1182" t="s">
        <v>1799</v>
      </c>
      <c r="L1182" t="s">
        <v>1799</v>
      </c>
      <c r="M1182" t="s">
        <v>1799</v>
      </c>
      <c r="N1182" t="s">
        <v>1799</v>
      </c>
      <c r="O1182" s="184" t="str">
        <f>"["&amp;$C1182&amp;"]["&amp;$D1182&amp;"]["&amp;$F1182&amp;"]"</f>
        <v>[S06_VirtualVisitsInstallationsDetails][1][ConfirmationConditionsMet]</v>
      </c>
    </row>
    <row r="1183" spans="1:15" x14ac:dyDescent="0.3">
      <c r="A1183" t="s">
        <v>1793</v>
      </c>
      <c r="B1183" t="s">
        <v>2142</v>
      </c>
      <c r="C1183" t="s">
        <v>2143</v>
      </c>
      <c r="D1183">
        <v>1</v>
      </c>
      <c r="E1183" t="s">
        <v>1447</v>
      </c>
      <c r="F1183" t="s">
        <v>2098</v>
      </c>
      <c r="G1183" t="s">
        <v>1811</v>
      </c>
      <c r="H1183" t="s">
        <v>1799</v>
      </c>
      <c r="I1183">
        <v>0</v>
      </c>
      <c r="J1183" t="s">
        <v>1799</v>
      </c>
      <c r="K1183" t="s">
        <v>1799</v>
      </c>
      <c r="L1183" t="s">
        <v>1799</v>
      </c>
      <c r="M1183" t="s">
        <v>1799</v>
      </c>
      <c r="N1183" t="s">
        <v>1799</v>
      </c>
      <c r="O1183" s="184" t="str">
        <f>"["&amp;$C1183&amp;"]["&amp;$D1183&amp;"]["&amp;$F1183&amp;"]"</f>
        <v>[S06_NegativeOpinionAircraft][1][CountNegativeOpinions]</v>
      </c>
    </row>
    <row r="1184" spans="1:15" x14ac:dyDescent="0.3">
      <c r="A1184" t="s">
        <v>1793</v>
      </c>
      <c r="B1184" t="s">
        <v>2142</v>
      </c>
      <c r="C1184" t="s">
        <v>2143</v>
      </c>
      <c r="D1184">
        <v>2</v>
      </c>
      <c r="E1184" t="s">
        <v>1447</v>
      </c>
      <c r="F1184" t="s">
        <v>2098</v>
      </c>
      <c r="G1184" t="s">
        <v>1811</v>
      </c>
      <c r="H1184" t="s">
        <v>1799</v>
      </c>
      <c r="I1184">
        <v>0</v>
      </c>
      <c r="J1184" t="s">
        <v>1799</v>
      </c>
      <c r="K1184" t="s">
        <v>1799</v>
      </c>
      <c r="L1184" t="s">
        <v>1799</v>
      </c>
      <c r="M1184" t="s">
        <v>1799</v>
      </c>
      <c r="N1184" t="s">
        <v>1799</v>
      </c>
      <c r="O1184" s="184" t="str">
        <f>"["&amp;$C1184&amp;"]["&amp;$D1184&amp;"]["&amp;$F1184&amp;"]"</f>
        <v>[S06_NegativeOpinionAircraft][2][CountNegativeOpinions]</v>
      </c>
    </row>
    <row r="1185" spans="1:15" x14ac:dyDescent="0.3">
      <c r="A1185" t="s">
        <v>1793</v>
      </c>
      <c r="B1185" t="s">
        <v>2142</v>
      </c>
      <c r="C1185" t="s">
        <v>2143</v>
      </c>
      <c r="D1185">
        <v>3</v>
      </c>
      <c r="E1185" t="s">
        <v>1447</v>
      </c>
      <c r="F1185" t="s">
        <v>2098</v>
      </c>
      <c r="G1185" t="s">
        <v>1811</v>
      </c>
      <c r="H1185" t="s">
        <v>1799</v>
      </c>
      <c r="I1185">
        <v>0</v>
      </c>
      <c r="J1185" t="s">
        <v>1799</v>
      </c>
      <c r="K1185" t="s">
        <v>1799</v>
      </c>
      <c r="L1185" t="s">
        <v>1799</v>
      </c>
      <c r="M1185" t="s">
        <v>1799</v>
      </c>
      <c r="N1185" t="s">
        <v>1799</v>
      </c>
      <c r="O1185" s="184" t="str">
        <f>"["&amp;$C1185&amp;"]["&amp;$D1185&amp;"]["&amp;$F1185&amp;"]"</f>
        <v>[S06_NegativeOpinionAircraft][3][CountNegativeOpinions]</v>
      </c>
    </row>
    <row r="1186" spans="1:15" x14ac:dyDescent="0.3">
      <c r="A1186" t="s">
        <v>1793</v>
      </c>
      <c r="B1186" t="s">
        <v>2142</v>
      </c>
      <c r="C1186" t="s">
        <v>2143</v>
      </c>
      <c r="D1186">
        <v>4</v>
      </c>
      <c r="E1186" t="s">
        <v>1447</v>
      </c>
      <c r="F1186" t="s">
        <v>2098</v>
      </c>
      <c r="G1186" t="s">
        <v>1811</v>
      </c>
      <c r="H1186" t="s">
        <v>1799</v>
      </c>
      <c r="I1186">
        <v>0</v>
      </c>
      <c r="J1186" t="s">
        <v>1799</v>
      </c>
      <c r="K1186" t="s">
        <v>1799</v>
      </c>
      <c r="L1186" t="s">
        <v>1799</v>
      </c>
      <c r="M1186" t="s">
        <v>1799</v>
      </c>
      <c r="N1186" t="s">
        <v>1799</v>
      </c>
      <c r="O1186" s="184" t="str">
        <f>"["&amp;$C1186&amp;"]["&amp;$D1186&amp;"]["&amp;$F1186&amp;"]"</f>
        <v>[S06_NegativeOpinionAircraft][4][CountNegativeOpinions]</v>
      </c>
    </row>
    <row r="1187" spans="1:15" x14ac:dyDescent="0.3">
      <c r="A1187" t="s">
        <v>1793</v>
      </c>
      <c r="B1187" t="s">
        <v>2144</v>
      </c>
      <c r="C1187" t="s">
        <v>2145</v>
      </c>
      <c r="D1187">
        <v>0</v>
      </c>
      <c r="E1187" t="s">
        <v>1447</v>
      </c>
      <c r="F1187" t="s">
        <v>2145</v>
      </c>
      <c r="G1187" t="s">
        <v>1833</v>
      </c>
      <c r="H1187" t="s">
        <v>1799</v>
      </c>
      <c r="I1187" t="s">
        <v>1799</v>
      </c>
      <c r="J1187" t="s">
        <v>1799</v>
      </c>
      <c r="K1187" t="s">
        <v>1799</v>
      </c>
      <c r="L1187" t="s">
        <v>1419</v>
      </c>
      <c r="M1187" t="s">
        <v>1799</v>
      </c>
      <c r="N1187" t="s">
        <v>1799</v>
      </c>
      <c r="O1187" s="184" t="str">
        <f>"["&amp;$C1187&amp;"]["&amp;$D1187&amp;"]["&amp;$F1187&amp;"]"</f>
        <v>[AircraftOperatorsVerificationReportIssues][0][AircraftOperatorsVerificationReportIssues]</v>
      </c>
    </row>
    <row r="1188" spans="1:15" x14ac:dyDescent="0.3">
      <c r="A1188" t="s">
        <v>1793</v>
      </c>
      <c r="B1188" t="s">
        <v>2144</v>
      </c>
      <c r="C1188" t="s">
        <v>2146</v>
      </c>
      <c r="D1188">
        <v>1</v>
      </c>
      <c r="E1188" t="s">
        <v>1447</v>
      </c>
      <c r="F1188" t="s">
        <v>2109</v>
      </c>
      <c r="G1188" t="s">
        <v>1737</v>
      </c>
      <c r="H1188" t="s">
        <v>1799</v>
      </c>
      <c r="I1188" t="s">
        <v>1799</v>
      </c>
      <c r="J1188" t="s">
        <v>1799</v>
      </c>
      <c r="K1188" t="s">
        <v>1799</v>
      </c>
      <c r="L1188" t="s">
        <v>1439</v>
      </c>
      <c r="M1188" t="s">
        <v>1799</v>
      </c>
      <c r="N1188" t="s">
        <v>1799</v>
      </c>
      <c r="O1188" s="184" t="str">
        <f>"["&amp;$C1188&amp;"]["&amp;$D1188&amp;"]["&amp;$F1188&amp;"]"</f>
        <v>[S06_AircraftOperatorsVerificationReportIssuesEmissions][1][TypeOfIssue]</v>
      </c>
    </row>
    <row r="1189" spans="1:15" x14ac:dyDescent="0.3">
      <c r="A1189" t="s">
        <v>1793</v>
      </c>
      <c r="B1189" t="s">
        <v>2144</v>
      </c>
      <c r="C1189" t="s">
        <v>2146</v>
      </c>
      <c r="D1189">
        <v>2</v>
      </c>
      <c r="E1189" t="s">
        <v>1447</v>
      </c>
      <c r="F1189" t="s">
        <v>2109</v>
      </c>
      <c r="G1189" t="s">
        <v>1737</v>
      </c>
      <c r="H1189" t="s">
        <v>1799</v>
      </c>
      <c r="I1189" t="s">
        <v>1799</v>
      </c>
      <c r="J1189" t="s">
        <v>1799</v>
      </c>
      <c r="K1189" t="s">
        <v>1799</v>
      </c>
      <c r="L1189" t="s">
        <v>1467</v>
      </c>
      <c r="M1189" t="s">
        <v>1799</v>
      </c>
      <c r="N1189" t="s">
        <v>1799</v>
      </c>
      <c r="O1189" s="184" t="str">
        <f>"["&amp;$C1189&amp;"]["&amp;$D1189&amp;"]["&amp;$F1189&amp;"]"</f>
        <v>[S06_AircraftOperatorsVerificationReportIssuesEmissions][2][TypeOfIssue]</v>
      </c>
    </row>
    <row r="1190" spans="1:15" x14ac:dyDescent="0.3">
      <c r="A1190" t="s">
        <v>1793</v>
      </c>
      <c r="B1190" t="s">
        <v>2144</v>
      </c>
      <c r="C1190" t="s">
        <v>2146</v>
      </c>
      <c r="D1190">
        <v>3</v>
      </c>
      <c r="E1190" t="s">
        <v>1447</v>
      </c>
      <c r="F1190" t="s">
        <v>2109</v>
      </c>
      <c r="G1190" t="s">
        <v>1737</v>
      </c>
      <c r="H1190" t="s">
        <v>1799</v>
      </c>
      <c r="I1190" t="s">
        <v>1799</v>
      </c>
      <c r="J1190" t="s">
        <v>1799</v>
      </c>
      <c r="K1190" t="s">
        <v>1799</v>
      </c>
      <c r="L1190" t="s">
        <v>1492</v>
      </c>
      <c r="M1190" t="s">
        <v>1799</v>
      </c>
      <c r="N1190" t="s">
        <v>1799</v>
      </c>
      <c r="O1190" s="184" t="str">
        <f>"["&amp;$C1190&amp;"]["&amp;$D1190&amp;"]["&amp;$F1190&amp;"]"</f>
        <v>[S06_AircraftOperatorsVerificationReportIssuesEmissions][3][TypeOfIssue]</v>
      </c>
    </row>
    <row r="1191" spans="1:15" x14ac:dyDescent="0.3">
      <c r="A1191" t="s">
        <v>1793</v>
      </c>
      <c r="B1191" t="s">
        <v>2144</v>
      </c>
      <c r="C1191" t="s">
        <v>2146</v>
      </c>
      <c r="D1191">
        <v>4</v>
      </c>
      <c r="E1191" t="s">
        <v>1447</v>
      </c>
      <c r="F1191" t="s">
        <v>2109</v>
      </c>
      <c r="G1191" t="s">
        <v>1737</v>
      </c>
      <c r="H1191" t="s">
        <v>1799</v>
      </c>
      <c r="I1191" t="s">
        <v>1799</v>
      </c>
      <c r="J1191" t="s">
        <v>1799</v>
      </c>
      <c r="K1191" t="s">
        <v>1799</v>
      </c>
      <c r="L1191" t="s">
        <v>1512</v>
      </c>
      <c r="M1191" t="s">
        <v>1799</v>
      </c>
      <c r="N1191" t="s">
        <v>1799</v>
      </c>
      <c r="O1191" s="184" t="str">
        <f>"["&amp;$C1191&amp;"]["&amp;$D1191&amp;"]["&amp;$F1191&amp;"]"</f>
        <v>[S06_AircraftOperatorsVerificationReportIssuesEmissions][4][TypeOfIssue]</v>
      </c>
    </row>
    <row r="1192" spans="1:15" x14ac:dyDescent="0.3">
      <c r="A1192" t="s">
        <v>1793</v>
      </c>
      <c r="B1192" t="s">
        <v>2144</v>
      </c>
      <c r="C1192" t="s">
        <v>2146</v>
      </c>
      <c r="D1192">
        <v>1</v>
      </c>
      <c r="E1192" t="s">
        <v>1447</v>
      </c>
      <c r="F1192" t="s">
        <v>2147</v>
      </c>
      <c r="G1192" t="s">
        <v>1811</v>
      </c>
      <c r="H1192" t="s">
        <v>1799</v>
      </c>
      <c r="I1192">
        <v>1</v>
      </c>
      <c r="J1192" t="s">
        <v>1799</v>
      </c>
      <c r="K1192" t="s">
        <v>1799</v>
      </c>
      <c r="L1192" t="s">
        <v>1799</v>
      </c>
      <c r="M1192" t="s">
        <v>1799</v>
      </c>
      <c r="N1192" t="s">
        <v>1799</v>
      </c>
      <c r="O1192" s="184" t="str">
        <f>"["&amp;$C1192&amp;"]["&amp;$D1192&amp;"]["&amp;$F1192&amp;"]"</f>
        <v>[S06_AircraftOperatorsVerificationReportIssuesEmissions][1][NumberOfAircraftOperators]</v>
      </c>
    </row>
    <row r="1193" spans="1:15" x14ac:dyDescent="0.3">
      <c r="A1193" t="s">
        <v>1793</v>
      </c>
      <c r="B1193" t="s">
        <v>2144</v>
      </c>
      <c r="C1193" t="s">
        <v>2146</v>
      </c>
      <c r="D1193">
        <v>2</v>
      </c>
      <c r="E1193" t="s">
        <v>1447</v>
      </c>
      <c r="F1193" t="s">
        <v>2147</v>
      </c>
      <c r="G1193" t="s">
        <v>1811</v>
      </c>
      <c r="H1193" t="s">
        <v>1799</v>
      </c>
      <c r="I1193">
        <v>2</v>
      </c>
      <c r="J1193" t="s">
        <v>1799</v>
      </c>
      <c r="K1193" t="s">
        <v>1799</v>
      </c>
      <c r="L1193" t="s">
        <v>1799</v>
      </c>
      <c r="M1193" t="s">
        <v>1799</v>
      </c>
      <c r="N1193" t="s">
        <v>1799</v>
      </c>
      <c r="O1193" s="184" t="str">
        <f>"["&amp;$C1193&amp;"]["&amp;$D1193&amp;"]["&amp;$F1193&amp;"]"</f>
        <v>[S06_AircraftOperatorsVerificationReportIssuesEmissions][2][NumberOfAircraftOperators]</v>
      </c>
    </row>
    <row r="1194" spans="1:15" x14ac:dyDescent="0.3">
      <c r="A1194" t="s">
        <v>1793</v>
      </c>
      <c r="B1194" t="s">
        <v>2144</v>
      </c>
      <c r="C1194" t="s">
        <v>2146</v>
      </c>
      <c r="D1194">
        <v>4</v>
      </c>
      <c r="E1194" t="s">
        <v>1447</v>
      </c>
      <c r="F1194" t="s">
        <v>2147</v>
      </c>
      <c r="G1194" t="s">
        <v>1811</v>
      </c>
      <c r="H1194" t="s">
        <v>1799</v>
      </c>
      <c r="I1194">
        <v>4</v>
      </c>
      <c r="J1194" t="s">
        <v>1799</v>
      </c>
      <c r="K1194" t="s">
        <v>1799</v>
      </c>
      <c r="L1194" t="s">
        <v>1799</v>
      </c>
      <c r="M1194" t="s">
        <v>1799</v>
      </c>
      <c r="N1194" t="s">
        <v>1799</v>
      </c>
      <c r="O1194" s="184" t="str">
        <f>"["&amp;$C1194&amp;"]["&amp;$D1194&amp;"]["&amp;$F1194&amp;"]"</f>
        <v>[S06_AircraftOperatorsVerificationReportIssuesEmissions][4][NumberOfAircraftOperators]</v>
      </c>
    </row>
    <row r="1195" spans="1:15" x14ac:dyDescent="0.3">
      <c r="A1195" t="s">
        <v>1793</v>
      </c>
      <c r="B1195" t="s">
        <v>2144</v>
      </c>
      <c r="C1195" t="s">
        <v>2146</v>
      </c>
      <c r="D1195">
        <v>1</v>
      </c>
      <c r="E1195" t="s">
        <v>1447</v>
      </c>
      <c r="F1195" t="s">
        <v>2093</v>
      </c>
      <c r="G1195" t="s">
        <v>1811</v>
      </c>
      <c r="H1195" t="s">
        <v>1799</v>
      </c>
      <c r="I1195">
        <v>1</v>
      </c>
      <c r="J1195" t="s">
        <v>1799</v>
      </c>
      <c r="K1195" t="s">
        <v>1799</v>
      </c>
      <c r="L1195" t="s">
        <v>1799</v>
      </c>
      <c r="M1195" t="s">
        <v>1799</v>
      </c>
      <c r="N1195" t="s">
        <v>1799</v>
      </c>
      <c r="O1195" s="184" t="str">
        <f>"["&amp;$C1195&amp;"]["&amp;$D1195&amp;"]["&amp;$F1195&amp;"]"</f>
        <v>[S06_AircraftOperatorsVerificationReportIssuesEmissions][1][NumberOfIssues]</v>
      </c>
    </row>
    <row r="1196" spans="1:15" x14ac:dyDescent="0.3">
      <c r="A1196" t="s">
        <v>1793</v>
      </c>
      <c r="B1196" t="s">
        <v>2144</v>
      </c>
      <c r="C1196" t="s">
        <v>2146</v>
      </c>
      <c r="D1196">
        <v>2</v>
      </c>
      <c r="E1196" t="s">
        <v>1447</v>
      </c>
      <c r="F1196" t="s">
        <v>2093</v>
      </c>
      <c r="G1196" t="s">
        <v>1811</v>
      </c>
      <c r="H1196" t="s">
        <v>1799</v>
      </c>
      <c r="I1196">
        <v>3</v>
      </c>
      <c r="J1196" t="s">
        <v>1799</v>
      </c>
      <c r="K1196" t="s">
        <v>1799</v>
      </c>
      <c r="L1196" t="s">
        <v>1799</v>
      </c>
      <c r="M1196" t="s">
        <v>1799</v>
      </c>
      <c r="N1196" t="s">
        <v>1799</v>
      </c>
      <c r="O1196" s="184" t="str">
        <f>"["&amp;$C1196&amp;"]["&amp;$D1196&amp;"]["&amp;$F1196&amp;"]"</f>
        <v>[S06_AircraftOperatorsVerificationReportIssuesEmissions][2][NumberOfIssues]</v>
      </c>
    </row>
    <row r="1197" spans="1:15" x14ac:dyDescent="0.3">
      <c r="A1197" t="s">
        <v>1793</v>
      </c>
      <c r="B1197" t="s">
        <v>2144</v>
      </c>
      <c r="C1197" t="s">
        <v>2146</v>
      </c>
      <c r="D1197">
        <v>4</v>
      </c>
      <c r="E1197" t="s">
        <v>1447</v>
      </c>
      <c r="F1197" t="s">
        <v>2093</v>
      </c>
      <c r="G1197" t="s">
        <v>1811</v>
      </c>
      <c r="H1197" t="s">
        <v>1799</v>
      </c>
      <c r="I1197">
        <v>7</v>
      </c>
      <c r="J1197" t="s">
        <v>1799</v>
      </c>
      <c r="K1197" t="s">
        <v>1799</v>
      </c>
      <c r="L1197" t="s">
        <v>1799</v>
      </c>
      <c r="M1197" t="s">
        <v>1799</v>
      </c>
      <c r="N1197" t="s">
        <v>1799</v>
      </c>
      <c r="O1197" s="184" t="str">
        <f>"["&amp;$C1197&amp;"]["&amp;$D1197&amp;"]["&amp;$F1197&amp;"]"</f>
        <v>[S06_AircraftOperatorsVerificationReportIssuesEmissions][4][NumberOfIssues]</v>
      </c>
    </row>
    <row r="1198" spans="1:15" x14ac:dyDescent="0.3">
      <c r="A1198" t="s">
        <v>1793</v>
      </c>
      <c r="B1198" t="s">
        <v>2144</v>
      </c>
      <c r="C1198" t="s">
        <v>2146</v>
      </c>
      <c r="D1198">
        <v>1</v>
      </c>
      <c r="E1198" t="s">
        <v>1447</v>
      </c>
      <c r="F1198" t="s">
        <v>2113</v>
      </c>
      <c r="G1198" t="s">
        <v>1922</v>
      </c>
      <c r="H1198" t="s">
        <v>1799</v>
      </c>
      <c r="I1198" t="s">
        <v>1799</v>
      </c>
      <c r="J1198">
        <v>0</v>
      </c>
      <c r="K1198" t="s">
        <v>1799</v>
      </c>
      <c r="L1198" t="s">
        <v>1799</v>
      </c>
      <c r="M1198" t="s">
        <v>1799</v>
      </c>
      <c r="N1198" t="s">
        <v>1799</v>
      </c>
      <c r="O1198" s="184" t="str">
        <f>"["&amp;$C1198&amp;"]["&amp;$D1198&amp;"]["&amp;$F1198&amp;"]"</f>
        <v>[S06_AircraftOperatorsVerificationReportIssuesEmissions][1][ShareOfReportsConservativeEstimate]</v>
      </c>
    </row>
    <row r="1199" spans="1:15" x14ac:dyDescent="0.3">
      <c r="A1199" t="s">
        <v>1793</v>
      </c>
      <c r="B1199" t="s">
        <v>2144</v>
      </c>
      <c r="C1199" t="s">
        <v>2146</v>
      </c>
      <c r="D1199">
        <v>2</v>
      </c>
      <c r="E1199" t="s">
        <v>1447</v>
      </c>
      <c r="F1199" t="s">
        <v>2113</v>
      </c>
      <c r="G1199" t="s">
        <v>1922</v>
      </c>
      <c r="H1199" t="s">
        <v>1799</v>
      </c>
      <c r="I1199" t="s">
        <v>1799</v>
      </c>
      <c r="J1199">
        <v>0</v>
      </c>
      <c r="K1199" t="s">
        <v>1799</v>
      </c>
      <c r="L1199" t="s">
        <v>1799</v>
      </c>
      <c r="M1199" t="s">
        <v>1799</v>
      </c>
      <c r="N1199" t="s">
        <v>1799</v>
      </c>
      <c r="O1199" s="184" t="str">
        <f>"["&amp;$C1199&amp;"]["&amp;$D1199&amp;"]["&amp;$F1199&amp;"]"</f>
        <v>[S06_AircraftOperatorsVerificationReportIssuesEmissions][2][ShareOfReportsConservativeEstimate]</v>
      </c>
    </row>
    <row r="1200" spans="1:15" x14ac:dyDescent="0.3">
      <c r="A1200" t="s">
        <v>1793</v>
      </c>
      <c r="B1200" t="s">
        <v>2144</v>
      </c>
      <c r="C1200" t="s">
        <v>2146</v>
      </c>
      <c r="D1200">
        <v>4</v>
      </c>
      <c r="E1200" t="s">
        <v>1447</v>
      </c>
      <c r="F1200" t="s">
        <v>2113</v>
      </c>
      <c r="G1200" t="s">
        <v>1922</v>
      </c>
      <c r="H1200" t="s">
        <v>1799</v>
      </c>
      <c r="I1200" t="s">
        <v>1799</v>
      </c>
      <c r="J1200">
        <v>0</v>
      </c>
      <c r="K1200" t="s">
        <v>1799</v>
      </c>
      <c r="L1200" t="s">
        <v>1799</v>
      </c>
      <c r="M1200" t="s">
        <v>1799</v>
      </c>
      <c r="N1200" t="s">
        <v>1799</v>
      </c>
      <c r="O1200" s="184" t="str">
        <f>"["&amp;$C1200&amp;"]["&amp;$D1200&amp;"]["&amp;$F1200&amp;"]"</f>
        <v>[S06_AircraftOperatorsVerificationReportIssuesEmissions][4][ShareOfReportsConservativeEstimate]</v>
      </c>
    </row>
    <row r="1201" spans="1:15" x14ac:dyDescent="0.3">
      <c r="A1201" t="s">
        <v>1793</v>
      </c>
      <c r="B1201" t="s">
        <v>2148</v>
      </c>
      <c r="C1201" t="s">
        <v>2149</v>
      </c>
      <c r="D1201">
        <v>0</v>
      </c>
      <c r="E1201" t="s">
        <v>1447</v>
      </c>
      <c r="F1201" t="s">
        <v>2149</v>
      </c>
      <c r="G1201" t="s">
        <v>1833</v>
      </c>
      <c r="H1201" t="s">
        <v>1799</v>
      </c>
      <c r="I1201" t="s">
        <v>1799</v>
      </c>
      <c r="J1201" t="s">
        <v>1799</v>
      </c>
      <c r="K1201" t="s">
        <v>1799</v>
      </c>
      <c r="L1201" t="s">
        <v>1419</v>
      </c>
      <c r="M1201" t="s">
        <v>1799</v>
      </c>
      <c r="N1201" t="s">
        <v>1799</v>
      </c>
      <c r="O1201" s="184" t="str">
        <f>"["&amp;$C1201&amp;"]["&amp;$D1201&amp;"]["&amp;$F1201&amp;"]"</f>
        <v>[AircraftOperatorsVerificationReportChecks][0][AircraftOperatorsVerificationReportChecks]</v>
      </c>
    </row>
    <row r="1202" spans="1:15" x14ac:dyDescent="0.3">
      <c r="A1202" t="s">
        <v>1793</v>
      </c>
      <c r="B1202" t="s">
        <v>2148</v>
      </c>
      <c r="C1202" t="s">
        <v>2150</v>
      </c>
      <c r="D1202">
        <v>1</v>
      </c>
      <c r="E1202" t="s">
        <v>1447</v>
      </c>
      <c r="F1202" t="s">
        <v>2117</v>
      </c>
      <c r="G1202" t="s">
        <v>1922</v>
      </c>
      <c r="H1202" t="s">
        <v>1799</v>
      </c>
      <c r="I1202" t="s">
        <v>1799</v>
      </c>
      <c r="J1202">
        <v>1</v>
      </c>
      <c r="K1202" t="s">
        <v>1799</v>
      </c>
      <c r="L1202" t="s">
        <v>1799</v>
      </c>
      <c r="M1202" t="s">
        <v>1799</v>
      </c>
      <c r="N1202" t="s">
        <v>1799</v>
      </c>
      <c r="O1202" s="184" t="str">
        <f>"["&amp;$C1202&amp;"]["&amp;$D1202&amp;"]["&amp;$F1202&amp;"]"</f>
        <v>[S06_AircraftOperatorsVerificationEmissionReportChecks1][1][PercentageShare]</v>
      </c>
    </row>
    <row r="1203" spans="1:15" x14ac:dyDescent="0.3">
      <c r="A1203" t="s">
        <v>1793</v>
      </c>
      <c r="B1203" t="s">
        <v>2148</v>
      </c>
      <c r="C1203" t="s">
        <v>2150</v>
      </c>
      <c r="D1203">
        <v>2</v>
      </c>
      <c r="E1203" t="s">
        <v>1447</v>
      </c>
      <c r="F1203" t="s">
        <v>2117</v>
      </c>
      <c r="G1203" t="s">
        <v>1922</v>
      </c>
      <c r="H1203" t="s">
        <v>1799</v>
      </c>
      <c r="I1203" t="s">
        <v>1799</v>
      </c>
      <c r="J1203">
        <v>1</v>
      </c>
      <c r="K1203" t="s">
        <v>1799</v>
      </c>
      <c r="L1203" t="s">
        <v>1799</v>
      </c>
      <c r="M1203" t="s">
        <v>1799</v>
      </c>
      <c r="N1203" t="s">
        <v>1799</v>
      </c>
      <c r="O1203" s="184" t="str">
        <f>"["&amp;$C1203&amp;"]["&amp;$D1203&amp;"]["&amp;$F1203&amp;"]"</f>
        <v>[S06_AircraftOperatorsVerificationEmissionReportChecks1][2][PercentageShare]</v>
      </c>
    </row>
    <row r="1204" spans="1:15" x14ac:dyDescent="0.3">
      <c r="A1204" t="s">
        <v>1793</v>
      </c>
      <c r="B1204" t="s">
        <v>2148</v>
      </c>
      <c r="C1204" t="s">
        <v>2150</v>
      </c>
      <c r="D1204">
        <v>3</v>
      </c>
      <c r="E1204" t="s">
        <v>1447</v>
      </c>
      <c r="F1204" t="s">
        <v>2117</v>
      </c>
      <c r="G1204" t="s">
        <v>1922</v>
      </c>
      <c r="H1204" t="s">
        <v>1799</v>
      </c>
      <c r="I1204" t="s">
        <v>1799</v>
      </c>
      <c r="J1204">
        <v>1</v>
      </c>
      <c r="K1204" t="s">
        <v>1799</v>
      </c>
      <c r="L1204" t="s">
        <v>1799</v>
      </c>
      <c r="M1204" t="s">
        <v>1799</v>
      </c>
      <c r="N1204" t="s">
        <v>1799</v>
      </c>
      <c r="O1204" s="184" t="str">
        <f>"["&amp;$C1204&amp;"]["&amp;$D1204&amp;"]["&amp;$F1204&amp;"]"</f>
        <v>[S06_AircraftOperatorsVerificationEmissionReportChecks1][3][PercentageShare]</v>
      </c>
    </row>
    <row r="1205" spans="1:15" x14ac:dyDescent="0.3">
      <c r="A1205" t="s">
        <v>1793</v>
      </c>
      <c r="B1205" t="s">
        <v>2148</v>
      </c>
      <c r="C1205" t="s">
        <v>2150</v>
      </c>
      <c r="D1205">
        <v>4</v>
      </c>
      <c r="E1205" t="s">
        <v>1447</v>
      </c>
      <c r="F1205" t="s">
        <v>2117</v>
      </c>
      <c r="G1205" t="s">
        <v>1922</v>
      </c>
      <c r="H1205" t="s">
        <v>1799</v>
      </c>
      <c r="I1205" t="s">
        <v>1799</v>
      </c>
      <c r="J1205">
        <v>0.5</v>
      </c>
      <c r="K1205" t="s">
        <v>1799</v>
      </c>
      <c r="L1205" t="s">
        <v>1799</v>
      </c>
      <c r="M1205" t="s">
        <v>1799</v>
      </c>
      <c r="N1205" t="s">
        <v>1799</v>
      </c>
      <c r="O1205" s="184" t="str">
        <f>"["&amp;$C1205&amp;"]["&amp;$D1205&amp;"]["&amp;$F1205&amp;"]"</f>
        <v>[S06_AircraftOperatorsVerificationEmissionReportChecks1][4][PercentageShare]</v>
      </c>
    </row>
    <row r="1206" spans="1:15" x14ac:dyDescent="0.3">
      <c r="A1206" t="s">
        <v>1793</v>
      </c>
      <c r="B1206" t="s">
        <v>2148</v>
      </c>
      <c r="C1206" t="s">
        <v>2150</v>
      </c>
      <c r="D1206">
        <v>3</v>
      </c>
      <c r="E1206" t="s">
        <v>1447</v>
      </c>
      <c r="F1206" t="s">
        <v>2118</v>
      </c>
      <c r="G1206" t="s">
        <v>1861</v>
      </c>
      <c r="H1206" t="s">
        <v>1799</v>
      </c>
      <c r="I1206" t="s">
        <v>1799</v>
      </c>
      <c r="J1206" t="s">
        <v>1799</v>
      </c>
      <c r="K1206" t="s">
        <v>2151</v>
      </c>
      <c r="L1206" t="s">
        <v>1799</v>
      </c>
      <c r="M1206" t="s">
        <v>1799</v>
      </c>
      <c r="N1206" t="s">
        <v>1799</v>
      </c>
      <c r="O1206" s="184" t="str">
        <f>"["&amp;$C1206&amp;"]["&amp;$D1206&amp;"]["&amp;$F1206&amp;"]"</f>
        <v>[S06_AircraftOperatorsVerificationEmissionReportChecks1][3][FurtherInformation]</v>
      </c>
    </row>
    <row r="1207" spans="1:15" x14ac:dyDescent="0.3">
      <c r="A1207" t="s">
        <v>1793</v>
      </c>
      <c r="B1207" t="s">
        <v>2148</v>
      </c>
      <c r="C1207" t="s">
        <v>2150</v>
      </c>
      <c r="D1207">
        <v>4</v>
      </c>
      <c r="E1207" t="s">
        <v>1447</v>
      </c>
      <c r="F1207" t="s">
        <v>2121</v>
      </c>
      <c r="G1207" t="s">
        <v>1737</v>
      </c>
      <c r="H1207" t="s">
        <v>1799</v>
      </c>
      <c r="I1207" t="s">
        <v>1799</v>
      </c>
      <c r="J1207" t="s">
        <v>1799</v>
      </c>
      <c r="K1207" t="s">
        <v>1799</v>
      </c>
      <c r="L1207" t="s">
        <v>1440</v>
      </c>
      <c r="M1207" t="s">
        <v>1799</v>
      </c>
      <c r="N1207" t="s">
        <v>1799</v>
      </c>
      <c r="O1207" s="184" t="str">
        <f>"["&amp;$C1207&amp;"]["&amp;$D1207&amp;"]["&amp;$F1207&amp;"]"</f>
        <v>[S06_AircraftOperatorsVerificationEmissionReportChecks1][4][SelectingCriteria]</v>
      </c>
    </row>
    <row r="1208" spans="1:15" x14ac:dyDescent="0.3">
      <c r="A1208" t="s">
        <v>1793</v>
      </c>
      <c r="B1208" t="s">
        <v>2148</v>
      </c>
      <c r="C1208" t="s">
        <v>2152</v>
      </c>
      <c r="D1208">
        <v>1</v>
      </c>
      <c r="E1208" t="s">
        <v>1447</v>
      </c>
      <c r="F1208" t="s">
        <v>2123</v>
      </c>
      <c r="G1208" t="s">
        <v>1811</v>
      </c>
      <c r="H1208" t="s">
        <v>1799</v>
      </c>
      <c r="I1208">
        <v>0</v>
      </c>
      <c r="J1208" t="s">
        <v>1799</v>
      </c>
      <c r="K1208" t="s">
        <v>1799</v>
      </c>
      <c r="L1208" t="s">
        <v>1799</v>
      </c>
      <c r="M1208" t="s">
        <v>1799</v>
      </c>
      <c r="N1208" t="s">
        <v>1799</v>
      </c>
      <c r="O1208" s="184" t="str">
        <f>"["&amp;$C1208&amp;"]["&amp;$D1208&amp;"]["&amp;$F1208&amp;"]"</f>
        <v>[S06_AircraftOperatorsVerificationEmissionReportChecks2][1][NumberOfReports]</v>
      </c>
    </row>
    <row r="1209" spans="1:15" x14ac:dyDescent="0.3">
      <c r="A1209" t="s">
        <v>1793</v>
      </c>
      <c r="B1209" t="s">
        <v>2148</v>
      </c>
      <c r="C1209" t="s">
        <v>2152</v>
      </c>
      <c r="D1209">
        <v>2</v>
      </c>
      <c r="E1209" t="s">
        <v>1447</v>
      </c>
      <c r="F1209" t="s">
        <v>2123</v>
      </c>
      <c r="G1209" t="s">
        <v>1811</v>
      </c>
      <c r="H1209" t="s">
        <v>1799</v>
      </c>
      <c r="I1209">
        <v>0</v>
      </c>
      <c r="J1209" t="s">
        <v>1799</v>
      </c>
      <c r="K1209" t="s">
        <v>1799</v>
      </c>
      <c r="L1209" t="s">
        <v>1799</v>
      </c>
      <c r="M1209" t="s">
        <v>1799</v>
      </c>
      <c r="N1209" t="s">
        <v>1799</v>
      </c>
      <c r="O1209" s="184" t="str">
        <f>"["&amp;$C1209&amp;"]["&amp;$D1209&amp;"]["&amp;$F1209&amp;"]"</f>
        <v>[S06_AircraftOperatorsVerificationEmissionReportChecks2][2][NumberOfReports]</v>
      </c>
    </row>
    <row r="1210" spans="1:15" x14ac:dyDescent="0.3">
      <c r="A1210" t="s">
        <v>1793</v>
      </c>
      <c r="B1210" t="s">
        <v>2153</v>
      </c>
      <c r="C1210" t="s">
        <v>2154</v>
      </c>
      <c r="D1210">
        <v>0</v>
      </c>
      <c r="E1210" t="s">
        <v>1447</v>
      </c>
      <c r="F1210" t="s">
        <v>2154</v>
      </c>
      <c r="G1210" t="s">
        <v>1833</v>
      </c>
      <c r="H1210" t="s">
        <v>1799</v>
      </c>
      <c r="I1210" t="s">
        <v>1799</v>
      </c>
      <c r="J1210" t="s">
        <v>1799</v>
      </c>
      <c r="K1210" t="s">
        <v>1799</v>
      </c>
      <c r="L1210" t="s">
        <v>1447</v>
      </c>
      <c r="M1210" t="s">
        <v>1799</v>
      </c>
      <c r="N1210" t="s">
        <v>1799</v>
      </c>
      <c r="O1210" s="184" t="str">
        <f>"["&amp;$C1210&amp;"]["&amp;$D1210&amp;"]["&amp;$F1210&amp;"]"</f>
        <v>[AircraftOperatorsVisitsWaivedLowEmitters][0][AircraftOperatorsVisitsWaivedLowEmitters]</v>
      </c>
    </row>
    <row r="1211" spans="1:15" x14ac:dyDescent="0.3">
      <c r="A1211" t="s">
        <v>1793</v>
      </c>
      <c r="B1211" t="s">
        <v>2155</v>
      </c>
      <c r="C1211" t="s">
        <v>2156</v>
      </c>
      <c r="D1211">
        <v>0</v>
      </c>
      <c r="E1211" t="s">
        <v>1447</v>
      </c>
      <c r="F1211" t="s">
        <v>2156</v>
      </c>
      <c r="G1211" t="s">
        <v>1833</v>
      </c>
      <c r="H1211" t="s">
        <v>1799</v>
      </c>
      <c r="I1211" t="s">
        <v>1799</v>
      </c>
      <c r="J1211" t="s">
        <v>1799</v>
      </c>
      <c r="K1211" t="s">
        <v>1799</v>
      </c>
      <c r="L1211" t="s">
        <v>1419</v>
      </c>
      <c r="M1211" t="s">
        <v>1799</v>
      </c>
      <c r="N1211" t="s">
        <v>1799</v>
      </c>
      <c r="O1211" s="184" t="str">
        <f>"["&amp;$C1211&amp;"]["&amp;$D1211&amp;"]["&amp;$F1211&amp;"]"</f>
        <v>[VirtualVisitsAircraft][0][VirtualVisitsAircraft]</v>
      </c>
    </row>
    <row r="1212" spans="1:15" x14ac:dyDescent="0.3">
      <c r="A1212" t="s">
        <v>1793</v>
      </c>
      <c r="B1212" t="s">
        <v>2155</v>
      </c>
      <c r="C1212" t="s">
        <v>2157</v>
      </c>
      <c r="D1212">
        <v>1</v>
      </c>
      <c r="E1212" t="s">
        <v>1447</v>
      </c>
      <c r="F1212" t="s">
        <v>2137</v>
      </c>
      <c r="G1212" t="s">
        <v>1797</v>
      </c>
      <c r="H1212" t="s">
        <v>2138</v>
      </c>
      <c r="I1212" t="s">
        <v>1799</v>
      </c>
      <c r="J1212" t="s">
        <v>1799</v>
      </c>
      <c r="K1212" t="s">
        <v>1799</v>
      </c>
      <c r="L1212" t="s">
        <v>1799</v>
      </c>
      <c r="M1212" t="s">
        <v>1799</v>
      </c>
      <c r="N1212" t="s">
        <v>1799</v>
      </c>
      <c r="O1212" s="184" t="str">
        <f>"["&amp;$C1212&amp;"]["&amp;$D1212&amp;"]["&amp;$F1212&amp;"]"</f>
        <v>[S06_VirtualVisitsAircraftDetails][1][TypeForceMajeur]</v>
      </c>
    </row>
    <row r="1213" spans="1:15" x14ac:dyDescent="0.3">
      <c r="A1213" t="s">
        <v>1793</v>
      </c>
      <c r="B1213" t="s">
        <v>2155</v>
      </c>
      <c r="C1213" t="s">
        <v>2157</v>
      </c>
      <c r="D1213">
        <v>1</v>
      </c>
      <c r="E1213" t="s">
        <v>1447</v>
      </c>
      <c r="F1213" t="s">
        <v>2158</v>
      </c>
      <c r="G1213" t="s">
        <v>1811</v>
      </c>
      <c r="H1213" t="s">
        <v>1799</v>
      </c>
      <c r="I1213">
        <v>1</v>
      </c>
      <c r="J1213" t="s">
        <v>1799</v>
      </c>
      <c r="K1213" t="s">
        <v>1799</v>
      </c>
      <c r="L1213" t="s">
        <v>1799</v>
      </c>
      <c r="M1213" t="s">
        <v>1799</v>
      </c>
      <c r="N1213" t="s">
        <v>1799</v>
      </c>
      <c r="O1213" s="184" t="str">
        <f>"["&amp;$C1213&amp;"]["&amp;$D1213&amp;"]["&amp;$F1213&amp;"]"</f>
        <v>[S06_VirtualVisitsAircraftDetails][1][NumberOfAirOperatorsVV]</v>
      </c>
    </row>
    <row r="1214" spans="1:15" x14ac:dyDescent="0.3">
      <c r="A1214" t="s">
        <v>1793</v>
      </c>
      <c r="B1214" t="s">
        <v>2155</v>
      </c>
      <c r="C1214" t="s">
        <v>2157</v>
      </c>
      <c r="D1214">
        <v>1</v>
      </c>
      <c r="E1214" t="s">
        <v>1447</v>
      </c>
      <c r="F1214" t="s">
        <v>2140</v>
      </c>
      <c r="G1214" t="s">
        <v>1737</v>
      </c>
      <c r="H1214" t="s">
        <v>1799</v>
      </c>
      <c r="I1214" t="s">
        <v>1799</v>
      </c>
      <c r="J1214" t="s">
        <v>1799</v>
      </c>
      <c r="K1214" t="s">
        <v>1799</v>
      </c>
      <c r="L1214" t="s">
        <v>1470</v>
      </c>
      <c r="M1214" t="s">
        <v>1799</v>
      </c>
      <c r="N1214" t="s">
        <v>1799</v>
      </c>
      <c r="O1214" s="184" t="str">
        <f>"["&amp;$C1214&amp;"]["&amp;$D1214&amp;"]["&amp;$F1214&amp;"]"</f>
        <v>[S06_VirtualVisitsAircraftDetails][1][AuthorityApproval]</v>
      </c>
    </row>
    <row r="1215" spans="1:15" x14ac:dyDescent="0.3">
      <c r="A1215" t="s">
        <v>1793</v>
      </c>
      <c r="B1215" t="s">
        <v>2155</v>
      </c>
      <c r="C1215" t="s">
        <v>2157</v>
      </c>
      <c r="D1215">
        <v>1</v>
      </c>
      <c r="E1215" t="s">
        <v>1447</v>
      </c>
      <c r="F1215" t="s">
        <v>2141</v>
      </c>
      <c r="G1215" t="s">
        <v>1797</v>
      </c>
      <c r="H1215" t="s">
        <v>1419</v>
      </c>
      <c r="I1215" t="s">
        <v>1799</v>
      </c>
      <c r="J1215" t="s">
        <v>1799</v>
      </c>
      <c r="K1215" t="s">
        <v>1799</v>
      </c>
      <c r="L1215" t="s">
        <v>1799</v>
      </c>
      <c r="M1215" t="s">
        <v>1799</v>
      </c>
      <c r="N1215" t="s">
        <v>1799</v>
      </c>
      <c r="O1215" s="184" t="str">
        <f>"["&amp;$C1215&amp;"]["&amp;$D1215&amp;"]["&amp;$F1215&amp;"]"</f>
        <v>[S06_VirtualVisitsAircraftDetails][1][ConfirmationConditionsMet]</v>
      </c>
    </row>
    <row r="1216" spans="1:15" x14ac:dyDescent="0.3">
      <c r="A1216" t="s">
        <v>1793</v>
      </c>
      <c r="B1216" t="s">
        <v>2159</v>
      </c>
      <c r="C1216" t="s">
        <v>2160</v>
      </c>
      <c r="D1216">
        <v>1</v>
      </c>
      <c r="E1216" t="s">
        <v>1447</v>
      </c>
      <c r="F1216" t="s">
        <v>2161</v>
      </c>
      <c r="G1216" t="s">
        <v>1797</v>
      </c>
      <c r="H1216" t="s">
        <v>2162</v>
      </c>
      <c r="I1216" t="s">
        <v>1799</v>
      </c>
      <c r="J1216" t="s">
        <v>1799</v>
      </c>
      <c r="K1216" t="s">
        <v>1799</v>
      </c>
      <c r="L1216" t="s">
        <v>1799</v>
      </c>
      <c r="M1216" t="s">
        <v>1799</v>
      </c>
      <c r="N1216" t="s">
        <v>1799</v>
      </c>
      <c r="O1216" s="184" t="str">
        <f>"["&amp;$C1216&amp;"]["&amp;$D1216&amp;"]["&amp;$F1216&amp;"]"</f>
        <v>[S07_NoFurtherAllowancesSurrendered][1][InstallationIDCode]</v>
      </c>
    </row>
    <row r="1217" spans="1:15" x14ac:dyDescent="0.3">
      <c r="A1217" t="s">
        <v>1793</v>
      </c>
      <c r="B1217" t="s">
        <v>2159</v>
      </c>
      <c r="C1217" t="s">
        <v>2160</v>
      </c>
      <c r="D1217">
        <v>2</v>
      </c>
      <c r="E1217" t="s">
        <v>1447</v>
      </c>
      <c r="F1217" t="s">
        <v>2161</v>
      </c>
      <c r="G1217" t="s">
        <v>1797</v>
      </c>
      <c r="H1217" t="s">
        <v>2163</v>
      </c>
      <c r="I1217" t="s">
        <v>1799</v>
      </c>
      <c r="J1217" t="s">
        <v>1799</v>
      </c>
      <c r="K1217" t="s">
        <v>1799</v>
      </c>
      <c r="L1217" t="s">
        <v>1799</v>
      </c>
      <c r="M1217" t="s">
        <v>1799</v>
      </c>
      <c r="N1217" t="s">
        <v>1799</v>
      </c>
      <c r="O1217" s="184" t="str">
        <f>"["&amp;$C1217&amp;"]["&amp;$D1217&amp;"]["&amp;$F1217&amp;"]"</f>
        <v>[S07_NoFurtherAllowancesSurrendered][2][InstallationIDCode]</v>
      </c>
    </row>
    <row r="1218" spans="1:15" x14ac:dyDescent="0.3">
      <c r="A1218" t="s">
        <v>1793</v>
      </c>
      <c r="B1218" t="s">
        <v>2159</v>
      </c>
      <c r="C1218" t="s">
        <v>2160</v>
      </c>
      <c r="D1218">
        <v>3</v>
      </c>
      <c r="E1218" t="s">
        <v>1447</v>
      </c>
      <c r="F1218" t="s">
        <v>2161</v>
      </c>
      <c r="G1218" t="s">
        <v>1797</v>
      </c>
      <c r="H1218" t="s">
        <v>2164</v>
      </c>
      <c r="I1218" t="s">
        <v>1799</v>
      </c>
      <c r="J1218" t="s">
        <v>1799</v>
      </c>
      <c r="K1218" t="s">
        <v>1799</v>
      </c>
      <c r="L1218" t="s">
        <v>1799</v>
      </c>
      <c r="M1218" t="s">
        <v>1799</v>
      </c>
      <c r="N1218" t="s">
        <v>1799</v>
      </c>
      <c r="O1218" s="184" t="str">
        <f>"["&amp;$C1218&amp;"]["&amp;$D1218&amp;"]["&amp;$F1218&amp;"]"</f>
        <v>[S07_NoFurtherAllowancesSurrendered][3][InstallationIDCode]</v>
      </c>
    </row>
    <row r="1219" spans="1:15" x14ac:dyDescent="0.3">
      <c r="A1219" t="s">
        <v>1793</v>
      </c>
      <c r="B1219" t="s">
        <v>2159</v>
      </c>
      <c r="C1219" t="s">
        <v>2160</v>
      </c>
      <c r="D1219">
        <v>4</v>
      </c>
      <c r="E1219" t="s">
        <v>1447</v>
      </c>
      <c r="F1219" t="s">
        <v>2161</v>
      </c>
      <c r="G1219" t="s">
        <v>1797</v>
      </c>
      <c r="H1219" t="s">
        <v>2165</v>
      </c>
      <c r="I1219" t="s">
        <v>1799</v>
      </c>
      <c r="J1219" t="s">
        <v>1799</v>
      </c>
      <c r="K1219" t="s">
        <v>1799</v>
      </c>
      <c r="L1219" t="s">
        <v>1799</v>
      </c>
      <c r="M1219" t="s">
        <v>1799</v>
      </c>
      <c r="N1219" t="s">
        <v>1799</v>
      </c>
      <c r="O1219" s="184" t="str">
        <f>"["&amp;$C1219&amp;"]["&amp;$D1219&amp;"]["&amp;$F1219&amp;"]"</f>
        <v>[S07_NoFurtherAllowancesSurrendered][4][InstallationIDCode]</v>
      </c>
    </row>
    <row r="1220" spans="1:15" x14ac:dyDescent="0.3">
      <c r="A1220" t="s">
        <v>1793</v>
      </c>
      <c r="B1220" t="s">
        <v>2159</v>
      </c>
      <c r="C1220" t="s">
        <v>2160</v>
      </c>
      <c r="D1220">
        <v>5</v>
      </c>
      <c r="E1220" t="s">
        <v>1447</v>
      </c>
      <c r="F1220" t="s">
        <v>2161</v>
      </c>
      <c r="G1220" t="s">
        <v>1797</v>
      </c>
      <c r="H1220" t="s">
        <v>2166</v>
      </c>
      <c r="I1220" t="s">
        <v>1799</v>
      </c>
      <c r="J1220" t="s">
        <v>1799</v>
      </c>
      <c r="K1220" t="s">
        <v>1799</v>
      </c>
      <c r="L1220" t="s">
        <v>1799</v>
      </c>
      <c r="M1220" t="s">
        <v>1799</v>
      </c>
      <c r="N1220" t="s">
        <v>1799</v>
      </c>
      <c r="O1220" s="184" t="str">
        <f>"["&amp;$C1220&amp;"]["&amp;$D1220&amp;"]["&amp;$F1220&amp;"]"</f>
        <v>[S07_NoFurtherAllowancesSurrendered][5][InstallationIDCode]</v>
      </c>
    </row>
    <row r="1221" spans="1:15" x14ac:dyDescent="0.3">
      <c r="A1221" t="s">
        <v>1793</v>
      </c>
      <c r="B1221" t="s">
        <v>2159</v>
      </c>
      <c r="C1221" t="s">
        <v>2160</v>
      </c>
      <c r="D1221">
        <v>6</v>
      </c>
      <c r="E1221" t="s">
        <v>1447</v>
      </c>
      <c r="F1221" t="s">
        <v>2161</v>
      </c>
      <c r="G1221" t="s">
        <v>1797</v>
      </c>
      <c r="H1221" t="s">
        <v>2167</v>
      </c>
      <c r="I1221" t="s">
        <v>1799</v>
      </c>
      <c r="J1221" t="s">
        <v>1799</v>
      </c>
      <c r="K1221" t="s">
        <v>1799</v>
      </c>
      <c r="L1221" t="s">
        <v>1799</v>
      </c>
      <c r="M1221" t="s">
        <v>1799</v>
      </c>
      <c r="N1221" t="s">
        <v>1799</v>
      </c>
      <c r="O1221" s="184" t="str">
        <f>"["&amp;$C1221&amp;"]["&amp;$D1221&amp;"]["&amp;$F1221&amp;"]"</f>
        <v>[S07_NoFurtherAllowancesSurrendered][6][InstallationIDCode]</v>
      </c>
    </row>
    <row r="1222" spans="1:15" x14ac:dyDescent="0.3">
      <c r="A1222" t="s">
        <v>1793</v>
      </c>
      <c r="B1222" t="s">
        <v>2159</v>
      </c>
      <c r="C1222" t="s">
        <v>2160</v>
      </c>
      <c r="D1222">
        <v>1</v>
      </c>
      <c r="E1222" t="s">
        <v>1447</v>
      </c>
      <c r="F1222" t="s">
        <v>2168</v>
      </c>
      <c r="G1222" t="s">
        <v>1797</v>
      </c>
      <c r="H1222" t="s">
        <v>2169</v>
      </c>
      <c r="I1222" t="s">
        <v>1799</v>
      </c>
      <c r="J1222" t="s">
        <v>1799</v>
      </c>
      <c r="K1222" t="s">
        <v>1799</v>
      </c>
      <c r="L1222" t="s">
        <v>1799</v>
      </c>
      <c r="M1222" t="s">
        <v>1799</v>
      </c>
      <c r="N1222" t="s">
        <v>1799</v>
      </c>
      <c r="O1222" s="184" t="str">
        <f>"["&amp;$C1222&amp;"]["&amp;$D1222&amp;"]["&amp;$F1222&amp;"]"</f>
        <v>[S07_NoFurtherAllowancesSurrendered][1][OperatorName]</v>
      </c>
    </row>
    <row r="1223" spans="1:15" x14ac:dyDescent="0.3">
      <c r="A1223" t="s">
        <v>1793</v>
      </c>
      <c r="B1223" t="s">
        <v>2159</v>
      </c>
      <c r="C1223" t="s">
        <v>2160</v>
      </c>
      <c r="D1223">
        <v>2</v>
      </c>
      <c r="E1223" t="s">
        <v>1447</v>
      </c>
      <c r="F1223" t="s">
        <v>2168</v>
      </c>
      <c r="G1223" t="s">
        <v>1797</v>
      </c>
      <c r="H1223" t="s">
        <v>2170</v>
      </c>
      <c r="I1223" t="s">
        <v>1799</v>
      </c>
      <c r="J1223" t="s">
        <v>1799</v>
      </c>
      <c r="K1223" t="s">
        <v>1799</v>
      </c>
      <c r="L1223" t="s">
        <v>1799</v>
      </c>
      <c r="M1223" t="s">
        <v>1799</v>
      </c>
      <c r="N1223" t="s">
        <v>1799</v>
      </c>
      <c r="O1223" s="184" t="str">
        <f>"["&amp;$C1223&amp;"]["&amp;$D1223&amp;"]["&amp;$F1223&amp;"]"</f>
        <v>[S07_NoFurtherAllowancesSurrendered][2][OperatorName]</v>
      </c>
    </row>
    <row r="1224" spans="1:15" x14ac:dyDescent="0.3">
      <c r="A1224" t="s">
        <v>1793</v>
      </c>
      <c r="B1224" t="s">
        <v>2159</v>
      </c>
      <c r="C1224" t="s">
        <v>2160</v>
      </c>
      <c r="D1224">
        <v>3</v>
      </c>
      <c r="E1224" t="s">
        <v>1447</v>
      </c>
      <c r="F1224" t="s">
        <v>2168</v>
      </c>
      <c r="G1224" t="s">
        <v>1797</v>
      </c>
      <c r="H1224" t="s">
        <v>2171</v>
      </c>
      <c r="I1224" t="s">
        <v>1799</v>
      </c>
      <c r="J1224" t="s">
        <v>1799</v>
      </c>
      <c r="K1224" t="s">
        <v>1799</v>
      </c>
      <c r="L1224" t="s">
        <v>1799</v>
      </c>
      <c r="M1224" t="s">
        <v>1799</v>
      </c>
      <c r="N1224" t="s">
        <v>1799</v>
      </c>
      <c r="O1224" s="184" t="str">
        <f>"["&amp;$C1224&amp;"]["&amp;$D1224&amp;"]["&amp;$F1224&amp;"]"</f>
        <v>[S07_NoFurtherAllowancesSurrendered][3][OperatorName]</v>
      </c>
    </row>
    <row r="1225" spans="1:15" x14ac:dyDescent="0.3">
      <c r="A1225" t="s">
        <v>1793</v>
      </c>
      <c r="B1225" t="s">
        <v>2159</v>
      </c>
      <c r="C1225" t="s">
        <v>2160</v>
      </c>
      <c r="D1225">
        <v>4</v>
      </c>
      <c r="E1225" t="s">
        <v>1447</v>
      </c>
      <c r="F1225" t="s">
        <v>2168</v>
      </c>
      <c r="G1225" t="s">
        <v>1797</v>
      </c>
      <c r="H1225" t="s">
        <v>2172</v>
      </c>
      <c r="I1225" t="s">
        <v>1799</v>
      </c>
      <c r="J1225" t="s">
        <v>1799</v>
      </c>
      <c r="K1225" t="s">
        <v>1799</v>
      </c>
      <c r="L1225" t="s">
        <v>1799</v>
      </c>
      <c r="M1225" t="s">
        <v>1799</v>
      </c>
      <c r="N1225" t="s">
        <v>1799</v>
      </c>
      <c r="O1225" s="184" t="str">
        <f>"["&amp;$C1225&amp;"]["&amp;$D1225&amp;"]["&amp;$F1225&amp;"]"</f>
        <v>[S07_NoFurtherAllowancesSurrendered][4][OperatorName]</v>
      </c>
    </row>
    <row r="1226" spans="1:15" x14ac:dyDescent="0.3">
      <c r="A1226" t="s">
        <v>1793</v>
      </c>
      <c r="B1226" t="s">
        <v>2159</v>
      </c>
      <c r="C1226" t="s">
        <v>2160</v>
      </c>
      <c r="D1226">
        <v>5</v>
      </c>
      <c r="E1226" t="s">
        <v>1447</v>
      </c>
      <c r="F1226" t="s">
        <v>2168</v>
      </c>
      <c r="G1226" t="s">
        <v>1797</v>
      </c>
      <c r="H1226" t="s">
        <v>2173</v>
      </c>
      <c r="I1226" t="s">
        <v>1799</v>
      </c>
      <c r="J1226" t="s">
        <v>1799</v>
      </c>
      <c r="K1226" t="s">
        <v>1799</v>
      </c>
      <c r="L1226" t="s">
        <v>1799</v>
      </c>
      <c r="M1226" t="s">
        <v>1799</v>
      </c>
      <c r="N1226" t="s">
        <v>1799</v>
      </c>
      <c r="O1226" s="184" t="str">
        <f>"["&amp;$C1226&amp;"]["&amp;$D1226&amp;"]["&amp;$F1226&amp;"]"</f>
        <v>[S07_NoFurtherAllowancesSurrendered][5][OperatorName]</v>
      </c>
    </row>
    <row r="1227" spans="1:15" x14ac:dyDescent="0.3">
      <c r="A1227" t="s">
        <v>1793</v>
      </c>
      <c r="B1227" t="s">
        <v>2159</v>
      </c>
      <c r="C1227" t="s">
        <v>2160</v>
      </c>
      <c r="D1227">
        <v>6</v>
      </c>
      <c r="E1227" t="s">
        <v>1447</v>
      </c>
      <c r="F1227" t="s">
        <v>2168</v>
      </c>
      <c r="G1227" t="s">
        <v>1797</v>
      </c>
      <c r="H1227" t="s">
        <v>2174</v>
      </c>
      <c r="I1227" t="s">
        <v>1799</v>
      </c>
      <c r="J1227" t="s">
        <v>1799</v>
      </c>
      <c r="K1227" t="s">
        <v>1799</v>
      </c>
      <c r="L1227" t="s">
        <v>1799</v>
      </c>
      <c r="M1227" t="s">
        <v>1799</v>
      </c>
      <c r="N1227" t="s">
        <v>1799</v>
      </c>
      <c r="O1227" s="184" t="str">
        <f>"["&amp;$C1227&amp;"]["&amp;$D1227&amp;"]["&amp;$F1227&amp;"]"</f>
        <v>[S07_NoFurtherAllowancesSurrendered][6][OperatorName]</v>
      </c>
    </row>
    <row r="1228" spans="1:15" x14ac:dyDescent="0.3">
      <c r="A1228" t="s">
        <v>1793</v>
      </c>
      <c r="B1228" t="s">
        <v>2159</v>
      </c>
      <c r="C1228" t="s">
        <v>2160</v>
      </c>
      <c r="D1228">
        <v>1</v>
      </c>
      <c r="E1228" t="s">
        <v>1447</v>
      </c>
      <c r="F1228" t="s">
        <v>2175</v>
      </c>
      <c r="G1228" t="s">
        <v>1797</v>
      </c>
      <c r="H1228" t="s">
        <v>2176</v>
      </c>
      <c r="I1228" t="s">
        <v>1799</v>
      </c>
      <c r="J1228" t="s">
        <v>1799</v>
      </c>
      <c r="K1228" t="s">
        <v>1799</v>
      </c>
      <c r="L1228" t="s">
        <v>1799</v>
      </c>
      <c r="M1228" t="s">
        <v>1799</v>
      </c>
      <c r="N1228" t="s">
        <v>1799</v>
      </c>
      <c r="O1228" s="184" t="str">
        <f>"["&amp;$C1228&amp;"]["&amp;$D1228&amp;"]["&amp;$F1228&amp;"]"</f>
        <v>[S07_NoFurtherAllowancesSurrendered][1][InstallationName]</v>
      </c>
    </row>
    <row r="1229" spans="1:15" x14ac:dyDescent="0.3">
      <c r="A1229" t="s">
        <v>1793</v>
      </c>
      <c r="B1229" t="s">
        <v>2159</v>
      </c>
      <c r="C1229" t="s">
        <v>2160</v>
      </c>
      <c r="D1229">
        <v>2</v>
      </c>
      <c r="E1229" t="s">
        <v>1447</v>
      </c>
      <c r="F1229" t="s">
        <v>2175</v>
      </c>
      <c r="G1229" t="s">
        <v>1797</v>
      </c>
      <c r="H1229" t="s">
        <v>2177</v>
      </c>
      <c r="I1229" t="s">
        <v>1799</v>
      </c>
      <c r="J1229" t="s">
        <v>1799</v>
      </c>
      <c r="K1229" t="s">
        <v>1799</v>
      </c>
      <c r="L1229" t="s">
        <v>1799</v>
      </c>
      <c r="M1229" t="s">
        <v>1799</v>
      </c>
      <c r="N1229" t="s">
        <v>1799</v>
      </c>
      <c r="O1229" s="184" t="str">
        <f>"["&amp;$C1229&amp;"]["&amp;$D1229&amp;"]["&amp;$F1229&amp;"]"</f>
        <v>[S07_NoFurtherAllowancesSurrendered][2][InstallationName]</v>
      </c>
    </row>
    <row r="1230" spans="1:15" x14ac:dyDescent="0.3">
      <c r="A1230" t="s">
        <v>1793</v>
      </c>
      <c r="B1230" t="s">
        <v>2159</v>
      </c>
      <c r="C1230" t="s">
        <v>2160</v>
      </c>
      <c r="D1230">
        <v>3</v>
      </c>
      <c r="E1230" t="s">
        <v>1447</v>
      </c>
      <c r="F1230" t="s">
        <v>2175</v>
      </c>
      <c r="G1230" t="s">
        <v>1797</v>
      </c>
      <c r="H1230" t="s">
        <v>2178</v>
      </c>
      <c r="I1230" t="s">
        <v>1799</v>
      </c>
      <c r="J1230" t="s">
        <v>1799</v>
      </c>
      <c r="K1230" t="s">
        <v>1799</v>
      </c>
      <c r="L1230" t="s">
        <v>1799</v>
      </c>
      <c r="M1230" t="s">
        <v>1799</v>
      </c>
      <c r="N1230" t="s">
        <v>1799</v>
      </c>
      <c r="O1230" s="184" t="str">
        <f>"["&amp;$C1230&amp;"]["&amp;$D1230&amp;"]["&amp;$F1230&amp;"]"</f>
        <v>[S07_NoFurtherAllowancesSurrendered][3][InstallationName]</v>
      </c>
    </row>
    <row r="1231" spans="1:15" x14ac:dyDescent="0.3">
      <c r="A1231" t="s">
        <v>1793</v>
      </c>
      <c r="B1231" t="s">
        <v>2159</v>
      </c>
      <c r="C1231" t="s">
        <v>2160</v>
      </c>
      <c r="D1231">
        <v>4</v>
      </c>
      <c r="E1231" t="s">
        <v>1447</v>
      </c>
      <c r="F1231" t="s">
        <v>2175</v>
      </c>
      <c r="G1231" t="s">
        <v>1797</v>
      </c>
      <c r="H1231" t="s">
        <v>2179</v>
      </c>
      <c r="I1231" t="s">
        <v>1799</v>
      </c>
      <c r="J1231" t="s">
        <v>1799</v>
      </c>
      <c r="K1231" t="s">
        <v>1799</v>
      </c>
      <c r="L1231" t="s">
        <v>1799</v>
      </c>
      <c r="M1231" t="s">
        <v>1799</v>
      </c>
      <c r="N1231" t="s">
        <v>1799</v>
      </c>
      <c r="O1231" s="184" t="str">
        <f>"["&amp;$C1231&amp;"]["&amp;$D1231&amp;"]["&amp;$F1231&amp;"]"</f>
        <v>[S07_NoFurtherAllowancesSurrendered][4][InstallationName]</v>
      </c>
    </row>
    <row r="1232" spans="1:15" x14ac:dyDescent="0.3">
      <c r="A1232" t="s">
        <v>1793</v>
      </c>
      <c r="B1232" t="s">
        <v>2159</v>
      </c>
      <c r="C1232" t="s">
        <v>2160</v>
      </c>
      <c r="D1232">
        <v>5</v>
      </c>
      <c r="E1232" t="s">
        <v>1447</v>
      </c>
      <c r="F1232" t="s">
        <v>2175</v>
      </c>
      <c r="G1232" t="s">
        <v>1797</v>
      </c>
      <c r="H1232" t="s">
        <v>2180</v>
      </c>
      <c r="I1232" t="s">
        <v>1799</v>
      </c>
      <c r="J1232" t="s">
        <v>1799</v>
      </c>
      <c r="K1232" t="s">
        <v>1799</v>
      </c>
      <c r="L1232" t="s">
        <v>1799</v>
      </c>
      <c r="M1232" t="s">
        <v>1799</v>
      </c>
      <c r="N1232" t="s">
        <v>1799</v>
      </c>
      <c r="O1232" s="184" t="str">
        <f>"["&amp;$C1232&amp;"]["&amp;$D1232&amp;"]["&amp;$F1232&amp;"]"</f>
        <v>[S07_NoFurtherAllowancesSurrendered][5][InstallationName]</v>
      </c>
    </row>
    <row r="1233" spans="1:15" x14ac:dyDescent="0.3">
      <c r="A1233" t="s">
        <v>1793</v>
      </c>
      <c r="B1233" t="s">
        <v>2159</v>
      </c>
      <c r="C1233" t="s">
        <v>2160</v>
      </c>
      <c r="D1233">
        <v>6</v>
      </c>
      <c r="E1233" t="s">
        <v>1447</v>
      </c>
      <c r="F1233" t="s">
        <v>2175</v>
      </c>
      <c r="G1233" t="s">
        <v>1797</v>
      </c>
      <c r="H1233" t="s">
        <v>2181</v>
      </c>
      <c r="I1233" t="s">
        <v>1799</v>
      </c>
      <c r="J1233" t="s">
        <v>1799</v>
      </c>
      <c r="K1233" t="s">
        <v>1799</v>
      </c>
      <c r="L1233" t="s">
        <v>1799</v>
      </c>
      <c r="M1233" t="s">
        <v>1799</v>
      </c>
      <c r="N1233" t="s">
        <v>1799</v>
      </c>
      <c r="O1233" s="184" t="str">
        <f>"["&amp;$C1233&amp;"]["&amp;$D1233&amp;"]["&amp;$F1233&amp;"]"</f>
        <v>[S07_NoFurtherAllowancesSurrendered][6][InstallationName]</v>
      </c>
    </row>
    <row r="1234" spans="1:15" x14ac:dyDescent="0.3">
      <c r="A1234" t="s">
        <v>1793</v>
      </c>
      <c r="B1234" t="s">
        <v>2159</v>
      </c>
      <c r="C1234" t="s">
        <v>2160</v>
      </c>
      <c r="D1234">
        <v>1</v>
      </c>
      <c r="E1234" t="s">
        <v>1447</v>
      </c>
      <c r="F1234" t="s">
        <v>2182</v>
      </c>
      <c r="G1234" t="s">
        <v>1811</v>
      </c>
      <c r="H1234" t="s">
        <v>1799</v>
      </c>
      <c r="I1234">
        <v>0</v>
      </c>
      <c r="J1234" t="s">
        <v>1799</v>
      </c>
      <c r="K1234" t="s">
        <v>1799</v>
      </c>
      <c r="L1234" t="s">
        <v>1799</v>
      </c>
      <c r="M1234" t="s">
        <v>1799</v>
      </c>
      <c r="N1234" t="s">
        <v>1799</v>
      </c>
      <c r="O1234" s="184" t="str">
        <f>"["&amp;$C1234&amp;"]["&amp;$D1234&amp;"]["&amp;$F1234&amp;"]"</f>
        <v>[S07_NoFurtherAllowancesSurrendered][1][OutstandingAllowances]</v>
      </c>
    </row>
    <row r="1235" spans="1:15" x14ac:dyDescent="0.3">
      <c r="A1235" t="s">
        <v>1793</v>
      </c>
      <c r="B1235" t="s">
        <v>2159</v>
      </c>
      <c r="C1235" t="s">
        <v>2160</v>
      </c>
      <c r="D1235">
        <v>2</v>
      </c>
      <c r="E1235" t="s">
        <v>1447</v>
      </c>
      <c r="F1235" t="s">
        <v>2182</v>
      </c>
      <c r="G1235" t="s">
        <v>1811</v>
      </c>
      <c r="H1235" t="s">
        <v>1799</v>
      </c>
      <c r="I1235">
        <v>0</v>
      </c>
      <c r="J1235" t="s">
        <v>1799</v>
      </c>
      <c r="K1235" t="s">
        <v>1799</v>
      </c>
      <c r="L1235" t="s">
        <v>1799</v>
      </c>
      <c r="M1235" t="s">
        <v>1799</v>
      </c>
      <c r="N1235" t="s">
        <v>1799</v>
      </c>
      <c r="O1235" s="184" t="str">
        <f>"["&amp;$C1235&amp;"]["&amp;$D1235&amp;"]["&amp;$F1235&amp;"]"</f>
        <v>[S07_NoFurtherAllowancesSurrendered][2][OutstandingAllowances]</v>
      </c>
    </row>
    <row r="1236" spans="1:15" x14ac:dyDescent="0.3">
      <c r="A1236" t="s">
        <v>1793</v>
      </c>
      <c r="B1236" t="s">
        <v>2159</v>
      </c>
      <c r="C1236" t="s">
        <v>2160</v>
      </c>
      <c r="D1236">
        <v>3</v>
      </c>
      <c r="E1236" t="s">
        <v>1447</v>
      </c>
      <c r="F1236" t="s">
        <v>2182</v>
      </c>
      <c r="G1236" t="s">
        <v>1811</v>
      </c>
      <c r="H1236" t="s">
        <v>1799</v>
      </c>
      <c r="I1236">
        <v>0</v>
      </c>
      <c r="J1236" t="s">
        <v>1799</v>
      </c>
      <c r="K1236" t="s">
        <v>1799</v>
      </c>
      <c r="L1236" t="s">
        <v>1799</v>
      </c>
      <c r="M1236" t="s">
        <v>1799</v>
      </c>
      <c r="N1236" t="s">
        <v>1799</v>
      </c>
      <c r="O1236" s="184" t="str">
        <f>"["&amp;$C1236&amp;"]["&amp;$D1236&amp;"]["&amp;$F1236&amp;"]"</f>
        <v>[S07_NoFurtherAllowancesSurrendered][3][OutstandingAllowances]</v>
      </c>
    </row>
    <row r="1237" spans="1:15" x14ac:dyDescent="0.3">
      <c r="A1237" t="s">
        <v>1793</v>
      </c>
      <c r="B1237" t="s">
        <v>2159</v>
      </c>
      <c r="C1237" t="s">
        <v>2160</v>
      </c>
      <c r="D1237">
        <v>4</v>
      </c>
      <c r="E1237" t="s">
        <v>1447</v>
      </c>
      <c r="F1237" t="s">
        <v>2182</v>
      </c>
      <c r="G1237" t="s">
        <v>1811</v>
      </c>
      <c r="H1237" t="s">
        <v>1799</v>
      </c>
      <c r="I1237">
        <v>0</v>
      </c>
      <c r="J1237" t="s">
        <v>1799</v>
      </c>
      <c r="K1237" t="s">
        <v>1799</v>
      </c>
      <c r="L1237" t="s">
        <v>1799</v>
      </c>
      <c r="M1237" t="s">
        <v>1799</v>
      </c>
      <c r="N1237" t="s">
        <v>1799</v>
      </c>
      <c r="O1237" s="184" t="str">
        <f>"["&amp;$C1237&amp;"]["&amp;$D1237&amp;"]["&amp;$F1237&amp;"]"</f>
        <v>[S07_NoFurtherAllowancesSurrendered][4][OutstandingAllowances]</v>
      </c>
    </row>
    <row r="1238" spans="1:15" x14ac:dyDescent="0.3">
      <c r="A1238" t="s">
        <v>1793</v>
      </c>
      <c r="B1238" t="s">
        <v>2159</v>
      </c>
      <c r="C1238" t="s">
        <v>2160</v>
      </c>
      <c r="D1238">
        <v>5</v>
      </c>
      <c r="E1238" t="s">
        <v>1447</v>
      </c>
      <c r="F1238" t="s">
        <v>2182</v>
      </c>
      <c r="G1238" t="s">
        <v>1811</v>
      </c>
      <c r="H1238" t="s">
        <v>1799</v>
      </c>
      <c r="I1238">
        <v>0</v>
      </c>
      <c r="J1238" t="s">
        <v>1799</v>
      </c>
      <c r="K1238" t="s">
        <v>1799</v>
      </c>
      <c r="L1238" t="s">
        <v>1799</v>
      </c>
      <c r="M1238" t="s">
        <v>1799</v>
      </c>
      <c r="N1238" t="s">
        <v>1799</v>
      </c>
      <c r="O1238" s="184" t="str">
        <f>"["&amp;$C1238&amp;"]["&amp;$D1238&amp;"]["&amp;$F1238&amp;"]"</f>
        <v>[S07_NoFurtherAllowancesSurrendered][5][OutstandingAllowances]</v>
      </c>
    </row>
    <row r="1239" spans="1:15" x14ac:dyDescent="0.3">
      <c r="A1239" t="s">
        <v>1793</v>
      </c>
      <c r="B1239" t="s">
        <v>2159</v>
      </c>
      <c r="C1239" t="s">
        <v>2160</v>
      </c>
      <c r="D1239">
        <v>6</v>
      </c>
      <c r="E1239" t="s">
        <v>1447</v>
      </c>
      <c r="F1239" t="s">
        <v>2182</v>
      </c>
      <c r="G1239" t="s">
        <v>1811</v>
      </c>
      <c r="H1239" t="s">
        <v>1799</v>
      </c>
      <c r="I1239">
        <v>0</v>
      </c>
      <c r="J1239" t="s">
        <v>1799</v>
      </c>
      <c r="K1239" t="s">
        <v>1799</v>
      </c>
      <c r="L1239" t="s">
        <v>1799</v>
      </c>
      <c r="M1239" t="s">
        <v>1799</v>
      </c>
      <c r="N1239" t="s">
        <v>1799</v>
      </c>
      <c r="O1239" s="184" t="str">
        <f>"["&amp;$C1239&amp;"]["&amp;$D1239&amp;"]["&amp;$F1239&amp;"]"</f>
        <v>[S07_NoFurtherAllowancesSurrendered][6][OutstandingAllowances]</v>
      </c>
    </row>
    <row r="1240" spans="1:15" x14ac:dyDescent="0.3">
      <c r="A1240" t="s">
        <v>1793</v>
      </c>
      <c r="B1240" t="s">
        <v>2159</v>
      </c>
      <c r="C1240" t="s">
        <v>2160</v>
      </c>
      <c r="D1240">
        <v>1</v>
      </c>
      <c r="E1240" t="s">
        <v>1447</v>
      </c>
      <c r="F1240" t="s">
        <v>2183</v>
      </c>
      <c r="G1240" t="s">
        <v>1797</v>
      </c>
      <c r="H1240" t="s">
        <v>2184</v>
      </c>
      <c r="I1240" t="s">
        <v>1799</v>
      </c>
      <c r="J1240" t="s">
        <v>1799</v>
      </c>
      <c r="K1240" t="s">
        <v>1799</v>
      </c>
      <c r="L1240" t="s">
        <v>1799</v>
      </c>
      <c r="M1240" t="s">
        <v>1799</v>
      </c>
      <c r="N1240" t="s">
        <v>1799</v>
      </c>
      <c r="O1240" s="184" t="str">
        <f>"["&amp;$C1240&amp;"]["&amp;$D1240&amp;"]["&amp;$F1240&amp;"]"</f>
        <v>[S07_NoFurtherAllowancesSurrendered][1][ReasonNoFurtherAllowancesSurrendered]</v>
      </c>
    </row>
    <row r="1241" spans="1:15" x14ac:dyDescent="0.3">
      <c r="A1241" t="s">
        <v>1793</v>
      </c>
      <c r="B1241" t="s">
        <v>2159</v>
      </c>
      <c r="C1241" t="s">
        <v>2160</v>
      </c>
      <c r="D1241">
        <v>2</v>
      </c>
      <c r="E1241" t="s">
        <v>1447</v>
      </c>
      <c r="F1241" t="s">
        <v>2183</v>
      </c>
      <c r="G1241" t="s">
        <v>1797</v>
      </c>
      <c r="H1241" t="s">
        <v>2184</v>
      </c>
      <c r="I1241" t="s">
        <v>1799</v>
      </c>
      <c r="J1241" t="s">
        <v>1799</v>
      </c>
      <c r="K1241" t="s">
        <v>1799</v>
      </c>
      <c r="L1241" t="s">
        <v>1799</v>
      </c>
      <c r="M1241" t="s">
        <v>1799</v>
      </c>
      <c r="N1241" t="s">
        <v>1799</v>
      </c>
      <c r="O1241" s="184" t="str">
        <f>"["&amp;$C1241&amp;"]["&amp;$D1241&amp;"]["&amp;$F1241&amp;"]"</f>
        <v>[S07_NoFurtherAllowancesSurrendered][2][ReasonNoFurtherAllowancesSurrendered]</v>
      </c>
    </row>
    <row r="1242" spans="1:15" x14ac:dyDescent="0.3">
      <c r="A1242" t="s">
        <v>1793</v>
      </c>
      <c r="B1242" t="s">
        <v>2159</v>
      </c>
      <c r="C1242" t="s">
        <v>2160</v>
      </c>
      <c r="D1242">
        <v>3</v>
      </c>
      <c r="E1242" t="s">
        <v>1447</v>
      </c>
      <c r="F1242" t="s">
        <v>2183</v>
      </c>
      <c r="G1242" t="s">
        <v>1797</v>
      </c>
      <c r="H1242" t="s">
        <v>2184</v>
      </c>
      <c r="I1242" t="s">
        <v>1799</v>
      </c>
      <c r="J1242" t="s">
        <v>1799</v>
      </c>
      <c r="K1242" t="s">
        <v>1799</v>
      </c>
      <c r="L1242" t="s">
        <v>1799</v>
      </c>
      <c r="M1242" t="s">
        <v>1799</v>
      </c>
      <c r="N1242" t="s">
        <v>1799</v>
      </c>
      <c r="O1242" s="184" t="str">
        <f>"["&amp;$C1242&amp;"]["&amp;$D1242&amp;"]["&amp;$F1242&amp;"]"</f>
        <v>[S07_NoFurtherAllowancesSurrendered][3][ReasonNoFurtherAllowancesSurrendered]</v>
      </c>
    </row>
    <row r="1243" spans="1:15" x14ac:dyDescent="0.3">
      <c r="A1243" t="s">
        <v>1793</v>
      </c>
      <c r="B1243" t="s">
        <v>2159</v>
      </c>
      <c r="C1243" t="s">
        <v>2160</v>
      </c>
      <c r="D1243">
        <v>4</v>
      </c>
      <c r="E1243" t="s">
        <v>1447</v>
      </c>
      <c r="F1243" t="s">
        <v>2183</v>
      </c>
      <c r="G1243" t="s">
        <v>1797</v>
      </c>
      <c r="H1243" t="s">
        <v>2184</v>
      </c>
      <c r="I1243" t="s">
        <v>1799</v>
      </c>
      <c r="J1243" t="s">
        <v>1799</v>
      </c>
      <c r="K1243" t="s">
        <v>1799</v>
      </c>
      <c r="L1243" t="s">
        <v>1799</v>
      </c>
      <c r="M1243" t="s">
        <v>1799</v>
      </c>
      <c r="N1243" t="s">
        <v>1799</v>
      </c>
      <c r="O1243" s="184" t="str">
        <f>"["&amp;$C1243&amp;"]["&amp;$D1243&amp;"]["&amp;$F1243&amp;"]"</f>
        <v>[S07_NoFurtherAllowancesSurrendered][4][ReasonNoFurtherAllowancesSurrendered]</v>
      </c>
    </row>
    <row r="1244" spans="1:15" x14ac:dyDescent="0.3">
      <c r="A1244" t="s">
        <v>1793</v>
      </c>
      <c r="B1244" t="s">
        <v>2159</v>
      </c>
      <c r="C1244" t="s">
        <v>2160</v>
      </c>
      <c r="D1244">
        <v>5</v>
      </c>
      <c r="E1244" t="s">
        <v>1447</v>
      </c>
      <c r="F1244" t="s">
        <v>2183</v>
      </c>
      <c r="G1244" t="s">
        <v>1797</v>
      </c>
      <c r="H1244" t="s">
        <v>2184</v>
      </c>
      <c r="I1244" t="s">
        <v>1799</v>
      </c>
      <c r="J1244" t="s">
        <v>1799</v>
      </c>
      <c r="K1244" t="s">
        <v>1799</v>
      </c>
      <c r="L1244" t="s">
        <v>1799</v>
      </c>
      <c r="M1244" t="s">
        <v>1799</v>
      </c>
      <c r="N1244" t="s">
        <v>1799</v>
      </c>
      <c r="O1244" s="184" t="str">
        <f>"["&amp;$C1244&amp;"]["&amp;$D1244&amp;"]["&amp;$F1244&amp;"]"</f>
        <v>[S07_NoFurtherAllowancesSurrendered][5][ReasonNoFurtherAllowancesSurrendered]</v>
      </c>
    </row>
    <row r="1245" spans="1:15" x14ac:dyDescent="0.3">
      <c r="A1245" t="s">
        <v>1793</v>
      </c>
      <c r="B1245" t="s">
        <v>2159</v>
      </c>
      <c r="C1245" t="s">
        <v>2160</v>
      </c>
      <c r="D1245">
        <v>6</v>
      </c>
      <c r="E1245" t="s">
        <v>1447</v>
      </c>
      <c r="F1245" t="s">
        <v>2183</v>
      </c>
      <c r="G1245" t="s">
        <v>1797</v>
      </c>
      <c r="H1245" t="s">
        <v>2184</v>
      </c>
      <c r="I1245" t="s">
        <v>1799</v>
      </c>
      <c r="J1245" t="s">
        <v>1799</v>
      </c>
      <c r="K1245" t="s">
        <v>1799</v>
      </c>
      <c r="L1245" t="s">
        <v>1799</v>
      </c>
      <c r="M1245" t="s">
        <v>1799</v>
      </c>
      <c r="N1245" t="s">
        <v>1799</v>
      </c>
      <c r="O1245" s="184" t="str">
        <f>"["&amp;$C1245&amp;"]["&amp;$D1245&amp;"]["&amp;$F1245&amp;"]"</f>
        <v>[S07_NoFurtherAllowancesSurrendered][6][ReasonNoFurtherAllowancesSurrendered]</v>
      </c>
    </row>
    <row r="1246" spans="1:15" x14ac:dyDescent="0.3">
      <c r="A1246" t="s">
        <v>1793</v>
      </c>
      <c r="B1246" t="s">
        <v>2185</v>
      </c>
      <c r="C1246" t="s">
        <v>2186</v>
      </c>
      <c r="D1246">
        <v>0</v>
      </c>
      <c r="E1246" t="s">
        <v>1447</v>
      </c>
      <c r="F1246" t="s">
        <v>2186</v>
      </c>
      <c r="G1246" t="s">
        <v>1811</v>
      </c>
      <c r="H1246" t="s">
        <v>1799</v>
      </c>
      <c r="I1246">
        <v>0</v>
      </c>
      <c r="J1246" t="s">
        <v>1799</v>
      </c>
      <c r="K1246" t="s">
        <v>1799</v>
      </c>
      <c r="L1246" t="s">
        <v>1799</v>
      </c>
      <c r="M1246" t="s">
        <v>1799</v>
      </c>
      <c r="N1246" t="s">
        <v>1799</v>
      </c>
      <c r="O1246" s="184" t="str">
        <f>"["&amp;$C1246&amp;"]["&amp;$D1246&amp;"]["&amp;$F1246&amp;"]"</f>
        <v>[AircraftOperatorsMandateArt15UseNumber][0][AircraftOperatorsMandateArt15UseNumber]</v>
      </c>
    </row>
    <row r="1247" spans="1:15" x14ac:dyDescent="0.3">
      <c r="A1247" t="s">
        <v>1793</v>
      </c>
      <c r="B1247" t="s">
        <v>2187</v>
      </c>
      <c r="C1247" t="s">
        <v>2188</v>
      </c>
      <c r="D1247">
        <v>0</v>
      </c>
      <c r="E1247" t="s">
        <v>1447</v>
      </c>
      <c r="F1247" t="s">
        <v>2188</v>
      </c>
      <c r="G1247" t="s">
        <v>1833</v>
      </c>
      <c r="H1247" t="s">
        <v>1799</v>
      </c>
      <c r="I1247" t="s">
        <v>1799</v>
      </c>
      <c r="J1247" t="s">
        <v>1799</v>
      </c>
      <c r="K1247" t="s">
        <v>1799</v>
      </c>
      <c r="L1247" t="s">
        <v>1419</v>
      </c>
      <c r="M1247" t="s">
        <v>1799</v>
      </c>
      <c r="N1247" t="s">
        <v>1799</v>
      </c>
      <c r="O1247" s="184" t="str">
        <f>"["&amp;$C1247&amp;"]["&amp;$D1247&amp;"]["&amp;$F1247&amp;"]"</f>
        <v>[CommissionTemplatesAllocation][0][CommissionTemplatesAllocation]</v>
      </c>
    </row>
    <row r="1248" spans="1:15" x14ac:dyDescent="0.3">
      <c r="A1248" t="s">
        <v>1793</v>
      </c>
      <c r="B1248" t="s">
        <v>2189</v>
      </c>
      <c r="C1248" t="s">
        <v>2190</v>
      </c>
      <c r="D1248">
        <v>0</v>
      </c>
      <c r="E1248" t="s">
        <v>1447</v>
      </c>
      <c r="F1248" t="s">
        <v>2190</v>
      </c>
      <c r="G1248" t="s">
        <v>1833</v>
      </c>
      <c r="H1248" t="s">
        <v>1799</v>
      </c>
      <c r="I1248" t="s">
        <v>1799</v>
      </c>
      <c r="J1248" t="s">
        <v>1799</v>
      </c>
      <c r="K1248" t="s">
        <v>1799</v>
      </c>
      <c r="L1248" t="s">
        <v>1419</v>
      </c>
      <c r="M1248" t="s">
        <v>1799</v>
      </c>
      <c r="N1248" t="s">
        <v>1799</v>
      </c>
      <c r="O1248" s="184" t="str">
        <f>"["&amp;$C1248&amp;"]["&amp;$D1248&amp;"]["&amp;$F1248&amp;"]"</f>
        <v>[FeesAllocation][0][FeesAllocation]</v>
      </c>
    </row>
    <row r="1249" spans="1:15" x14ac:dyDescent="0.3">
      <c r="A1249" t="s">
        <v>1793</v>
      </c>
      <c r="B1249" t="s">
        <v>2189</v>
      </c>
      <c r="C1249" t="s">
        <v>2191</v>
      </c>
      <c r="D1249">
        <v>1</v>
      </c>
      <c r="E1249" t="s">
        <v>1447</v>
      </c>
      <c r="F1249" t="s">
        <v>2192</v>
      </c>
      <c r="G1249" t="s">
        <v>1922</v>
      </c>
      <c r="H1249" t="s">
        <v>1799</v>
      </c>
      <c r="I1249" t="s">
        <v>1799</v>
      </c>
      <c r="J1249">
        <v>1007</v>
      </c>
      <c r="K1249" t="s">
        <v>1799</v>
      </c>
      <c r="L1249" t="s">
        <v>1799</v>
      </c>
      <c r="M1249" t="s">
        <v>1799</v>
      </c>
      <c r="N1249" t="s">
        <v>1799</v>
      </c>
      <c r="O1249" s="184" t="str">
        <f>"["&amp;$C1249&amp;"]["&amp;$D1249&amp;"]["&amp;$F1249&amp;"]"</f>
        <v>[S08_FeesAllocationDetail][1][FeeAmount]</v>
      </c>
    </row>
    <row r="1250" spans="1:15" x14ac:dyDescent="0.3">
      <c r="A1250" t="s">
        <v>1793</v>
      </c>
      <c r="B1250" t="s">
        <v>2189</v>
      </c>
      <c r="C1250" t="s">
        <v>2191</v>
      </c>
      <c r="D1250">
        <v>2</v>
      </c>
      <c r="E1250" t="s">
        <v>1447</v>
      </c>
      <c r="F1250" t="s">
        <v>2192</v>
      </c>
      <c r="G1250" t="s">
        <v>1922</v>
      </c>
      <c r="H1250" t="s">
        <v>1799</v>
      </c>
      <c r="I1250" t="s">
        <v>1799</v>
      </c>
      <c r="J1250">
        <v>671</v>
      </c>
      <c r="K1250" t="s">
        <v>1799</v>
      </c>
      <c r="L1250" t="s">
        <v>1799</v>
      </c>
      <c r="M1250" t="s">
        <v>1799</v>
      </c>
      <c r="N1250" t="s">
        <v>1799</v>
      </c>
      <c r="O1250" s="184" t="str">
        <f>"["&amp;$C1250&amp;"]["&amp;$D1250&amp;"]["&amp;$F1250&amp;"]"</f>
        <v>[S08_FeesAllocationDetail][2][FeeAmount]</v>
      </c>
    </row>
    <row r="1251" spans="1:15" x14ac:dyDescent="0.3">
      <c r="A1251" t="s">
        <v>1793</v>
      </c>
      <c r="B1251" t="s">
        <v>2189</v>
      </c>
      <c r="C1251" t="s">
        <v>2191</v>
      </c>
      <c r="D1251">
        <v>3</v>
      </c>
      <c r="E1251" t="s">
        <v>1419</v>
      </c>
      <c r="F1251" t="s">
        <v>2192</v>
      </c>
      <c r="G1251" t="s">
        <v>1922</v>
      </c>
      <c r="H1251" t="s">
        <v>1799</v>
      </c>
      <c r="I1251" t="s">
        <v>1799</v>
      </c>
      <c r="J1251">
        <v>671</v>
      </c>
      <c r="K1251" t="s">
        <v>1799</v>
      </c>
      <c r="L1251" t="s">
        <v>1799</v>
      </c>
      <c r="M1251" t="s">
        <v>1799</v>
      </c>
      <c r="N1251" t="s">
        <v>1799</v>
      </c>
      <c r="O1251" s="184" t="str">
        <f>"["&amp;$C1251&amp;"]["&amp;$D1251&amp;"]["&amp;$F1251&amp;"]"</f>
        <v>[S08_FeesAllocationDetail][3][FeeAmount]</v>
      </c>
    </row>
    <row r="1252" spans="1:15" x14ac:dyDescent="0.3">
      <c r="A1252" t="s">
        <v>1793</v>
      </c>
      <c r="B1252" t="s">
        <v>2189</v>
      </c>
      <c r="C1252" t="s">
        <v>2191</v>
      </c>
      <c r="D1252">
        <v>4</v>
      </c>
      <c r="E1252" t="s">
        <v>1419</v>
      </c>
      <c r="F1252" t="s">
        <v>2192</v>
      </c>
      <c r="G1252" t="s">
        <v>1922</v>
      </c>
      <c r="H1252" t="s">
        <v>1799</v>
      </c>
      <c r="I1252" t="s">
        <v>1799</v>
      </c>
      <c r="J1252">
        <v>6711</v>
      </c>
      <c r="K1252" t="s">
        <v>1799</v>
      </c>
      <c r="L1252" t="s">
        <v>1799</v>
      </c>
      <c r="M1252" t="s">
        <v>1799</v>
      </c>
      <c r="N1252" t="s">
        <v>1799</v>
      </c>
      <c r="O1252" s="184" t="str">
        <f>"["&amp;$C1252&amp;"]["&amp;$D1252&amp;"]["&amp;$F1252&amp;"]"</f>
        <v>[S08_FeesAllocationDetail][4][FeeAmount]</v>
      </c>
    </row>
    <row r="1253" spans="1:15" x14ac:dyDescent="0.3">
      <c r="A1253" t="s">
        <v>1793</v>
      </c>
      <c r="B1253" t="s">
        <v>2189</v>
      </c>
      <c r="C1253" t="s">
        <v>2191</v>
      </c>
      <c r="D1253">
        <v>5</v>
      </c>
      <c r="E1253" t="s">
        <v>1419</v>
      </c>
      <c r="F1253" t="s">
        <v>2192</v>
      </c>
      <c r="G1253" t="s">
        <v>1922</v>
      </c>
      <c r="H1253" t="s">
        <v>1799</v>
      </c>
      <c r="I1253" t="s">
        <v>1799</v>
      </c>
      <c r="J1253">
        <v>1678</v>
      </c>
      <c r="K1253" t="s">
        <v>1799</v>
      </c>
      <c r="L1253" t="s">
        <v>1799</v>
      </c>
      <c r="M1253" t="s">
        <v>1799</v>
      </c>
      <c r="N1253" t="s">
        <v>1799</v>
      </c>
      <c r="O1253" s="184" t="str">
        <f>"["&amp;$C1253&amp;"]["&amp;$D1253&amp;"]["&amp;$F1253&amp;"]"</f>
        <v>[S08_FeesAllocationDetail][5][FeeAmount]</v>
      </c>
    </row>
    <row r="1254" spans="1:15" x14ac:dyDescent="0.3">
      <c r="A1254" t="s">
        <v>1793</v>
      </c>
      <c r="B1254" t="s">
        <v>2189</v>
      </c>
      <c r="C1254" t="s">
        <v>2191</v>
      </c>
      <c r="D1254">
        <v>3</v>
      </c>
      <c r="E1254" t="s">
        <v>1419</v>
      </c>
      <c r="F1254" t="s">
        <v>2193</v>
      </c>
      <c r="G1254" t="s">
        <v>1861</v>
      </c>
      <c r="H1254" t="s">
        <v>1799</v>
      </c>
      <c r="I1254" t="s">
        <v>1799</v>
      </c>
      <c r="J1254" t="s">
        <v>1799</v>
      </c>
      <c r="K1254" t="s">
        <v>2194</v>
      </c>
      <c r="L1254" t="s">
        <v>1799</v>
      </c>
      <c r="M1254" t="s">
        <v>1799</v>
      </c>
      <c r="N1254" t="s">
        <v>1799</v>
      </c>
      <c r="O1254" s="184" t="str">
        <f>"["&amp;$C1254&amp;"]["&amp;$D1254&amp;"]["&amp;$F1254&amp;"]"</f>
        <v>[S08_FeesAllocationDetail][3][FeeOther]</v>
      </c>
    </row>
    <row r="1255" spans="1:15" x14ac:dyDescent="0.3">
      <c r="A1255" t="s">
        <v>1793</v>
      </c>
      <c r="B1255" t="s">
        <v>2189</v>
      </c>
      <c r="C1255" t="s">
        <v>2191</v>
      </c>
      <c r="D1255">
        <v>4</v>
      </c>
      <c r="E1255" t="s">
        <v>1419</v>
      </c>
      <c r="F1255" t="s">
        <v>2193</v>
      </c>
      <c r="G1255" t="s">
        <v>1861</v>
      </c>
      <c r="H1255" t="s">
        <v>1799</v>
      </c>
      <c r="I1255" t="s">
        <v>1799</v>
      </c>
      <c r="J1255" t="s">
        <v>1799</v>
      </c>
      <c r="K1255" t="s">
        <v>2195</v>
      </c>
      <c r="L1255" t="s">
        <v>1799</v>
      </c>
      <c r="M1255" t="s">
        <v>1799</v>
      </c>
      <c r="N1255" t="s">
        <v>1799</v>
      </c>
      <c r="O1255" s="184" t="str">
        <f>"["&amp;$C1255&amp;"]["&amp;$D1255&amp;"]["&amp;$F1255&amp;"]"</f>
        <v>[S08_FeesAllocationDetail][4][FeeOther]</v>
      </c>
    </row>
    <row r="1256" spans="1:15" x14ac:dyDescent="0.3">
      <c r="A1256" t="s">
        <v>1793</v>
      </c>
      <c r="B1256" t="s">
        <v>2189</v>
      </c>
      <c r="C1256" t="s">
        <v>2191</v>
      </c>
      <c r="D1256">
        <v>5</v>
      </c>
      <c r="E1256" t="s">
        <v>1419</v>
      </c>
      <c r="F1256" t="s">
        <v>2193</v>
      </c>
      <c r="G1256" t="s">
        <v>1861</v>
      </c>
      <c r="H1256" t="s">
        <v>1799</v>
      </c>
      <c r="I1256" t="s">
        <v>1799</v>
      </c>
      <c r="J1256" t="s">
        <v>1799</v>
      </c>
      <c r="K1256" t="s">
        <v>2196</v>
      </c>
      <c r="L1256" t="s">
        <v>1799</v>
      </c>
      <c r="M1256" t="s">
        <v>1799</v>
      </c>
      <c r="N1256" t="s">
        <v>1799</v>
      </c>
      <c r="O1256" s="184" t="str">
        <f>"["&amp;$C1256&amp;"]["&amp;$D1256&amp;"]["&amp;$F1256&amp;"]"</f>
        <v>[S08_FeesAllocationDetail][5][FeeOther]</v>
      </c>
    </row>
    <row r="1257" spans="1:15" x14ac:dyDescent="0.3">
      <c r="A1257" t="s">
        <v>1793</v>
      </c>
      <c r="B1257" t="s">
        <v>2197</v>
      </c>
      <c r="C1257" t="s">
        <v>2198</v>
      </c>
      <c r="D1257">
        <v>0</v>
      </c>
      <c r="E1257" t="s">
        <v>1447</v>
      </c>
      <c r="F1257" t="s">
        <v>2198</v>
      </c>
      <c r="G1257" t="s">
        <v>1833</v>
      </c>
      <c r="H1257" t="s">
        <v>1799</v>
      </c>
      <c r="I1257" t="s">
        <v>1799</v>
      </c>
      <c r="J1257" t="s">
        <v>1799</v>
      </c>
      <c r="K1257" t="s">
        <v>1799</v>
      </c>
      <c r="L1257" t="s">
        <v>1419</v>
      </c>
      <c r="M1257" t="s">
        <v>1799</v>
      </c>
      <c r="N1257" t="s">
        <v>1799</v>
      </c>
      <c r="O1257" s="184" t="str">
        <f>"["&amp;$C1257&amp;"]["&amp;$D1257&amp;"]["&amp;$F1257&amp;"]"</f>
        <v>[ITforAllocationData][0][ITforAllocationData]</v>
      </c>
    </row>
    <row r="1258" spans="1:15" x14ac:dyDescent="0.3">
      <c r="A1258" t="s">
        <v>1793</v>
      </c>
      <c r="B1258" t="s">
        <v>2199</v>
      </c>
      <c r="C1258" t="s">
        <v>2200</v>
      </c>
      <c r="D1258">
        <v>1</v>
      </c>
      <c r="E1258" t="s">
        <v>1447</v>
      </c>
      <c r="F1258" t="s">
        <v>1866</v>
      </c>
      <c r="G1258" t="s">
        <v>1811</v>
      </c>
      <c r="H1258" t="s">
        <v>1799</v>
      </c>
      <c r="I1258">
        <v>0</v>
      </c>
      <c r="J1258" t="s">
        <v>1799</v>
      </c>
      <c r="K1258" t="s">
        <v>1799</v>
      </c>
      <c r="L1258" t="s">
        <v>1799</v>
      </c>
      <c r="M1258" t="s">
        <v>1799</v>
      </c>
      <c r="N1258" t="s">
        <v>1799</v>
      </c>
      <c r="O1258" s="184" t="str">
        <f>"["&amp;$C1258&amp;"]["&amp;$D1258&amp;"]["&amp;$F1258&amp;"]"</f>
        <v>[S08_RenunciationSuspensionAllowances][1][NumberOfInstallations]</v>
      </c>
    </row>
    <row r="1259" spans="1:15" x14ac:dyDescent="0.3">
      <c r="A1259" t="s">
        <v>1793</v>
      </c>
      <c r="B1259" t="s">
        <v>2199</v>
      </c>
      <c r="C1259" t="s">
        <v>2200</v>
      </c>
      <c r="D1259">
        <v>2</v>
      </c>
      <c r="E1259" t="s">
        <v>1447</v>
      </c>
      <c r="F1259" t="s">
        <v>1866</v>
      </c>
      <c r="G1259" t="s">
        <v>1811</v>
      </c>
      <c r="H1259" t="s">
        <v>1799</v>
      </c>
      <c r="I1259">
        <v>0</v>
      </c>
      <c r="J1259" t="s">
        <v>1799</v>
      </c>
      <c r="K1259" t="s">
        <v>1799</v>
      </c>
      <c r="L1259" t="s">
        <v>1799</v>
      </c>
      <c r="M1259" t="s">
        <v>1799</v>
      </c>
      <c r="N1259" t="s">
        <v>1799</v>
      </c>
      <c r="O1259" s="184" t="str">
        <f>"["&amp;$C1259&amp;"]["&amp;$D1259&amp;"]["&amp;$F1259&amp;"]"</f>
        <v>[S08_RenunciationSuspensionAllowances][2][NumberOfInstallations]</v>
      </c>
    </row>
    <row r="1260" spans="1:15" x14ac:dyDescent="0.3">
      <c r="A1260" t="s">
        <v>1793</v>
      </c>
      <c r="B1260" t="s">
        <v>2201</v>
      </c>
      <c r="C1260" t="s">
        <v>2202</v>
      </c>
      <c r="D1260">
        <v>1</v>
      </c>
      <c r="E1260" t="s">
        <v>1447</v>
      </c>
      <c r="F1260" t="s">
        <v>1866</v>
      </c>
      <c r="G1260" t="s">
        <v>1811</v>
      </c>
      <c r="H1260" t="s">
        <v>1799</v>
      </c>
      <c r="I1260">
        <v>1</v>
      </c>
      <c r="J1260" t="s">
        <v>1799</v>
      </c>
      <c r="K1260" t="s">
        <v>1799</v>
      </c>
      <c r="L1260" t="s">
        <v>1799</v>
      </c>
      <c r="M1260" t="s">
        <v>1799</v>
      </c>
      <c r="N1260" t="s">
        <v>1799</v>
      </c>
      <c r="O1260" s="184" t="str">
        <f>"["&amp;$C1260&amp;"]["&amp;$D1260&amp;"]["&amp;$F1260&amp;"]"</f>
        <v>[S08_ScopeExclusion][1][NumberOfInstallations]</v>
      </c>
    </row>
    <row r="1261" spans="1:15" x14ac:dyDescent="0.3">
      <c r="A1261" t="s">
        <v>1793</v>
      </c>
      <c r="B1261" t="s">
        <v>2201</v>
      </c>
      <c r="C1261" t="s">
        <v>2202</v>
      </c>
      <c r="D1261">
        <v>2</v>
      </c>
      <c r="E1261" t="s">
        <v>1447</v>
      </c>
      <c r="F1261" t="s">
        <v>1866</v>
      </c>
      <c r="G1261" t="s">
        <v>1811</v>
      </c>
      <c r="H1261" t="s">
        <v>1799</v>
      </c>
      <c r="I1261">
        <v>3</v>
      </c>
      <c r="J1261" t="s">
        <v>1799</v>
      </c>
      <c r="K1261" t="s">
        <v>1799</v>
      </c>
      <c r="L1261" t="s">
        <v>1799</v>
      </c>
      <c r="M1261" t="s">
        <v>1799</v>
      </c>
      <c r="N1261" t="s">
        <v>1799</v>
      </c>
      <c r="O1261" s="184" t="str">
        <f>"["&amp;$C1261&amp;"]["&amp;$D1261&amp;"]["&amp;$F1261&amp;"]"</f>
        <v>[S08_ScopeExclusion][2][NumberOfInstallations]</v>
      </c>
    </row>
    <row r="1262" spans="1:15" x14ac:dyDescent="0.3">
      <c r="A1262" t="s">
        <v>1793</v>
      </c>
      <c r="B1262" t="s">
        <v>2201</v>
      </c>
      <c r="C1262" t="s">
        <v>2202</v>
      </c>
      <c r="D1262">
        <v>3</v>
      </c>
      <c r="E1262" t="s">
        <v>1447</v>
      </c>
      <c r="F1262" t="s">
        <v>1866</v>
      </c>
      <c r="G1262" t="s">
        <v>1811</v>
      </c>
      <c r="H1262" t="s">
        <v>1799</v>
      </c>
      <c r="I1262">
        <v>0</v>
      </c>
      <c r="J1262" t="s">
        <v>1799</v>
      </c>
      <c r="K1262" t="s">
        <v>1799</v>
      </c>
      <c r="L1262" t="s">
        <v>1799</v>
      </c>
      <c r="M1262" t="s">
        <v>1799</v>
      </c>
      <c r="N1262" t="s">
        <v>1799</v>
      </c>
      <c r="O1262" s="184" t="str">
        <f>"["&amp;$C1262&amp;"]["&amp;$D1262&amp;"]["&amp;$F1262&amp;"]"</f>
        <v>[S08_ScopeExclusion][3][NumberOfInstallations]</v>
      </c>
    </row>
    <row r="1263" spans="1:15" x14ac:dyDescent="0.3">
      <c r="A1263" t="s">
        <v>1793</v>
      </c>
      <c r="B1263" t="s">
        <v>2201</v>
      </c>
      <c r="C1263" t="s">
        <v>2202</v>
      </c>
      <c r="D1263">
        <v>4</v>
      </c>
      <c r="E1263" t="s">
        <v>1447</v>
      </c>
      <c r="F1263" t="s">
        <v>1866</v>
      </c>
      <c r="G1263" t="s">
        <v>1811</v>
      </c>
      <c r="H1263" t="s">
        <v>1799</v>
      </c>
      <c r="I1263">
        <v>0</v>
      </c>
      <c r="J1263" t="s">
        <v>1799</v>
      </c>
      <c r="K1263" t="s">
        <v>1799</v>
      </c>
      <c r="L1263" t="s">
        <v>1799</v>
      </c>
      <c r="M1263" t="s">
        <v>1799</v>
      </c>
      <c r="N1263" t="s">
        <v>1799</v>
      </c>
      <c r="O1263" s="184" t="str">
        <f>"["&amp;$C1263&amp;"]["&amp;$D1263&amp;"]["&amp;$F1263&amp;"]"</f>
        <v>[S08_ScopeExclusion][4][NumberOfInstallations]</v>
      </c>
    </row>
    <row r="1264" spans="1:15" x14ac:dyDescent="0.3">
      <c r="A1264" t="s">
        <v>1793</v>
      </c>
      <c r="B1264" t="s">
        <v>2201</v>
      </c>
      <c r="C1264" t="s">
        <v>2202</v>
      </c>
      <c r="D1264">
        <v>5</v>
      </c>
      <c r="E1264" t="s">
        <v>1447</v>
      </c>
      <c r="F1264" t="s">
        <v>1866</v>
      </c>
      <c r="G1264" t="s">
        <v>1811</v>
      </c>
      <c r="H1264" t="s">
        <v>1799</v>
      </c>
      <c r="I1264">
        <v>2</v>
      </c>
      <c r="J1264" t="s">
        <v>1799</v>
      </c>
      <c r="K1264" t="s">
        <v>1799</v>
      </c>
      <c r="L1264" t="s">
        <v>1799</v>
      </c>
      <c r="M1264" t="s">
        <v>1799</v>
      </c>
      <c r="N1264" t="s">
        <v>1799</v>
      </c>
      <c r="O1264" s="184" t="str">
        <f>"["&amp;$C1264&amp;"]["&amp;$D1264&amp;"]["&amp;$F1264&amp;"]"</f>
        <v>[S08_ScopeExclusion][5][NumberOfInstallations]</v>
      </c>
    </row>
    <row r="1265" spans="1:15" x14ac:dyDescent="0.3">
      <c r="A1265" t="s">
        <v>1793</v>
      </c>
      <c r="B1265" t="s">
        <v>2203</v>
      </c>
      <c r="C1265" t="s">
        <v>2204</v>
      </c>
      <c r="D1265">
        <v>0</v>
      </c>
      <c r="E1265" t="s">
        <v>1447</v>
      </c>
      <c r="F1265" t="s">
        <v>2204</v>
      </c>
      <c r="G1265" t="s">
        <v>1833</v>
      </c>
      <c r="H1265" t="s">
        <v>1799</v>
      </c>
      <c r="I1265" t="s">
        <v>1799</v>
      </c>
      <c r="J1265" t="s">
        <v>1799</v>
      </c>
      <c r="K1265" t="s">
        <v>1799</v>
      </c>
      <c r="L1265" t="s">
        <v>1447</v>
      </c>
      <c r="M1265" t="s">
        <v>1799</v>
      </c>
      <c r="N1265" t="s">
        <v>1799</v>
      </c>
      <c r="O1265" s="184" t="str">
        <f>"["&amp;$C1265&amp;"]["&amp;$D1265&amp;"]["&amp;$F1265&amp;"]"</f>
        <v>[Article10cApplied][0][Article10cApplied]</v>
      </c>
    </row>
    <row r="1266" spans="1:15" x14ac:dyDescent="0.3">
      <c r="A1266" t="s">
        <v>1793</v>
      </c>
      <c r="B1266" t="s">
        <v>2205</v>
      </c>
      <c r="C1266" t="s">
        <v>2206</v>
      </c>
      <c r="D1266">
        <v>0</v>
      </c>
      <c r="E1266" t="s">
        <v>1447</v>
      </c>
      <c r="F1266" t="s">
        <v>2206</v>
      </c>
      <c r="G1266" t="s">
        <v>1833</v>
      </c>
      <c r="H1266" t="s">
        <v>1799</v>
      </c>
      <c r="I1266" t="s">
        <v>1799</v>
      </c>
      <c r="J1266" t="s">
        <v>1799</v>
      </c>
      <c r="K1266" t="s">
        <v>1799</v>
      </c>
      <c r="L1266" t="s">
        <v>1419</v>
      </c>
      <c r="M1266" t="s">
        <v>1799</v>
      </c>
      <c r="N1266" t="s">
        <v>1799</v>
      </c>
      <c r="O1266" s="184" t="str">
        <f>"["&amp;$C1266&amp;"]["&amp;$D1266&amp;"]["&amp;$F1266&amp;"]"</f>
        <v>[BaselineDataIssues][0][BaselineDataIssues]</v>
      </c>
    </row>
    <row r="1267" spans="1:15" x14ac:dyDescent="0.3">
      <c r="A1267" t="s">
        <v>1793</v>
      </c>
      <c r="B1267" t="s">
        <v>2207</v>
      </c>
      <c r="C1267" t="s">
        <v>2208</v>
      </c>
      <c r="D1267">
        <v>0</v>
      </c>
      <c r="E1267" t="s">
        <v>1447</v>
      </c>
      <c r="F1267" t="s">
        <v>2208</v>
      </c>
      <c r="G1267" t="s">
        <v>1833</v>
      </c>
      <c r="H1267" t="s">
        <v>1799</v>
      </c>
      <c r="I1267" t="s">
        <v>1799</v>
      </c>
      <c r="J1267" t="s">
        <v>1799</v>
      </c>
      <c r="K1267" t="s">
        <v>1799</v>
      </c>
      <c r="L1267" t="s">
        <v>1447</v>
      </c>
      <c r="M1267" t="s">
        <v>1799</v>
      </c>
      <c r="N1267" t="s">
        <v>1799</v>
      </c>
      <c r="O1267" s="184" t="str">
        <f>"["&amp;$C1267&amp;"]["&amp;$D1267&amp;"]["&amp;$F1267&amp;"]"</f>
        <v>[AdditionalParametersRequired][0][AdditionalParametersRequired]</v>
      </c>
    </row>
    <row r="1268" spans="1:15" x14ac:dyDescent="0.3">
      <c r="A1268" t="s">
        <v>1793</v>
      </c>
      <c r="B1268" t="s">
        <v>2209</v>
      </c>
      <c r="C1268" t="s">
        <v>2210</v>
      </c>
      <c r="D1268">
        <v>0</v>
      </c>
      <c r="E1268" t="s">
        <v>1447</v>
      </c>
      <c r="F1268" t="s">
        <v>2210</v>
      </c>
      <c r="G1268" t="s">
        <v>1833</v>
      </c>
      <c r="H1268" t="s">
        <v>1799</v>
      </c>
      <c r="I1268" t="s">
        <v>1799</v>
      </c>
      <c r="J1268" t="s">
        <v>1799</v>
      </c>
      <c r="K1268" t="s">
        <v>1799</v>
      </c>
      <c r="L1268" t="s">
        <v>1447</v>
      </c>
      <c r="M1268" t="s">
        <v>1799</v>
      </c>
      <c r="N1268" t="s">
        <v>1799</v>
      </c>
      <c r="O1268" s="184" t="str">
        <f>"["&amp;$C1268&amp;"]["&amp;$D1268&amp;"]["&amp;$F1268&amp;"]"</f>
        <v>[PreliminaryActivityRequired][0][PreliminaryActivityRequired]</v>
      </c>
    </row>
    <row r="1269" spans="1:15" x14ac:dyDescent="0.3">
      <c r="A1269" t="s">
        <v>1793</v>
      </c>
      <c r="B1269" t="s">
        <v>2211</v>
      </c>
      <c r="C1269" t="s">
        <v>2212</v>
      </c>
      <c r="D1269">
        <v>1</v>
      </c>
      <c r="E1269" t="s">
        <v>1447</v>
      </c>
      <c r="F1269" t="s">
        <v>2213</v>
      </c>
      <c r="G1269" t="s">
        <v>1922</v>
      </c>
      <c r="H1269" t="s">
        <v>1799</v>
      </c>
      <c r="I1269" t="s">
        <v>1799</v>
      </c>
      <c r="J1269">
        <v>3</v>
      </c>
      <c r="K1269" t="s">
        <v>1799</v>
      </c>
      <c r="L1269" t="s">
        <v>1799</v>
      </c>
      <c r="M1269" t="s">
        <v>1799</v>
      </c>
      <c r="N1269" t="s">
        <v>1799</v>
      </c>
      <c r="O1269" s="184" t="str">
        <f>"["&amp;$C1269&amp;"]["&amp;$D1269&amp;"]["&amp;$F1269&amp;"]"</f>
        <v>[S08_PenaltiesAllocation][1][PrisonMax]</v>
      </c>
    </row>
    <row r="1270" spans="1:15" x14ac:dyDescent="0.3">
      <c r="A1270" t="s">
        <v>1793</v>
      </c>
      <c r="B1270" t="s">
        <v>2211</v>
      </c>
      <c r="C1270" t="s">
        <v>2212</v>
      </c>
      <c r="D1270">
        <v>2</v>
      </c>
      <c r="E1270" t="s">
        <v>1447</v>
      </c>
      <c r="F1270" t="s">
        <v>2213</v>
      </c>
      <c r="G1270" t="s">
        <v>1922</v>
      </c>
      <c r="H1270" t="s">
        <v>1799</v>
      </c>
      <c r="I1270" t="s">
        <v>1799</v>
      </c>
      <c r="J1270">
        <v>3</v>
      </c>
      <c r="K1270" t="s">
        <v>1799</v>
      </c>
      <c r="L1270" t="s">
        <v>1799</v>
      </c>
      <c r="M1270" t="s">
        <v>1799</v>
      </c>
      <c r="N1270" t="s">
        <v>1799</v>
      </c>
      <c r="O1270" s="184" t="str">
        <f>"["&amp;$C1270&amp;"]["&amp;$D1270&amp;"]["&amp;$F1270&amp;"]"</f>
        <v>[S08_PenaltiesAllocation][2][PrisonMax]</v>
      </c>
    </row>
    <row r="1271" spans="1:15" x14ac:dyDescent="0.3">
      <c r="A1271" t="s">
        <v>1793</v>
      </c>
      <c r="B1271" t="s">
        <v>2211</v>
      </c>
      <c r="C1271" t="s">
        <v>2212</v>
      </c>
      <c r="D1271">
        <v>3</v>
      </c>
      <c r="E1271" t="s">
        <v>1447</v>
      </c>
      <c r="F1271" t="s">
        <v>2213</v>
      </c>
      <c r="G1271" t="s">
        <v>1922</v>
      </c>
      <c r="H1271" t="s">
        <v>1799</v>
      </c>
      <c r="I1271" t="s">
        <v>1799</v>
      </c>
      <c r="J1271">
        <v>3</v>
      </c>
      <c r="K1271" t="s">
        <v>1799</v>
      </c>
      <c r="L1271" t="s">
        <v>1799</v>
      </c>
      <c r="M1271" t="s">
        <v>1799</v>
      </c>
      <c r="N1271" t="s">
        <v>1799</v>
      </c>
      <c r="O1271" s="184" t="str">
        <f>"["&amp;$C1271&amp;"]["&amp;$D1271&amp;"]["&amp;$F1271&amp;"]"</f>
        <v>[S08_PenaltiesAllocation][3][PrisonMax]</v>
      </c>
    </row>
    <row r="1272" spans="1:15" x14ac:dyDescent="0.3">
      <c r="A1272" t="s">
        <v>1793</v>
      </c>
      <c r="B1272" t="s">
        <v>2211</v>
      </c>
      <c r="C1272" t="s">
        <v>2212</v>
      </c>
      <c r="D1272">
        <v>4</v>
      </c>
      <c r="E1272" t="s">
        <v>1447</v>
      </c>
      <c r="F1272" t="s">
        <v>2213</v>
      </c>
      <c r="G1272" t="s">
        <v>1922</v>
      </c>
      <c r="H1272" t="s">
        <v>1799</v>
      </c>
      <c r="I1272" t="s">
        <v>1799</v>
      </c>
      <c r="J1272">
        <v>3</v>
      </c>
      <c r="K1272" t="s">
        <v>1799</v>
      </c>
      <c r="L1272" t="s">
        <v>1799</v>
      </c>
      <c r="M1272" t="s">
        <v>1799</v>
      </c>
      <c r="N1272" t="s">
        <v>1799</v>
      </c>
      <c r="O1272" s="184" t="str">
        <f>"["&amp;$C1272&amp;"]["&amp;$D1272&amp;"]["&amp;$F1272&amp;"]"</f>
        <v>[S08_PenaltiesAllocation][4][PrisonMax]</v>
      </c>
    </row>
    <row r="1273" spans="1:15" x14ac:dyDescent="0.3">
      <c r="A1273" t="s">
        <v>1793</v>
      </c>
      <c r="B1273" t="s">
        <v>2214</v>
      </c>
      <c r="C1273" t="s">
        <v>2215</v>
      </c>
      <c r="D1273">
        <v>1</v>
      </c>
      <c r="E1273" t="s">
        <v>1447</v>
      </c>
      <c r="F1273" t="s">
        <v>2216</v>
      </c>
      <c r="G1273" t="s">
        <v>1922</v>
      </c>
      <c r="H1273" t="s">
        <v>1799</v>
      </c>
      <c r="I1273" t="s">
        <v>1799</v>
      </c>
      <c r="J1273">
        <v>0</v>
      </c>
      <c r="K1273" t="s">
        <v>1799</v>
      </c>
      <c r="L1273" t="s">
        <v>1799</v>
      </c>
      <c r="M1273" t="s">
        <v>1799</v>
      </c>
      <c r="N1273" t="s">
        <v>1799</v>
      </c>
      <c r="O1273" s="184" t="str">
        <f>"["&amp;$C1273&amp;"]["&amp;$D1273&amp;"]["&amp;$F1273&amp;"]"</f>
        <v>[S08_InfringementsIncurredAllocation][1][ActualFines]</v>
      </c>
    </row>
    <row r="1274" spans="1:15" x14ac:dyDescent="0.3">
      <c r="A1274" t="s">
        <v>1793</v>
      </c>
      <c r="B1274" t="s">
        <v>2214</v>
      </c>
      <c r="C1274" t="s">
        <v>2215</v>
      </c>
      <c r="D1274">
        <v>1</v>
      </c>
      <c r="E1274" t="s">
        <v>1447</v>
      </c>
      <c r="F1274" t="s">
        <v>2217</v>
      </c>
      <c r="G1274" t="s">
        <v>1922</v>
      </c>
      <c r="H1274" t="s">
        <v>1799</v>
      </c>
      <c r="I1274" t="s">
        <v>1799</v>
      </c>
      <c r="J1274">
        <v>0</v>
      </c>
      <c r="K1274" t="s">
        <v>1799</v>
      </c>
      <c r="L1274" t="s">
        <v>1799</v>
      </c>
      <c r="M1274" t="s">
        <v>1799</v>
      </c>
      <c r="N1274" t="s">
        <v>1799</v>
      </c>
      <c r="O1274" s="184" t="str">
        <f>"["&amp;$C1274&amp;"]["&amp;$D1274&amp;"]["&amp;$F1274&amp;"]"</f>
        <v>[S08_InfringementsIncurredAllocation][1][ActualImprisonment]</v>
      </c>
    </row>
    <row r="1275" spans="1:15" x14ac:dyDescent="0.3">
      <c r="A1275" t="s">
        <v>1793</v>
      </c>
      <c r="B1275" t="s">
        <v>2214</v>
      </c>
      <c r="C1275" t="s">
        <v>2215</v>
      </c>
      <c r="D1275">
        <v>1</v>
      </c>
      <c r="E1275" t="s">
        <v>1447</v>
      </c>
      <c r="F1275" t="s">
        <v>2218</v>
      </c>
      <c r="G1275" t="s">
        <v>1797</v>
      </c>
      <c r="H1275" t="s">
        <v>2219</v>
      </c>
      <c r="I1275" t="s">
        <v>1799</v>
      </c>
      <c r="J1275" t="s">
        <v>1799</v>
      </c>
      <c r="K1275" t="s">
        <v>1799</v>
      </c>
      <c r="L1275" t="s">
        <v>1799</v>
      </c>
      <c r="M1275" t="s">
        <v>1799</v>
      </c>
      <c r="N1275" t="s">
        <v>1799</v>
      </c>
      <c r="O1275" s="184" t="str">
        <f>"["&amp;$C1275&amp;"]["&amp;$D1275&amp;"]["&amp;$F1275&amp;"]"</f>
        <v>[S08_InfringementsIncurredAllocation][1][ACtualOtherPenalties]</v>
      </c>
    </row>
    <row r="1276" spans="1:15" x14ac:dyDescent="0.3">
      <c r="A1276" t="s">
        <v>1793</v>
      </c>
      <c r="B1276" t="s">
        <v>2214</v>
      </c>
      <c r="C1276" t="s">
        <v>2215</v>
      </c>
      <c r="D1276">
        <v>1</v>
      </c>
      <c r="E1276" t="s">
        <v>1447</v>
      </c>
      <c r="F1276" t="s">
        <v>2220</v>
      </c>
      <c r="G1276" t="s">
        <v>1833</v>
      </c>
      <c r="H1276" t="s">
        <v>1799</v>
      </c>
      <c r="I1276" t="s">
        <v>1799</v>
      </c>
      <c r="J1276" t="s">
        <v>1799</v>
      </c>
      <c r="K1276" t="s">
        <v>1799</v>
      </c>
      <c r="L1276" t="s">
        <v>1447</v>
      </c>
      <c r="M1276" t="s">
        <v>1799</v>
      </c>
      <c r="N1276" t="s">
        <v>1799</v>
      </c>
      <c r="O1276" s="184" t="str">
        <f>"["&amp;$C1276&amp;"]["&amp;$D1276&amp;"]["&amp;$F1276&amp;"]"</f>
        <v>[S08_InfringementsIncurredAllocation][1][OngoingProceedings]</v>
      </c>
    </row>
    <row r="1277" spans="1:15" x14ac:dyDescent="0.3">
      <c r="A1277" t="s">
        <v>1793</v>
      </c>
      <c r="B1277" t="s">
        <v>2214</v>
      </c>
      <c r="C1277" t="s">
        <v>2215</v>
      </c>
      <c r="D1277">
        <v>1</v>
      </c>
      <c r="E1277" t="s">
        <v>1447</v>
      </c>
      <c r="F1277" t="s">
        <v>2221</v>
      </c>
      <c r="G1277" t="s">
        <v>1833</v>
      </c>
      <c r="H1277" t="s">
        <v>1799</v>
      </c>
      <c r="I1277" t="s">
        <v>1799</v>
      </c>
      <c r="J1277" t="s">
        <v>1799</v>
      </c>
      <c r="K1277" t="s">
        <v>1799</v>
      </c>
      <c r="L1277" t="s">
        <v>1447</v>
      </c>
      <c r="M1277" t="s">
        <v>1799</v>
      </c>
      <c r="N1277" t="s">
        <v>1799</v>
      </c>
      <c r="O1277" s="184" t="str">
        <f>"["&amp;$C1277&amp;"]["&amp;$D1277&amp;"]["&amp;$F1277&amp;"]"</f>
        <v>[S08_InfringementsIncurredAllocation][1][PenaltyEnforcedWithinPeriod]</v>
      </c>
    </row>
    <row r="1278" spans="1:15" x14ac:dyDescent="0.3">
      <c r="A1278" t="s">
        <v>1793</v>
      </c>
      <c r="B1278" t="s">
        <v>2222</v>
      </c>
      <c r="C1278" t="s">
        <v>2223</v>
      </c>
      <c r="D1278">
        <v>0</v>
      </c>
      <c r="E1278" t="s">
        <v>1447</v>
      </c>
      <c r="F1278" t="s">
        <v>2223</v>
      </c>
      <c r="G1278" t="s">
        <v>1833</v>
      </c>
      <c r="H1278" t="s">
        <v>1799</v>
      </c>
      <c r="I1278" t="s">
        <v>1799</v>
      </c>
      <c r="J1278" t="s">
        <v>1799</v>
      </c>
      <c r="K1278" t="s">
        <v>1799</v>
      </c>
      <c r="L1278" t="s">
        <v>1419</v>
      </c>
      <c r="M1278" t="s">
        <v>1799</v>
      </c>
      <c r="N1278" t="s">
        <v>1799</v>
      </c>
      <c r="O1278" s="184" t="str">
        <f>"["&amp;$C1278&amp;"]["&amp;$D1278&amp;"]["&amp;$F1278&amp;"]"</f>
        <v>[InstallationOperatorFees][0][InstallationOperatorFees]</v>
      </c>
    </row>
    <row r="1279" spans="1:15" x14ac:dyDescent="0.3">
      <c r="A1279" t="s">
        <v>1793</v>
      </c>
      <c r="B1279" t="s">
        <v>2222</v>
      </c>
      <c r="C1279" t="s">
        <v>2224</v>
      </c>
      <c r="D1279">
        <v>1</v>
      </c>
      <c r="E1279" t="s">
        <v>1447</v>
      </c>
      <c r="F1279" t="s">
        <v>2225</v>
      </c>
      <c r="G1279" t="s">
        <v>1922</v>
      </c>
      <c r="H1279" t="s">
        <v>1799</v>
      </c>
      <c r="I1279" t="s">
        <v>1799</v>
      </c>
      <c r="J1279">
        <v>3356</v>
      </c>
      <c r="K1279" t="s">
        <v>1799</v>
      </c>
      <c r="L1279" t="s">
        <v>1799</v>
      </c>
      <c r="M1279" t="s">
        <v>1799</v>
      </c>
      <c r="N1279" t="s">
        <v>1799</v>
      </c>
      <c r="O1279" s="184" t="str">
        <f>"["&amp;$C1279&amp;"]["&amp;$D1279&amp;"]["&amp;$F1279&amp;"]"</f>
        <v>[S09_InstallationOperatorFeesPermits][1][FeesAmount]</v>
      </c>
    </row>
    <row r="1280" spans="1:15" x14ac:dyDescent="0.3">
      <c r="A1280" t="s">
        <v>1793</v>
      </c>
      <c r="B1280" t="s">
        <v>2222</v>
      </c>
      <c r="C1280" t="s">
        <v>2224</v>
      </c>
      <c r="D1280">
        <v>2</v>
      </c>
      <c r="E1280" t="s">
        <v>1447</v>
      </c>
      <c r="F1280" t="s">
        <v>2225</v>
      </c>
      <c r="G1280" t="s">
        <v>1922</v>
      </c>
      <c r="H1280" t="s">
        <v>1799</v>
      </c>
      <c r="I1280" t="s">
        <v>1799</v>
      </c>
      <c r="J1280">
        <v>1007</v>
      </c>
      <c r="K1280" t="s">
        <v>1799</v>
      </c>
      <c r="L1280" t="s">
        <v>1799</v>
      </c>
      <c r="M1280" t="s">
        <v>1799</v>
      </c>
      <c r="N1280" t="s">
        <v>1799</v>
      </c>
      <c r="O1280" s="184" t="str">
        <f>"["&amp;$C1280&amp;"]["&amp;$D1280&amp;"]["&amp;$F1280&amp;"]"</f>
        <v>[S09_InstallationOperatorFeesPermits][2][FeesAmount]</v>
      </c>
    </row>
    <row r="1281" spans="1:15" x14ac:dyDescent="0.3">
      <c r="A1281" t="s">
        <v>1793</v>
      </c>
      <c r="B1281" t="s">
        <v>2222</v>
      </c>
      <c r="C1281" t="s">
        <v>2224</v>
      </c>
      <c r="D1281">
        <v>3</v>
      </c>
      <c r="E1281" t="s">
        <v>1447</v>
      </c>
      <c r="F1281" t="s">
        <v>2225</v>
      </c>
      <c r="G1281" t="s">
        <v>1922</v>
      </c>
      <c r="H1281" t="s">
        <v>1799</v>
      </c>
      <c r="I1281" t="s">
        <v>1799</v>
      </c>
      <c r="J1281">
        <v>0</v>
      </c>
      <c r="K1281" t="s">
        <v>1799</v>
      </c>
      <c r="L1281" t="s">
        <v>1799</v>
      </c>
      <c r="M1281" t="s">
        <v>1799</v>
      </c>
      <c r="N1281" t="s">
        <v>1799</v>
      </c>
      <c r="O1281" s="184" t="str">
        <f>"["&amp;$C1281&amp;"]["&amp;$D1281&amp;"]["&amp;$F1281&amp;"]"</f>
        <v>[S09_InstallationOperatorFeesPermits][3][FeesAmount]</v>
      </c>
    </row>
    <row r="1282" spans="1:15" x14ac:dyDescent="0.3">
      <c r="A1282" t="s">
        <v>1793</v>
      </c>
      <c r="B1282" t="s">
        <v>2222</v>
      </c>
      <c r="C1282" t="s">
        <v>2224</v>
      </c>
      <c r="D1282">
        <v>4</v>
      </c>
      <c r="E1282" t="s">
        <v>1447</v>
      </c>
      <c r="F1282" t="s">
        <v>2225</v>
      </c>
      <c r="G1282" t="s">
        <v>1922</v>
      </c>
      <c r="H1282" t="s">
        <v>1799</v>
      </c>
      <c r="I1282" t="s">
        <v>1799</v>
      </c>
      <c r="J1282">
        <v>0</v>
      </c>
      <c r="K1282" t="s">
        <v>1799</v>
      </c>
      <c r="L1282" t="s">
        <v>1799</v>
      </c>
      <c r="M1282" t="s">
        <v>1799</v>
      </c>
      <c r="N1282" t="s">
        <v>1799</v>
      </c>
      <c r="O1282" s="184" t="str">
        <f>"["&amp;$C1282&amp;"]["&amp;$D1282&amp;"]["&amp;$F1282&amp;"]"</f>
        <v>[S09_InstallationOperatorFeesPermits][4][FeesAmount]</v>
      </c>
    </row>
    <row r="1283" spans="1:15" x14ac:dyDescent="0.3">
      <c r="A1283" t="s">
        <v>1793</v>
      </c>
      <c r="B1283" t="s">
        <v>2222</v>
      </c>
      <c r="C1283" t="s">
        <v>2224</v>
      </c>
      <c r="D1283">
        <v>5</v>
      </c>
      <c r="E1283" t="s">
        <v>1447</v>
      </c>
      <c r="F1283" t="s">
        <v>2225</v>
      </c>
      <c r="G1283" t="s">
        <v>1922</v>
      </c>
      <c r="H1283" t="s">
        <v>1799</v>
      </c>
      <c r="I1283" t="s">
        <v>1799</v>
      </c>
      <c r="J1283">
        <v>0</v>
      </c>
      <c r="K1283" t="s">
        <v>1799</v>
      </c>
      <c r="L1283" t="s">
        <v>1799</v>
      </c>
      <c r="M1283" t="s">
        <v>1799</v>
      </c>
      <c r="N1283" t="s">
        <v>1799</v>
      </c>
      <c r="O1283" s="184" t="str">
        <f>"["&amp;$C1283&amp;"]["&amp;$D1283&amp;"]["&amp;$F1283&amp;"]"</f>
        <v>[S09_InstallationOperatorFeesPermits][5][FeesAmount]</v>
      </c>
    </row>
    <row r="1284" spans="1:15" x14ac:dyDescent="0.3">
      <c r="A1284" t="s">
        <v>1793</v>
      </c>
      <c r="B1284" t="s">
        <v>2222</v>
      </c>
      <c r="C1284" t="s">
        <v>2226</v>
      </c>
      <c r="D1284">
        <v>1</v>
      </c>
      <c r="E1284" t="s">
        <v>1447</v>
      </c>
      <c r="F1284" t="s">
        <v>2225</v>
      </c>
      <c r="G1284" t="s">
        <v>1922</v>
      </c>
      <c r="H1284" t="s">
        <v>1799</v>
      </c>
      <c r="I1284" t="s">
        <v>1799</v>
      </c>
      <c r="J1284">
        <v>0</v>
      </c>
      <c r="K1284" t="s">
        <v>1799</v>
      </c>
      <c r="L1284" t="s">
        <v>1799</v>
      </c>
      <c r="M1284" t="s">
        <v>1799</v>
      </c>
      <c r="N1284" t="s">
        <v>1799</v>
      </c>
      <c r="O1284" s="184" t="str">
        <f>"["&amp;$C1284&amp;"]["&amp;$D1284&amp;"]["&amp;$F1284&amp;"]"</f>
        <v>[S09_InstallationOperatorFeesSubsistence][1][FeesAmount]</v>
      </c>
    </row>
    <row r="1285" spans="1:15" x14ac:dyDescent="0.3">
      <c r="A1285" t="s">
        <v>1793</v>
      </c>
      <c r="B1285" t="s">
        <v>2227</v>
      </c>
      <c r="C1285" t="s">
        <v>2228</v>
      </c>
      <c r="D1285">
        <v>0</v>
      </c>
      <c r="E1285" t="s">
        <v>1447</v>
      </c>
      <c r="F1285" t="s">
        <v>2228</v>
      </c>
      <c r="G1285" t="s">
        <v>1833</v>
      </c>
      <c r="H1285" t="s">
        <v>1799</v>
      </c>
      <c r="I1285" t="s">
        <v>1799</v>
      </c>
      <c r="J1285" t="s">
        <v>1799</v>
      </c>
      <c r="K1285" t="s">
        <v>1799</v>
      </c>
      <c r="L1285" t="s">
        <v>1419</v>
      </c>
      <c r="M1285" t="s">
        <v>1799</v>
      </c>
      <c r="N1285" t="s">
        <v>1799</v>
      </c>
      <c r="O1285" s="184" t="str">
        <f>"["&amp;$C1285&amp;"]["&amp;$D1285&amp;"]["&amp;$F1285&amp;"]"</f>
        <v>[AircraftOperatorFees][0][AircraftOperatorFees]</v>
      </c>
    </row>
    <row r="1286" spans="1:15" x14ac:dyDescent="0.3">
      <c r="A1286" t="s">
        <v>1793</v>
      </c>
      <c r="B1286" t="s">
        <v>2227</v>
      </c>
      <c r="C1286" t="s">
        <v>2229</v>
      </c>
      <c r="D1286">
        <v>1</v>
      </c>
      <c r="E1286" t="s">
        <v>1447</v>
      </c>
      <c r="F1286" t="s">
        <v>2225</v>
      </c>
      <c r="G1286" t="s">
        <v>1922</v>
      </c>
      <c r="H1286" t="s">
        <v>1799</v>
      </c>
      <c r="I1286" t="s">
        <v>1799</v>
      </c>
      <c r="J1286">
        <v>3000</v>
      </c>
      <c r="K1286" t="s">
        <v>1799</v>
      </c>
      <c r="L1286" t="s">
        <v>1799</v>
      </c>
      <c r="M1286" t="s">
        <v>1799</v>
      </c>
      <c r="N1286" t="s">
        <v>1799</v>
      </c>
      <c r="O1286" s="184" t="str">
        <f>"["&amp;$C1286&amp;"]["&amp;$D1286&amp;"]["&amp;$F1286&amp;"]"</f>
        <v>[S09_AircraftOperatorFeesMonitoringPlans][1][FeesAmount]</v>
      </c>
    </row>
    <row r="1287" spans="1:15" x14ac:dyDescent="0.3">
      <c r="A1287" t="s">
        <v>1793</v>
      </c>
      <c r="B1287" t="s">
        <v>2227</v>
      </c>
      <c r="C1287" t="s">
        <v>2229</v>
      </c>
      <c r="D1287">
        <v>2</v>
      </c>
      <c r="E1287" t="s">
        <v>1447</v>
      </c>
      <c r="F1287" t="s">
        <v>2225</v>
      </c>
      <c r="G1287" t="s">
        <v>1922</v>
      </c>
      <c r="H1287" t="s">
        <v>1799</v>
      </c>
      <c r="I1287" t="s">
        <v>1799</v>
      </c>
      <c r="J1287">
        <v>800</v>
      </c>
      <c r="K1287" t="s">
        <v>1799</v>
      </c>
      <c r="L1287" t="s">
        <v>1799</v>
      </c>
      <c r="M1287" t="s">
        <v>1799</v>
      </c>
      <c r="N1287" t="s">
        <v>1799</v>
      </c>
      <c r="O1287" s="184" t="str">
        <f>"["&amp;$C1287&amp;"]["&amp;$D1287&amp;"]["&amp;$F1287&amp;"]"</f>
        <v>[S09_AircraftOperatorFeesMonitoringPlans][2][FeesAmount]</v>
      </c>
    </row>
    <row r="1288" spans="1:15" x14ac:dyDescent="0.3">
      <c r="A1288" t="s">
        <v>1793</v>
      </c>
      <c r="B1288" t="s">
        <v>2227</v>
      </c>
      <c r="C1288" t="s">
        <v>2229</v>
      </c>
      <c r="D1288">
        <v>3</v>
      </c>
      <c r="E1288" t="s">
        <v>1447</v>
      </c>
      <c r="F1288" t="s">
        <v>2225</v>
      </c>
      <c r="G1288" t="s">
        <v>1922</v>
      </c>
      <c r="H1288" t="s">
        <v>1799</v>
      </c>
      <c r="I1288" t="s">
        <v>1799</v>
      </c>
      <c r="J1288">
        <v>0</v>
      </c>
      <c r="K1288" t="s">
        <v>1799</v>
      </c>
      <c r="L1288" t="s">
        <v>1799</v>
      </c>
      <c r="M1288" t="s">
        <v>1799</v>
      </c>
      <c r="N1288" t="s">
        <v>1799</v>
      </c>
      <c r="O1288" s="184" t="str">
        <f>"["&amp;$C1288&amp;"]["&amp;$D1288&amp;"]["&amp;$F1288&amp;"]"</f>
        <v>[S09_AircraftOperatorFeesMonitoringPlans][3][FeesAmount]</v>
      </c>
    </row>
    <row r="1289" spans="1:15" x14ac:dyDescent="0.3">
      <c r="A1289" t="s">
        <v>1793</v>
      </c>
      <c r="B1289" t="s">
        <v>2227</v>
      </c>
      <c r="C1289" t="s">
        <v>2229</v>
      </c>
      <c r="D1289">
        <v>4</v>
      </c>
      <c r="E1289" t="s">
        <v>1447</v>
      </c>
      <c r="F1289" t="s">
        <v>2225</v>
      </c>
      <c r="G1289" t="s">
        <v>1922</v>
      </c>
      <c r="H1289" t="s">
        <v>1799</v>
      </c>
      <c r="I1289" t="s">
        <v>1799</v>
      </c>
      <c r="J1289">
        <v>0</v>
      </c>
      <c r="K1289" t="s">
        <v>1799</v>
      </c>
      <c r="L1289" t="s">
        <v>1799</v>
      </c>
      <c r="M1289" t="s">
        <v>1799</v>
      </c>
      <c r="N1289" t="s">
        <v>1799</v>
      </c>
      <c r="O1289" s="184" t="str">
        <f>"["&amp;$C1289&amp;"]["&amp;$D1289&amp;"]["&amp;$F1289&amp;"]"</f>
        <v>[S09_AircraftOperatorFeesMonitoringPlans][4][FeesAmount]</v>
      </c>
    </row>
    <row r="1290" spans="1:15" x14ac:dyDescent="0.3">
      <c r="A1290" t="s">
        <v>1793</v>
      </c>
      <c r="B1290" t="s">
        <v>2227</v>
      </c>
      <c r="C1290" t="s">
        <v>2229</v>
      </c>
      <c r="D1290">
        <v>5</v>
      </c>
      <c r="E1290" t="s">
        <v>1447</v>
      </c>
      <c r="F1290" t="s">
        <v>2225</v>
      </c>
      <c r="G1290" t="s">
        <v>1922</v>
      </c>
      <c r="H1290" t="s">
        <v>1799</v>
      </c>
      <c r="I1290" t="s">
        <v>1799</v>
      </c>
      <c r="J1290">
        <v>0</v>
      </c>
      <c r="K1290" t="s">
        <v>1799</v>
      </c>
      <c r="L1290" t="s">
        <v>1799</v>
      </c>
      <c r="M1290" t="s">
        <v>1799</v>
      </c>
      <c r="N1290" t="s">
        <v>1799</v>
      </c>
      <c r="O1290" s="184" t="str">
        <f>"["&amp;$C1290&amp;"]["&amp;$D1290&amp;"]["&amp;$F1290&amp;"]"</f>
        <v>[S09_AircraftOperatorFeesMonitoringPlans][5][FeesAmount]</v>
      </c>
    </row>
    <row r="1291" spans="1:15" x14ac:dyDescent="0.3">
      <c r="A1291" t="s">
        <v>1793</v>
      </c>
      <c r="B1291" t="s">
        <v>2227</v>
      </c>
      <c r="C1291" t="s">
        <v>2229</v>
      </c>
      <c r="D1291">
        <v>6</v>
      </c>
      <c r="E1291" t="s">
        <v>1447</v>
      </c>
      <c r="F1291" t="s">
        <v>2225</v>
      </c>
      <c r="G1291" t="s">
        <v>1922</v>
      </c>
      <c r="H1291" t="s">
        <v>1799</v>
      </c>
      <c r="I1291" t="s">
        <v>1799</v>
      </c>
      <c r="J1291">
        <v>0</v>
      </c>
      <c r="K1291" t="s">
        <v>1799</v>
      </c>
      <c r="L1291" t="s">
        <v>1799</v>
      </c>
      <c r="M1291" t="s">
        <v>1799</v>
      </c>
      <c r="N1291" t="s">
        <v>1799</v>
      </c>
      <c r="O1291" s="184" t="str">
        <f>"["&amp;$C1291&amp;"]["&amp;$D1291&amp;"]["&amp;$F1291&amp;"]"</f>
        <v>[S09_AircraftOperatorFeesMonitoringPlans][6][FeesAmount]</v>
      </c>
    </row>
    <row r="1292" spans="1:15" x14ac:dyDescent="0.3">
      <c r="A1292" t="s">
        <v>1793</v>
      </c>
      <c r="B1292" t="s">
        <v>2227</v>
      </c>
      <c r="C1292" t="s">
        <v>2230</v>
      </c>
      <c r="D1292">
        <v>1</v>
      </c>
      <c r="E1292" t="s">
        <v>1447</v>
      </c>
      <c r="F1292" t="s">
        <v>2225</v>
      </c>
      <c r="G1292" t="s">
        <v>1922</v>
      </c>
      <c r="H1292" t="s">
        <v>1799</v>
      </c>
      <c r="I1292" t="s">
        <v>1799</v>
      </c>
      <c r="J1292">
        <v>0</v>
      </c>
      <c r="K1292" t="s">
        <v>1799</v>
      </c>
      <c r="L1292" t="s">
        <v>1799</v>
      </c>
      <c r="M1292" t="s">
        <v>1799</v>
      </c>
      <c r="N1292" t="s">
        <v>1799</v>
      </c>
      <c r="O1292" s="184" t="str">
        <f>"["&amp;$C1292&amp;"]["&amp;$D1292&amp;"]["&amp;$F1292&amp;"]"</f>
        <v>[S09_AircraftOperatorFeesSubsistence][1][FeesAmount]</v>
      </c>
    </row>
    <row r="1293" spans="1:15" x14ac:dyDescent="0.3">
      <c r="A1293" t="s">
        <v>1793</v>
      </c>
      <c r="B1293" t="s">
        <v>2227</v>
      </c>
      <c r="C1293" t="s">
        <v>2230</v>
      </c>
      <c r="D1293">
        <v>2</v>
      </c>
      <c r="E1293" t="s">
        <v>1419</v>
      </c>
      <c r="F1293" t="s">
        <v>2225</v>
      </c>
      <c r="G1293" t="s">
        <v>1922</v>
      </c>
      <c r="H1293" t="s">
        <v>1799</v>
      </c>
      <c r="I1293" t="s">
        <v>1799</v>
      </c>
      <c r="J1293">
        <v>600</v>
      </c>
      <c r="K1293" t="s">
        <v>1799</v>
      </c>
      <c r="L1293" t="s">
        <v>1799</v>
      </c>
      <c r="M1293" t="s">
        <v>1799</v>
      </c>
      <c r="N1293" t="s">
        <v>1799</v>
      </c>
      <c r="O1293" s="184" t="str">
        <f>"["&amp;$C1293&amp;"]["&amp;$D1293&amp;"]["&amp;$F1293&amp;"]"</f>
        <v>[S09_AircraftOperatorFeesSubsistence][2][FeesAmount]</v>
      </c>
    </row>
    <row r="1294" spans="1:15" x14ac:dyDescent="0.3">
      <c r="A1294" t="s">
        <v>1793</v>
      </c>
      <c r="B1294" t="s">
        <v>2227</v>
      </c>
      <c r="C1294" t="s">
        <v>2230</v>
      </c>
      <c r="D1294">
        <v>2</v>
      </c>
      <c r="E1294" t="s">
        <v>1419</v>
      </c>
      <c r="F1294" t="s">
        <v>2231</v>
      </c>
      <c r="G1294" t="s">
        <v>1861</v>
      </c>
      <c r="H1294" t="s">
        <v>1799</v>
      </c>
      <c r="I1294" t="s">
        <v>1799</v>
      </c>
      <c r="J1294" t="s">
        <v>1799</v>
      </c>
      <c r="K1294" t="s">
        <v>2232</v>
      </c>
      <c r="L1294" t="s">
        <v>1799</v>
      </c>
      <c r="M1294" t="s">
        <v>1799</v>
      </c>
      <c r="N1294" t="s">
        <v>1799</v>
      </c>
      <c r="O1294" s="184" t="str">
        <f>"["&amp;$C1294&amp;"]["&amp;$D1294&amp;"]["&amp;$F1294&amp;"]"</f>
        <v>[S09_AircraftOperatorFeesSubsistence][2][FeesOther]</v>
      </c>
    </row>
    <row r="1295" spans="1:15" x14ac:dyDescent="0.3">
      <c r="A1295" t="s">
        <v>1793</v>
      </c>
      <c r="B1295" t="s">
        <v>2227</v>
      </c>
      <c r="C1295" t="s">
        <v>2233</v>
      </c>
      <c r="D1295">
        <v>1</v>
      </c>
      <c r="E1295" t="s">
        <v>1447</v>
      </c>
      <c r="F1295" t="s">
        <v>2234</v>
      </c>
      <c r="G1295" t="s">
        <v>1797</v>
      </c>
      <c r="H1295" t="s">
        <v>2235</v>
      </c>
      <c r="I1295" t="s">
        <v>1799</v>
      </c>
      <c r="J1295" t="s">
        <v>1799</v>
      </c>
      <c r="K1295" t="s">
        <v>1799</v>
      </c>
      <c r="L1295" t="s">
        <v>1799</v>
      </c>
      <c r="M1295" t="s">
        <v>1799</v>
      </c>
      <c r="N1295" t="s">
        <v>1799</v>
      </c>
      <c r="O1295" s="184" t="str">
        <f>"["&amp;$C1295&amp;"]["&amp;$D1295&amp;"]["&amp;$F1295&amp;"]"</f>
        <v>[S09_RegistryAccountOneOffFees][1][OneOffFeeReason]</v>
      </c>
    </row>
    <row r="1296" spans="1:15" x14ac:dyDescent="0.3">
      <c r="A1296" t="s">
        <v>1793</v>
      </c>
      <c r="B1296" t="s">
        <v>2227</v>
      </c>
      <c r="C1296" t="s">
        <v>2233</v>
      </c>
      <c r="D1296">
        <v>1</v>
      </c>
      <c r="E1296" t="s">
        <v>1447</v>
      </c>
      <c r="F1296" t="s">
        <v>2236</v>
      </c>
      <c r="G1296" t="s">
        <v>1922</v>
      </c>
      <c r="H1296" t="s">
        <v>1799</v>
      </c>
      <c r="I1296" t="s">
        <v>1799</v>
      </c>
      <c r="J1296">
        <v>671</v>
      </c>
      <c r="K1296" t="s">
        <v>1799</v>
      </c>
      <c r="L1296" t="s">
        <v>1799</v>
      </c>
      <c r="M1296" t="s">
        <v>1799</v>
      </c>
      <c r="N1296" t="s">
        <v>1799</v>
      </c>
      <c r="O1296" s="184" t="str">
        <f>"["&amp;$C1296&amp;"]["&amp;$D1296&amp;"]["&amp;$F1296&amp;"]"</f>
        <v>[S09_RegistryAccountOneOffFees][1][OneOffFeeAmount]</v>
      </c>
    </row>
    <row r="1297" spans="1:15" x14ac:dyDescent="0.3">
      <c r="A1297" t="s">
        <v>1793</v>
      </c>
      <c r="B1297" t="s">
        <v>2227</v>
      </c>
      <c r="C1297" t="s">
        <v>2237</v>
      </c>
      <c r="D1297">
        <v>1</v>
      </c>
      <c r="E1297" t="s">
        <v>1447</v>
      </c>
      <c r="F1297" t="s">
        <v>2238</v>
      </c>
      <c r="G1297" t="s">
        <v>1797</v>
      </c>
      <c r="H1297" t="s">
        <v>2239</v>
      </c>
      <c r="I1297" t="s">
        <v>1799</v>
      </c>
      <c r="J1297" t="s">
        <v>1799</v>
      </c>
      <c r="K1297" t="s">
        <v>1799</v>
      </c>
      <c r="L1297" t="s">
        <v>1799</v>
      </c>
      <c r="M1297" t="s">
        <v>1799</v>
      </c>
      <c r="N1297" t="s">
        <v>1799</v>
      </c>
      <c r="O1297" s="184" t="str">
        <f>"["&amp;$C1297&amp;"]["&amp;$D1297&amp;"]["&amp;$F1297&amp;"]"</f>
        <v>[S09_RegistryAccountAnnualFees][1][AnnualFeeReason]</v>
      </c>
    </row>
    <row r="1298" spans="1:15" x14ac:dyDescent="0.3">
      <c r="A1298" t="s">
        <v>1793</v>
      </c>
      <c r="B1298" t="s">
        <v>2227</v>
      </c>
      <c r="C1298" t="s">
        <v>2237</v>
      </c>
      <c r="D1298">
        <v>1</v>
      </c>
      <c r="E1298" t="s">
        <v>1447</v>
      </c>
      <c r="F1298" t="s">
        <v>2240</v>
      </c>
      <c r="G1298" t="s">
        <v>1922</v>
      </c>
      <c r="H1298" t="s">
        <v>1799</v>
      </c>
      <c r="I1298" t="s">
        <v>1799</v>
      </c>
      <c r="J1298">
        <v>671</v>
      </c>
      <c r="K1298" t="s">
        <v>1799</v>
      </c>
      <c r="L1298" t="s">
        <v>1799</v>
      </c>
      <c r="M1298" t="s">
        <v>1799</v>
      </c>
      <c r="N1298" t="s">
        <v>1799</v>
      </c>
      <c r="O1298" s="184" t="str">
        <f>"["&amp;$C1298&amp;"]["&amp;$D1298&amp;"]["&amp;$F1298&amp;"]"</f>
        <v>[S09_RegistryAccountAnnualFees][1][AnnualFeeAmount]</v>
      </c>
    </row>
    <row r="1299" spans="1:15" x14ac:dyDescent="0.3">
      <c r="A1299" t="s">
        <v>1793</v>
      </c>
      <c r="B1299" t="s">
        <v>2241</v>
      </c>
      <c r="C1299" t="s">
        <v>2242</v>
      </c>
      <c r="D1299">
        <v>1</v>
      </c>
      <c r="E1299" t="s">
        <v>1447</v>
      </c>
      <c r="F1299" t="s">
        <v>2243</v>
      </c>
      <c r="G1299" t="s">
        <v>1833</v>
      </c>
      <c r="H1299" t="s">
        <v>1799</v>
      </c>
      <c r="I1299" t="s">
        <v>1799</v>
      </c>
      <c r="J1299" t="s">
        <v>1799</v>
      </c>
      <c r="K1299" t="s">
        <v>1799</v>
      </c>
      <c r="L1299" t="s">
        <v>1419</v>
      </c>
      <c r="M1299" t="s">
        <v>1799</v>
      </c>
      <c r="N1299" t="s">
        <v>1799</v>
      </c>
      <c r="O1299" s="184" t="str">
        <f>"["&amp;$C1299&amp;"]["&amp;$D1299&amp;"]["&amp;$F1299&amp;"]"</f>
        <v>[S10_InstallationsComplianceMeasures][1][ComplianceMeasuresYesNo]</v>
      </c>
    </row>
    <row r="1300" spans="1:15" x14ac:dyDescent="0.3">
      <c r="A1300" t="s">
        <v>1793</v>
      </c>
      <c r="B1300" t="s">
        <v>2241</v>
      </c>
      <c r="C1300" t="s">
        <v>2242</v>
      </c>
      <c r="D1300">
        <v>2</v>
      </c>
      <c r="E1300" t="s">
        <v>1447</v>
      </c>
      <c r="F1300" t="s">
        <v>2243</v>
      </c>
      <c r="G1300" t="s">
        <v>1833</v>
      </c>
      <c r="H1300" t="s">
        <v>1799</v>
      </c>
      <c r="I1300" t="s">
        <v>1799</v>
      </c>
      <c r="J1300" t="s">
        <v>1799</v>
      </c>
      <c r="K1300" t="s">
        <v>1799</v>
      </c>
      <c r="L1300" t="s">
        <v>1447</v>
      </c>
      <c r="M1300" t="s">
        <v>1799</v>
      </c>
      <c r="N1300" t="s">
        <v>1799</v>
      </c>
      <c r="O1300" s="184" t="str">
        <f>"["&amp;$C1300&amp;"]["&amp;$D1300&amp;"]["&amp;$F1300&amp;"]"</f>
        <v>[S10_InstallationsComplianceMeasures][2][ComplianceMeasuresYesNo]</v>
      </c>
    </row>
    <row r="1301" spans="1:15" x14ac:dyDescent="0.3">
      <c r="A1301" t="s">
        <v>1793</v>
      </c>
      <c r="B1301" t="s">
        <v>2241</v>
      </c>
      <c r="C1301" t="s">
        <v>2242</v>
      </c>
      <c r="D1301">
        <v>3</v>
      </c>
      <c r="E1301" t="s">
        <v>1447</v>
      </c>
      <c r="F1301" t="s">
        <v>2243</v>
      </c>
      <c r="G1301" t="s">
        <v>1833</v>
      </c>
      <c r="H1301" t="s">
        <v>1799</v>
      </c>
      <c r="I1301" t="s">
        <v>1799</v>
      </c>
      <c r="J1301" t="s">
        <v>1799</v>
      </c>
      <c r="K1301" t="s">
        <v>1799</v>
      </c>
      <c r="L1301" t="s">
        <v>1419</v>
      </c>
      <c r="M1301" t="s">
        <v>1799</v>
      </c>
      <c r="N1301" t="s">
        <v>1799</v>
      </c>
      <c r="O1301" s="184" t="str">
        <f>"["&amp;$C1301&amp;"]["&amp;$D1301&amp;"]["&amp;$F1301&amp;"]"</f>
        <v>[S10_InstallationsComplianceMeasures][3][ComplianceMeasuresYesNo]</v>
      </c>
    </row>
    <row r="1302" spans="1:15" x14ac:dyDescent="0.3">
      <c r="A1302" t="s">
        <v>1793</v>
      </c>
      <c r="B1302" t="s">
        <v>2241</v>
      </c>
      <c r="C1302" t="s">
        <v>2242</v>
      </c>
      <c r="D1302">
        <v>4</v>
      </c>
      <c r="E1302" t="s">
        <v>1447</v>
      </c>
      <c r="F1302" t="s">
        <v>2243</v>
      </c>
      <c r="G1302" t="s">
        <v>1833</v>
      </c>
      <c r="H1302" t="s">
        <v>1799</v>
      </c>
      <c r="I1302" t="s">
        <v>1799</v>
      </c>
      <c r="J1302" t="s">
        <v>1799</v>
      </c>
      <c r="K1302" t="s">
        <v>1799</v>
      </c>
      <c r="L1302" t="s">
        <v>1447</v>
      </c>
      <c r="M1302" t="s">
        <v>1799</v>
      </c>
      <c r="N1302" t="s">
        <v>1799</v>
      </c>
      <c r="O1302" s="184" t="str">
        <f>"["&amp;$C1302&amp;"]["&amp;$D1302&amp;"]["&amp;$F1302&amp;"]"</f>
        <v>[S10_InstallationsComplianceMeasures][4][ComplianceMeasuresYesNo]</v>
      </c>
    </row>
    <row r="1303" spans="1:15" x14ac:dyDescent="0.3">
      <c r="A1303" t="s">
        <v>1793</v>
      </c>
      <c r="B1303" t="s">
        <v>2241</v>
      </c>
      <c r="C1303" t="s">
        <v>2242</v>
      </c>
      <c r="D1303">
        <v>1</v>
      </c>
      <c r="E1303" t="s">
        <v>1447</v>
      </c>
      <c r="F1303" t="s">
        <v>2244</v>
      </c>
      <c r="G1303" t="s">
        <v>1861</v>
      </c>
      <c r="H1303" t="s">
        <v>1799</v>
      </c>
      <c r="I1303" t="s">
        <v>1799</v>
      </c>
      <c r="J1303" t="s">
        <v>1799</v>
      </c>
      <c r="K1303" t="s">
        <v>2245</v>
      </c>
      <c r="L1303" t="s">
        <v>1799</v>
      </c>
      <c r="M1303" t="s">
        <v>1799</v>
      </c>
      <c r="N1303" t="s">
        <v>1799</v>
      </c>
      <c r="O1303" s="184" t="str">
        <f>"["&amp;$C1303&amp;"]["&amp;$D1303&amp;"]["&amp;$F1303&amp;"]"</f>
        <v>[S10_InstallationsComplianceMeasures][1][ComplianceMeasuresComment]</v>
      </c>
    </row>
    <row r="1304" spans="1:15" x14ac:dyDescent="0.3">
      <c r="A1304" t="s">
        <v>1793</v>
      </c>
      <c r="B1304" t="s">
        <v>2241</v>
      </c>
      <c r="C1304" t="s">
        <v>2242</v>
      </c>
      <c r="D1304">
        <v>3</v>
      </c>
      <c r="E1304" t="s">
        <v>1447</v>
      </c>
      <c r="F1304" t="s">
        <v>2244</v>
      </c>
      <c r="G1304" t="s">
        <v>1861</v>
      </c>
      <c r="H1304" t="s">
        <v>1799</v>
      </c>
      <c r="I1304" t="s">
        <v>1799</v>
      </c>
      <c r="J1304" t="s">
        <v>1799</v>
      </c>
      <c r="K1304" t="s">
        <v>2246</v>
      </c>
      <c r="L1304" t="s">
        <v>1799</v>
      </c>
      <c r="M1304" t="s">
        <v>1799</v>
      </c>
      <c r="N1304" t="s">
        <v>1799</v>
      </c>
      <c r="O1304" s="184" t="str">
        <f>"["&amp;$C1304&amp;"]["&amp;$D1304&amp;"]["&amp;$F1304&amp;"]"</f>
        <v>[S10_InstallationsComplianceMeasures][3][ComplianceMeasuresComment]</v>
      </c>
    </row>
    <row r="1305" spans="1:15" x14ac:dyDescent="0.3">
      <c r="A1305" t="s">
        <v>1793</v>
      </c>
      <c r="B1305" t="s">
        <v>2247</v>
      </c>
      <c r="C1305" t="s">
        <v>2248</v>
      </c>
      <c r="D1305">
        <v>1</v>
      </c>
      <c r="E1305" t="s">
        <v>1447</v>
      </c>
      <c r="F1305" t="s">
        <v>2213</v>
      </c>
      <c r="G1305" t="s">
        <v>1922</v>
      </c>
      <c r="H1305" t="s">
        <v>1799</v>
      </c>
      <c r="I1305" t="s">
        <v>1799</v>
      </c>
      <c r="J1305">
        <v>3</v>
      </c>
      <c r="K1305" t="s">
        <v>1799</v>
      </c>
      <c r="L1305" t="s">
        <v>1799</v>
      </c>
      <c r="M1305" t="s">
        <v>1799</v>
      </c>
      <c r="N1305" t="s">
        <v>1799</v>
      </c>
      <c r="O1305" s="184" t="str">
        <f>"["&amp;$C1305&amp;"]["&amp;$D1305&amp;"]["&amp;$F1305&amp;"]"</f>
        <v>[S10_InstallationsInfringementPenalties][1][PrisonMax]</v>
      </c>
    </row>
    <row r="1306" spans="1:15" x14ac:dyDescent="0.3">
      <c r="A1306" t="s">
        <v>1793</v>
      </c>
      <c r="B1306" t="s">
        <v>2247</v>
      </c>
      <c r="C1306" t="s">
        <v>2248</v>
      </c>
      <c r="D1306">
        <v>2</v>
      </c>
      <c r="E1306" t="s">
        <v>1447</v>
      </c>
      <c r="F1306" t="s">
        <v>2213</v>
      </c>
      <c r="G1306" t="s">
        <v>1922</v>
      </c>
      <c r="H1306" t="s">
        <v>1799</v>
      </c>
      <c r="I1306" t="s">
        <v>1799</v>
      </c>
      <c r="J1306">
        <v>3</v>
      </c>
      <c r="K1306" t="s">
        <v>1799</v>
      </c>
      <c r="L1306" t="s">
        <v>1799</v>
      </c>
      <c r="M1306" t="s">
        <v>1799</v>
      </c>
      <c r="N1306" t="s">
        <v>1799</v>
      </c>
      <c r="O1306" s="184" t="str">
        <f>"["&amp;$C1306&amp;"]["&amp;$D1306&amp;"]["&amp;$F1306&amp;"]"</f>
        <v>[S10_InstallationsInfringementPenalties][2][PrisonMax]</v>
      </c>
    </row>
    <row r="1307" spans="1:15" x14ac:dyDescent="0.3">
      <c r="A1307" t="s">
        <v>1793</v>
      </c>
      <c r="B1307" t="s">
        <v>2247</v>
      </c>
      <c r="C1307" t="s">
        <v>2248</v>
      </c>
      <c r="D1307">
        <v>3</v>
      </c>
      <c r="E1307" t="s">
        <v>1447</v>
      </c>
      <c r="F1307" t="s">
        <v>2213</v>
      </c>
      <c r="G1307" t="s">
        <v>1922</v>
      </c>
      <c r="H1307" t="s">
        <v>1799</v>
      </c>
      <c r="I1307" t="s">
        <v>1799</v>
      </c>
      <c r="J1307">
        <v>3</v>
      </c>
      <c r="K1307" t="s">
        <v>1799</v>
      </c>
      <c r="L1307" t="s">
        <v>1799</v>
      </c>
      <c r="M1307" t="s">
        <v>1799</v>
      </c>
      <c r="N1307" t="s">
        <v>1799</v>
      </c>
      <c r="O1307" s="184" t="str">
        <f>"["&amp;$C1307&amp;"]["&amp;$D1307&amp;"]["&amp;$F1307&amp;"]"</f>
        <v>[S10_InstallationsInfringementPenalties][3][PrisonMax]</v>
      </c>
    </row>
    <row r="1308" spans="1:15" x14ac:dyDescent="0.3">
      <c r="A1308" t="s">
        <v>1793</v>
      </c>
      <c r="B1308" t="s">
        <v>2247</v>
      </c>
      <c r="C1308" t="s">
        <v>2248</v>
      </c>
      <c r="D1308">
        <v>4</v>
      </c>
      <c r="E1308" t="s">
        <v>1447</v>
      </c>
      <c r="F1308" t="s">
        <v>2213</v>
      </c>
      <c r="G1308" t="s">
        <v>1922</v>
      </c>
      <c r="H1308" t="s">
        <v>1799</v>
      </c>
      <c r="I1308" t="s">
        <v>1799</v>
      </c>
      <c r="J1308">
        <v>3</v>
      </c>
      <c r="K1308" t="s">
        <v>1799</v>
      </c>
      <c r="L1308" t="s">
        <v>1799</v>
      </c>
      <c r="M1308" t="s">
        <v>1799</v>
      </c>
      <c r="N1308" t="s">
        <v>1799</v>
      </c>
      <c r="O1308" s="184" t="str">
        <f>"["&amp;$C1308&amp;"]["&amp;$D1308&amp;"]["&amp;$F1308&amp;"]"</f>
        <v>[S10_InstallationsInfringementPenalties][4][PrisonMax]</v>
      </c>
    </row>
    <row r="1309" spans="1:15" x14ac:dyDescent="0.3">
      <c r="A1309" t="s">
        <v>1793</v>
      </c>
      <c r="B1309" t="s">
        <v>2247</v>
      </c>
      <c r="C1309" t="s">
        <v>2248</v>
      </c>
      <c r="D1309">
        <v>5</v>
      </c>
      <c r="E1309" t="s">
        <v>1447</v>
      </c>
      <c r="F1309" t="s">
        <v>2213</v>
      </c>
      <c r="G1309" t="s">
        <v>1922</v>
      </c>
      <c r="H1309" t="s">
        <v>1799</v>
      </c>
      <c r="I1309" t="s">
        <v>1799</v>
      </c>
      <c r="J1309">
        <v>3</v>
      </c>
      <c r="K1309" t="s">
        <v>1799</v>
      </c>
      <c r="L1309" t="s">
        <v>1799</v>
      </c>
      <c r="M1309" t="s">
        <v>1799</v>
      </c>
      <c r="N1309" t="s">
        <v>1799</v>
      </c>
      <c r="O1309" s="184" t="str">
        <f>"["&amp;$C1309&amp;"]["&amp;$D1309&amp;"]["&amp;$F1309&amp;"]"</f>
        <v>[S10_InstallationsInfringementPenalties][5][PrisonMax]</v>
      </c>
    </row>
    <row r="1310" spans="1:15" x14ac:dyDescent="0.3">
      <c r="A1310" t="s">
        <v>1793</v>
      </c>
      <c r="B1310" t="s">
        <v>2247</v>
      </c>
      <c r="C1310" t="s">
        <v>2248</v>
      </c>
      <c r="D1310">
        <v>6</v>
      </c>
      <c r="E1310" t="s">
        <v>1447</v>
      </c>
      <c r="F1310" t="s">
        <v>2213</v>
      </c>
      <c r="G1310" t="s">
        <v>1922</v>
      </c>
      <c r="H1310" t="s">
        <v>1799</v>
      </c>
      <c r="I1310" t="s">
        <v>1799</v>
      </c>
      <c r="J1310">
        <v>3</v>
      </c>
      <c r="K1310" t="s">
        <v>1799</v>
      </c>
      <c r="L1310" t="s">
        <v>1799</v>
      </c>
      <c r="M1310" t="s">
        <v>1799</v>
      </c>
      <c r="N1310" t="s">
        <v>1799</v>
      </c>
      <c r="O1310" s="184" t="str">
        <f>"["&amp;$C1310&amp;"]["&amp;$D1310&amp;"]["&amp;$F1310&amp;"]"</f>
        <v>[S10_InstallationsInfringementPenalties][6][PrisonMax]</v>
      </c>
    </row>
    <row r="1311" spans="1:15" x14ac:dyDescent="0.3">
      <c r="A1311" t="s">
        <v>1793</v>
      </c>
      <c r="B1311" t="s">
        <v>2247</v>
      </c>
      <c r="C1311" t="s">
        <v>2248</v>
      </c>
      <c r="D1311">
        <v>7</v>
      </c>
      <c r="E1311" t="s">
        <v>1447</v>
      </c>
      <c r="F1311" t="s">
        <v>2213</v>
      </c>
      <c r="G1311" t="s">
        <v>1922</v>
      </c>
      <c r="H1311" t="s">
        <v>1799</v>
      </c>
      <c r="I1311" t="s">
        <v>1799</v>
      </c>
      <c r="J1311">
        <v>3</v>
      </c>
      <c r="K1311" t="s">
        <v>1799</v>
      </c>
      <c r="L1311" t="s">
        <v>1799</v>
      </c>
      <c r="M1311" t="s">
        <v>1799</v>
      </c>
      <c r="N1311" t="s">
        <v>1799</v>
      </c>
      <c r="O1311" s="184" t="str">
        <f>"["&amp;$C1311&amp;"]["&amp;$D1311&amp;"]["&amp;$F1311&amp;"]"</f>
        <v>[S10_InstallationsInfringementPenalties][7][PrisonMax]</v>
      </c>
    </row>
    <row r="1312" spans="1:15" x14ac:dyDescent="0.3">
      <c r="A1312" t="s">
        <v>1793</v>
      </c>
      <c r="B1312" t="s">
        <v>2247</v>
      </c>
      <c r="C1312" t="s">
        <v>2248</v>
      </c>
      <c r="D1312">
        <v>8</v>
      </c>
      <c r="E1312" t="s">
        <v>1447</v>
      </c>
      <c r="F1312" t="s">
        <v>2213</v>
      </c>
      <c r="G1312" t="s">
        <v>1922</v>
      </c>
      <c r="H1312" t="s">
        <v>1799</v>
      </c>
      <c r="I1312" t="s">
        <v>1799</v>
      </c>
      <c r="J1312">
        <v>3</v>
      </c>
      <c r="K1312" t="s">
        <v>1799</v>
      </c>
      <c r="L1312" t="s">
        <v>1799</v>
      </c>
      <c r="M1312" t="s">
        <v>1799</v>
      </c>
      <c r="N1312" t="s">
        <v>1799</v>
      </c>
      <c r="O1312" s="184" t="str">
        <f>"["&amp;$C1312&amp;"]["&amp;$D1312&amp;"]["&amp;$F1312&amp;"]"</f>
        <v>[S10_InstallationsInfringementPenalties][8][PrisonMax]</v>
      </c>
    </row>
    <row r="1313" spans="1:15" x14ac:dyDescent="0.3">
      <c r="A1313" t="s">
        <v>1793</v>
      </c>
      <c r="B1313" t="s">
        <v>2247</v>
      </c>
      <c r="C1313" t="s">
        <v>2248</v>
      </c>
      <c r="D1313">
        <v>9</v>
      </c>
      <c r="E1313" t="s">
        <v>1447</v>
      </c>
      <c r="F1313" t="s">
        <v>2213</v>
      </c>
      <c r="G1313" t="s">
        <v>1922</v>
      </c>
      <c r="H1313" t="s">
        <v>1799</v>
      </c>
      <c r="I1313" t="s">
        <v>1799</v>
      </c>
      <c r="J1313">
        <v>3</v>
      </c>
      <c r="K1313" t="s">
        <v>1799</v>
      </c>
      <c r="L1313" t="s">
        <v>1799</v>
      </c>
      <c r="M1313" t="s">
        <v>1799</v>
      </c>
      <c r="N1313" t="s">
        <v>1799</v>
      </c>
      <c r="O1313" s="184" t="str">
        <f>"["&amp;$C1313&amp;"]["&amp;$D1313&amp;"]["&amp;$F1313&amp;"]"</f>
        <v>[S10_InstallationsInfringementPenalties][9][PrisonMax]</v>
      </c>
    </row>
    <row r="1314" spans="1:15" x14ac:dyDescent="0.3">
      <c r="A1314" t="s">
        <v>1793</v>
      </c>
      <c r="B1314" t="s">
        <v>2247</v>
      </c>
      <c r="C1314" t="s">
        <v>2248</v>
      </c>
      <c r="D1314">
        <v>10</v>
      </c>
      <c r="E1314" t="s">
        <v>1447</v>
      </c>
      <c r="F1314" t="s">
        <v>2213</v>
      </c>
      <c r="G1314" t="s">
        <v>1922</v>
      </c>
      <c r="H1314" t="s">
        <v>1799</v>
      </c>
      <c r="I1314" t="s">
        <v>1799</v>
      </c>
      <c r="J1314">
        <v>3</v>
      </c>
      <c r="K1314" t="s">
        <v>1799</v>
      </c>
      <c r="L1314" t="s">
        <v>1799</v>
      </c>
      <c r="M1314" t="s">
        <v>1799</v>
      </c>
      <c r="N1314" t="s">
        <v>1799</v>
      </c>
      <c r="O1314" s="184" t="str">
        <f>"["&amp;$C1314&amp;"]["&amp;$D1314&amp;"]["&amp;$F1314&amp;"]"</f>
        <v>[S10_InstallationsInfringementPenalties][10][PrisonMax]</v>
      </c>
    </row>
    <row r="1315" spans="1:15" x14ac:dyDescent="0.3">
      <c r="A1315" t="s">
        <v>1793</v>
      </c>
      <c r="B1315" t="s">
        <v>2247</v>
      </c>
      <c r="C1315" t="s">
        <v>2248</v>
      </c>
      <c r="D1315">
        <v>11</v>
      </c>
      <c r="E1315" t="s">
        <v>1447</v>
      </c>
      <c r="F1315" t="s">
        <v>2213</v>
      </c>
      <c r="G1315" t="s">
        <v>1922</v>
      </c>
      <c r="H1315" t="s">
        <v>1799</v>
      </c>
      <c r="I1315" t="s">
        <v>1799</v>
      </c>
      <c r="J1315">
        <v>3</v>
      </c>
      <c r="K1315" t="s">
        <v>1799</v>
      </c>
      <c r="L1315" t="s">
        <v>1799</v>
      </c>
      <c r="M1315" t="s">
        <v>1799</v>
      </c>
      <c r="N1315" t="s">
        <v>1799</v>
      </c>
      <c r="O1315" s="184" t="str">
        <f>"["&amp;$C1315&amp;"]["&amp;$D1315&amp;"]["&amp;$F1315&amp;"]"</f>
        <v>[S10_InstallationsInfringementPenalties][11][PrisonMax]</v>
      </c>
    </row>
    <row r="1316" spans="1:15" x14ac:dyDescent="0.3">
      <c r="A1316" t="s">
        <v>1793</v>
      </c>
      <c r="B1316" t="s">
        <v>2247</v>
      </c>
      <c r="C1316" t="s">
        <v>2249</v>
      </c>
      <c r="D1316">
        <v>0</v>
      </c>
      <c r="E1316" t="s">
        <v>1447</v>
      </c>
      <c r="F1316" t="s">
        <v>2249</v>
      </c>
      <c r="G1316" t="s">
        <v>1797</v>
      </c>
      <c r="H1316" t="s">
        <v>2250</v>
      </c>
      <c r="I1316" t="s">
        <v>1799</v>
      </c>
      <c r="J1316" t="s">
        <v>1799</v>
      </c>
      <c r="K1316" t="s">
        <v>1799</v>
      </c>
      <c r="L1316" t="s">
        <v>1799</v>
      </c>
      <c r="M1316" t="s">
        <v>1799</v>
      </c>
      <c r="N1316" t="s">
        <v>1799</v>
      </c>
      <c r="O1316" s="184" t="str">
        <f>"["&amp;$C1316&amp;"]["&amp;$D1316&amp;"]["&amp;$F1316&amp;"]"</f>
        <v>[InstallationsNationalLaw][0][InstallationsNationalLaw]</v>
      </c>
    </row>
    <row r="1317" spans="1:15" x14ac:dyDescent="0.3">
      <c r="A1317" t="s">
        <v>1793</v>
      </c>
      <c r="B1317" t="s">
        <v>2251</v>
      </c>
      <c r="C1317" t="s">
        <v>2252</v>
      </c>
      <c r="D1317">
        <v>1</v>
      </c>
      <c r="E1317" t="s">
        <v>1447</v>
      </c>
      <c r="F1317" t="s">
        <v>2243</v>
      </c>
      <c r="G1317" t="s">
        <v>1833</v>
      </c>
      <c r="H1317" t="s">
        <v>1799</v>
      </c>
      <c r="I1317" t="s">
        <v>1799</v>
      </c>
      <c r="J1317" t="s">
        <v>1799</v>
      </c>
      <c r="K1317" t="s">
        <v>1799</v>
      </c>
      <c r="L1317" t="s">
        <v>1447</v>
      </c>
      <c r="M1317" t="s">
        <v>1799</v>
      </c>
      <c r="N1317" t="s">
        <v>1799</v>
      </c>
      <c r="O1317" s="184" t="str">
        <f>"["&amp;$C1317&amp;"]["&amp;$D1317&amp;"]["&amp;$F1317&amp;"]"</f>
        <v>[S10_AircraftComplianceMeasures][1][ComplianceMeasuresYesNo]</v>
      </c>
    </row>
    <row r="1318" spans="1:15" x14ac:dyDescent="0.3">
      <c r="A1318" t="s">
        <v>1793</v>
      </c>
      <c r="B1318" t="s">
        <v>2251</v>
      </c>
      <c r="C1318" t="s">
        <v>2252</v>
      </c>
      <c r="D1318">
        <v>2</v>
      </c>
      <c r="E1318" t="s">
        <v>1447</v>
      </c>
      <c r="F1318" t="s">
        <v>2243</v>
      </c>
      <c r="G1318" t="s">
        <v>1833</v>
      </c>
      <c r="H1318" t="s">
        <v>1799</v>
      </c>
      <c r="I1318" t="s">
        <v>1799</v>
      </c>
      <c r="J1318" t="s">
        <v>1799</v>
      </c>
      <c r="K1318" t="s">
        <v>1799</v>
      </c>
      <c r="L1318" t="s">
        <v>1447</v>
      </c>
      <c r="M1318" t="s">
        <v>1799</v>
      </c>
      <c r="N1318" t="s">
        <v>1799</v>
      </c>
      <c r="O1318" s="184" t="str">
        <f>"["&amp;$C1318&amp;"]["&amp;$D1318&amp;"]["&amp;$F1318&amp;"]"</f>
        <v>[S10_AircraftComplianceMeasures][2][ComplianceMeasuresYesNo]</v>
      </c>
    </row>
    <row r="1319" spans="1:15" x14ac:dyDescent="0.3">
      <c r="A1319" t="s">
        <v>1793</v>
      </c>
      <c r="B1319" t="s">
        <v>2251</v>
      </c>
      <c r="C1319" t="s">
        <v>2252</v>
      </c>
      <c r="D1319">
        <v>3</v>
      </c>
      <c r="E1319" t="s">
        <v>1447</v>
      </c>
      <c r="F1319" t="s">
        <v>2243</v>
      </c>
      <c r="G1319" t="s">
        <v>1833</v>
      </c>
      <c r="H1319" t="s">
        <v>1799</v>
      </c>
      <c r="I1319" t="s">
        <v>1799</v>
      </c>
      <c r="J1319" t="s">
        <v>1799</v>
      </c>
      <c r="K1319" t="s">
        <v>1799</v>
      </c>
      <c r="L1319" t="s">
        <v>1419</v>
      </c>
      <c r="M1319" t="s">
        <v>1799</v>
      </c>
      <c r="N1319" t="s">
        <v>1799</v>
      </c>
      <c r="O1319" s="184" t="str">
        <f>"["&amp;$C1319&amp;"]["&amp;$D1319&amp;"]["&amp;$F1319&amp;"]"</f>
        <v>[S10_AircraftComplianceMeasures][3][ComplianceMeasuresYesNo]</v>
      </c>
    </row>
    <row r="1320" spans="1:15" x14ac:dyDescent="0.3">
      <c r="A1320" t="s">
        <v>1793</v>
      </c>
      <c r="B1320" t="s">
        <v>2251</v>
      </c>
      <c r="C1320" t="s">
        <v>2252</v>
      </c>
      <c r="D1320">
        <v>4</v>
      </c>
      <c r="E1320" t="s">
        <v>1447</v>
      </c>
      <c r="F1320" t="s">
        <v>2243</v>
      </c>
      <c r="G1320" t="s">
        <v>1833</v>
      </c>
      <c r="H1320" t="s">
        <v>1799</v>
      </c>
      <c r="I1320" t="s">
        <v>1799</v>
      </c>
      <c r="J1320" t="s">
        <v>1799</v>
      </c>
      <c r="K1320" t="s">
        <v>1799</v>
      </c>
      <c r="L1320" t="s">
        <v>1447</v>
      </c>
      <c r="M1320" t="s">
        <v>1799</v>
      </c>
      <c r="N1320" t="s">
        <v>1799</v>
      </c>
      <c r="O1320" s="184" t="str">
        <f>"["&amp;$C1320&amp;"]["&amp;$D1320&amp;"]["&amp;$F1320&amp;"]"</f>
        <v>[S10_AircraftComplianceMeasures][4][ComplianceMeasuresYesNo]</v>
      </c>
    </row>
    <row r="1321" spans="1:15" x14ac:dyDescent="0.3">
      <c r="A1321" t="s">
        <v>1793</v>
      </c>
      <c r="B1321" t="s">
        <v>2251</v>
      </c>
      <c r="C1321" t="s">
        <v>2252</v>
      </c>
      <c r="D1321">
        <v>3</v>
      </c>
      <c r="E1321" t="s">
        <v>1447</v>
      </c>
      <c r="F1321" t="s">
        <v>2244</v>
      </c>
      <c r="G1321" t="s">
        <v>1861</v>
      </c>
      <c r="H1321" t="s">
        <v>1799</v>
      </c>
      <c r="I1321" t="s">
        <v>1799</v>
      </c>
      <c r="J1321" t="s">
        <v>1799</v>
      </c>
      <c r="K1321" t="s">
        <v>2253</v>
      </c>
      <c r="L1321" t="s">
        <v>1799</v>
      </c>
      <c r="M1321" t="s">
        <v>1799</v>
      </c>
      <c r="N1321" t="s">
        <v>1799</v>
      </c>
      <c r="O1321" s="184" t="str">
        <f>"["&amp;$C1321&amp;"]["&amp;$D1321&amp;"]["&amp;$F1321&amp;"]"</f>
        <v>[S10_AircraftComplianceMeasures][3][ComplianceMeasuresComment]</v>
      </c>
    </row>
    <row r="1322" spans="1:15" x14ac:dyDescent="0.3">
      <c r="A1322" t="s">
        <v>1793</v>
      </c>
      <c r="B1322" t="s">
        <v>2254</v>
      </c>
      <c r="C1322" t="s">
        <v>2255</v>
      </c>
      <c r="D1322">
        <v>1</v>
      </c>
      <c r="E1322" t="s">
        <v>1447</v>
      </c>
      <c r="F1322" t="s">
        <v>2213</v>
      </c>
      <c r="G1322" t="s">
        <v>1922</v>
      </c>
      <c r="H1322" t="s">
        <v>1799</v>
      </c>
      <c r="I1322" t="s">
        <v>1799</v>
      </c>
      <c r="J1322">
        <v>3</v>
      </c>
      <c r="K1322" t="s">
        <v>1799</v>
      </c>
      <c r="L1322" t="s">
        <v>1799</v>
      </c>
      <c r="M1322" t="s">
        <v>1799</v>
      </c>
      <c r="N1322" t="s">
        <v>1799</v>
      </c>
      <c r="O1322" s="184" t="str">
        <f>"["&amp;$C1322&amp;"]["&amp;$D1322&amp;"]["&amp;$F1322&amp;"]"</f>
        <v>[S10_AircraftInfringementPenalties][1][PrisonMax]</v>
      </c>
    </row>
    <row r="1323" spans="1:15" x14ac:dyDescent="0.3">
      <c r="A1323" t="s">
        <v>1793</v>
      </c>
      <c r="B1323" t="s">
        <v>2254</v>
      </c>
      <c r="C1323" t="s">
        <v>2255</v>
      </c>
      <c r="D1323">
        <v>2</v>
      </c>
      <c r="E1323" t="s">
        <v>1447</v>
      </c>
      <c r="F1323" t="s">
        <v>2213</v>
      </c>
      <c r="G1323" t="s">
        <v>1922</v>
      </c>
      <c r="H1323" t="s">
        <v>1799</v>
      </c>
      <c r="I1323" t="s">
        <v>1799</v>
      </c>
      <c r="J1323">
        <v>3</v>
      </c>
      <c r="K1323" t="s">
        <v>1799</v>
      </c>
      <c r="L1323" t="s">
        <v>1799</v>
      </c>
      <c r="M1323" t="s">
        <v>1799</v>
      </c>
      <c r="N1323" t="s">
        <v>1799</v>
      </c>
      <c r="O1323" s="184" t="str">
        <f>"["&amp;$C1323&amp;"]["&amp;$D1323&amp;"]["&amp;$F1323&amp;"]"</f>
        <v>[S10_AircraftInfringementPenalties][2][PrisonMax]</v>
      </c>
    </row>
    <row r="1324" spans="1:15" x14ac:dyDescent="0.3">
      <c r="A1324" t="s">
        <v>1793</v>
      </c>
      <c r="B1324" t="s">
        <v>2254</v>
      </c>
      <c r="C1324" t="s">
        <v>2255</v>
      </c>
      <c r="D1324">
        <v>3</v>
      </c>
      <c r="E1324" t="s">
        <v>1447</v>
      </c>
      <c r="F1324" t="s">
        <v>2213</v>
      </c>
      <c r="G1324" t="s">
        <v>1922</v>
      </c>
      <c r="H1324" t="s">
        <v>1799</v>
      </c>
      <c r="I1324" t="s">
        <v>1799</v>
      </c>
      <c r="J1324">
        <v>3</v>
      </c>
      <c r="K1324" t="s">
        <v>1799</v>
      </c>
      <c r="L1324" t="s">
        <v>1799</v>
      </c>
      <c r="M1324" t="s">
        <v>1799</v>
      </c>
      <c r="N1324" t="s">
        <v>1799</v>
      </c>
      <c r="O1324" s="184" t="str">
        <f>"["&amp;$C1324&amp;"]["&amp;$D1324&amp;"]["&amp;$F1324&amp;"]"</f>
        <v>[S10_AircraftInfringementPenalties][3][PrisonMax]</v>
      </c>
    </row>
    <row r="1325" spans="1:15" x14ac:dyDescent="0.3">
      <c r="A1325" t="s">
        <v>1793</v>
      </c>
      <c r="B1325" t="s">
        <v>2254</v>
      </c>
      <c r="C1325" t="s">
        <v>2255</v>
      </c>
      <c r="D1325">
        <v>4</v>
      </c>
      <c r="E1325" t="s">
        <v>1447</v>
      </c>
      <c r="F1325" t="s">
        <v>2213</v>
      </c>
      <c r="G1325" t="s">
        <v>1922</v>
      </c>
      <c r="H1325" t="s">
        <v>1799</v>
      </c>
      <c r="I1325" t="s">
        <v>1799</v>
      </c>
      <c r="J1325">
        <v>3</v>
      </c>
      <c r="K1325" t="s">
        <v>1799</v>
      </c>
      <c r="L1325" t="s">
        <v>1799</v>
      </c>
      <c r="M1325" t="s">
        <v>1799</v>
      </c>
      <c r="N1325" t="s">
        <v>1799</v>
      </c>
      <c r="O1325" s="184" t="str">
        <f>"["&amp;$C1325&amp;"]["&amp;$D1325&amp;"]["&amp;$F1325&amp;"]"</f>
        <v>[S10_AircraftInfringementPenalties][4][PrisonMax]</v>
      </c>
    </row>
    <row r="1326" spans="1:15" x14ac:dyDescent="0.3">
      <c r="A1326" t="s">
        <v>1793</v>
      </c>
      <c r="B1326" t="s">
        <v>2254</v>
      </c>
      <c r="C1326" t="s">
        <v>2255</v>
      </c>
      <c r="D1326">
        <v>5</v>
      </c>
      <c r="E1326" t="s">
        <v>1447</v>
      </c>
      <c r="F1326" t="s">
        <v>2213</v>
      </c>
      <c r="G1326" t="s">
        <v>1922</v>
      </c>
      <c r="H1326" t="s">
        <v>1799</v>
      </c>
      <c r="I1326" t="s">
        <v>1799</v>
      </c>
      <c r="J1326">
        <v>3</v>
      </c>
      <c r="K1326" t="s">
        <v>1799</v>
      </c>
      <c r="L1326" t="s">
        <v>1799</v>
      </c>
      <c r="M1326" t="s">
        <v>1799</v>
      </c>
      <c r="N1326" t="s">
        <v>1799</v>
      </c>
      <c r="O1326" s="184" t="str">
        <f>"["&amp;$C1326&amp;"]["&amp;$D1326&amp;"]["&amp;$F1326&amp;"]"</f>
        <v>[S10_AircraftInfringementPenalties][5][PrisonMax]</v>
      </c>
    </row>
    <row r="1327" spans="1:15" x14ac:dyDescent="0.3">
      <c r="A1327" t="s">
        <v>1793</v>
      </c>
      <c r="B1327" t="s">
        <v>2254</v>
      </c>
      <c r="C1327" t="s">
        <v>2255</v>
      </c>
      <c r="D1327">
        <v>6</v>
      </c>
      <c r="E1327" t="s">
        <v>1447</v>
      </c>
      <c r="F1327" t="s">
        <v>2213</v>
      </c>
      <c r="G1327" t="s">
        <v>1922</v>
      </c>
      <c r="H1327" t="s">
        <v>1799</v>
      </c>
      <c r="I1327" t="s">
        <v>1799</v>
      </c>
      <c r="J1327">
        <v>3</v>
      </c>
      <c r="K1327" t="s">
        <v>1799</v>
      </c>
      <c r="L1327" t="s">
        <v>1799</v>
      </c>
      <c r="M1327" t="s">
        <v>1799</v>
      </c>
      <c r="N1327" t="s">
        <v>1799</v>
      </c>
      <c r="O1327" s="184" t="str">
        <f>"["&amp;$C1327&amp;"]["&amp;$D1327&amp;"]["&amp;$F1327&amp;"]"</f>
        <v>[S10_AircraftInfringementPenalties][6][PrisonMax]</v>
      </c>
    </row>
    <row r="1328" spans="1:15" x14ac:dyDescent="0.3">
      <c r="A1328" t="s">
        <v>1793</v>
      </c>
      <c r="B1328" t="s">
        <v>2254</v>
      </c>
      <c r="C1328" t="s">
        <v>2255</v>
      </c>
      <c r="D1328">
        <v>7</v>
      </c>
      <c r="E1328" t="s">
        <v>1447</v>
      </c>
      <c r="F1328" t="s">
        <v>2213</v>
      </c>
      <c r="G1328" t="s">
        <v>1922</v>
      </c>
      <c r="H1328" t="s">
        <v>1799</v>
      </c>
      <c r="I1328" t="s">
        <v>1799</v>
      </c>
      <c r="J1328">
        <v>3</v>
      </c>
      <c r="K1328" t="s">
        <v>1799</v>
      </c>
      <c r="L1328" t="s">
        <v>1799</v>
      </c>
      <c r="M1328" t="s">
        <v>1799</v>
      </c>
      <c r="N1328" t="s">
        <v>1799</v>
      </c>
      <c r="O1328" s="184" t="str">
        <f>"["&amp;$C1328&amp;"]["&amp;$D1328&amp;"]["&amp;$F1328&amp;"]"</f>
        <v>[S10_AircraftInfringementPenalties][7][PrisonMax]</v>
      </c>
    </row>
    <row r="1329" spans="1:15" x14ac:dyDescent="0.3">
      <c r="A1329" t="s">
        <v>1793</v>
      </c>
      <c r="B1329" t="s">
        <v>2254</v>
      </c>
      <c r="C1329" t="s">
        <v>2255</v>
      </c>
      <c r="D1329">
        <v>8</v>
      </c>
      <c r="E1329" t="s">
        <v>1447</v>
      </c>
      <c r="F1329" t="s">
        <v>2213</v>
      </c>
      <c r="G1329" t="s">
        <v>1922</v>
      </c>
      <c r="H1329" t="s">
        <v>1799</v>
      </c>
      <c r="I1329" t="s">
        <v>1799</v>
      </c>
      <c r="J1329">
        <v>3</v>
      </c>
      <c r="K1329" t="s">
        <v>1799</v>
      </c>
      <c r="L1329" t="s">
        <v>1799</v>
      </c>
      <c r="M1329" t="s">
        <v>1799</v>
      </c>
      <c r="N1329" t="s">
        <v>1799</v>
      </c>
      <c r="O1329" s="184" t="str">
        <f>"["&amp;$C1329&amp;"]["&amp;$D1329&amp;"]["&amp;$F1329&amp;"]"</f>
        <v>[S10_AircraftInfringementPenalties][8][PrisonMax]</v>
      </c>
    </row>
    <row r="1330" spans="1:15" x14ac:dyDescent="0.3">
      <c r="A1330" t="s">
        <v>1793</v>
      </c>
      <c r="B1330" t="s">
        <v>2254</v>
      </c>
      <c r="C1330" t="s">
        <v>2255</v>
      </c>
      <c r="D1330">
        <v>9</v>
      </c>
      <c r="E1330" t="s">
        <v>1447</v>
      </c>
      <c r="F1330" t="s">
        <v>2213</v>
      </c>
      <c r="G1330" t="s">
        <v>1922</v>
      </c>
      <c r="H1330" t="s">
        <v>1799</v>
      </c>
      <c r="I1330" t="s">
        <v>1799</v>
      </c>
      <c r="J1330">
        <v>3</v>
      </c>
      <c r="K1330" t="s">
        <v>1799</v>
      </c>
      <c r="L1330" t="s">
        <v>1799</v>
      </c>
      <c r="M1330" t="s">
        <v>1799</v>
      </c>
      <c r="N1330" t="s">
        <v>1799</v>
      </c>
      <c r="O1330" s="184" t="str">
        <f>"["&amp;$C1330&amp;"]["&amp;$D1330&amp;"]["&amp;$F1330&amp;"]"</f>
        <v>[S10_AircraftInfringementPenalties][9][PrisonMax]</v>
      </c>
    </row>
    <row r="1331" spans="1:15" x14ac:dyDescent="0.3">
      <c r="A1331" t="s">
        <v>1793</v>
      </c>
      <c r="B1331" t="s">
        <v>2254</v>
      </c>
      <c r="C1331" t="s">
        <v>2255</v>
      </c>
      <c r="D1331">
        <v>10</v>
      </c>
      <c r="E1331" t="s">
        <v>1447</v>
      </c>
      <c r="F1331" t="s">
        <v>2213</v>
      </c>
      <c r="G1331" t="s">
        <v>1922</v>
      </c>
      <c r="H1331" t="s">
        <v>1799</v>
      </c>
      <c r="I1331" t="s">
        <v>1799</v>
      </c>
      <c r="J1331">
        <v>3</v>
      </c>
      <c r="K1331" t="s">
        <v>1799</v>
      </c>
      <c r="L1331" t="s">
        <v>1799</v>
      </c>
      <c r="M1331" t="s">
        <v>1799</v>
      </c>
      <c r="N1331" t="s">
        <v>1799</v>
      </c>
      <c r="O1331" s="184" t="str">
        <f>"["&amp;$C1331&amp;"]["&amp;$D1331&amp;"]["&amp;$F1331&amp;"]"</f>
        <v>[S10_AircraftInfringementPenalties][10][PrisonMax]</v>
      </c>
    </row>
    <row r="1332" spans="1:15" x14ac:dyDescent="0.3">
      <c r="A1332" t="s">
        <v>1793</v>
      </c>
      <c r="B1332" t="s">
        <v>2254</v>
      </c>
      <c r="C1332" t="s">
        <v>2255</v>
      </c>
      <c r="D1332">
        <v>11</v>
      </c>
      <c r="E1332" t="s">
        <v>1447</v>
      </c>
      <c r="F1332" t="s">
        <v>2256</v>
      </c>
      <c r="G1332" t="s">
        <v>1861</v>
      </c>
      <c r="H1332" t="s">
        <v>1799</v>
      </c>
      <c r="I1332" t="s">
        <v>1799</v>
      </c>
      <c r="J1332" t="s">
        <v>1799</v>
      </c>
      <c r="K1332" t="s">
        <v>2257</v>
      </c>
      <c r="L1332" t="s">
        <v>1799</v>
      </c>
      <c r="M1332" t="s">
        <v>1799</v>
      </c>
      <c r="N1332" t="s">
        <v>1799</v>
      </c>
      <c r="O1332" s="184" t="str">
        <f>"["&amp;$C1332&amp;"]["&amp;$D1332&amp;"]["&amp;$F1332&amp;"]"</f>
        <v>[S10_AircraftInfringementPenalties][11][OtherPenalty]</v>
      </c>
    </row>
    <row r="1333" spans="1:15" x14ac:dyDescent="0.3">
      <c r="A1333" t="s">
        <v>1793</v>
      </c>
      <c r="B1333" t="s">
        <v>2254</v>
      </c>
      <c r="C1333" t="s">
        <v>2258</v>
      </c>
      <c r="D1333">
        <v>0</v>
      </c>
      <c r="E1333" t="s">
        <v>1447</v>
      </c>
      <c r="F1333" t="s">
        <v>2258</v>
      </c>
      <c r="G1333" t="s">
        <v>1797</v>
      </c>
      <c r="H1333" t="s">
        <v>2250</v>
      </c>
      <c r="I1333" t="s">
        <v>1799</v>
      </c>
      <c r="J1333" t="s">
        <v>1799</v>
      </c>
      <c r="K1333" t="s">
        <v>1799</v>
      </c>
      <c r="L1333" t="s">
        <v>1799</v>
      </c>
      <c r="M1333" t="s">
        <v>1799</v>
      </c>
      <c r="N1333" t="s">
        <v>1799</v>
      </c>
      <c r="O1333" s="184" t="str">
        <f>"["&amp;$C1333&amp;"]["&amp;$D1333&amp;"]["&amp;$F1333&amp;"]"</f>
        <v>[AircraftNationalLaw][0][AircraftNationalLaw]</v>
      </c>
    </row>
    <row r="1334" spans="1:15" x14ac:dyDescent="0.3">
      <c r="A1334" t="s">
        <v>1793</v>
      </c>
      <c r="B1334" t="s">
        <v>2259</v>
      </c>
      <c r="C1334" t="s">
        <v>2260</v>
      </c>
      <c r="D1334">
        <v>0</v>
      </c>
      <c r="E1334" t="s">
        <v>1447</v>
      </c>
      <c r="F1334" t="s">
        <v>2260</v>
      </c>
      <c r="G1334" t="s">
        <v>1833</v>
      </c>
      <c r="H1334" t="s">
        <v>1799</v>
      </c>
      <c r="I1334" t="s">
        <v>1799</v>
      </c>
      <c r="J1334" t="s">
        <v>1799</v>
      </c>
      <c r="K1334" t="s">
        <v>1799</v>
      </c>
      <c r="L1334" t="s">
        <v>1419</v>
      </c>
      <c r="M1334" t="s">
        <v>1799</v>
      </c>
      <c r="N1334" t="s">
        <v>1799</v>
      </c>
      <c r="O1334" s="184" t="str">
        <f>"["&amp;$C1334&amp;"]["&amp;$D1334&amp;"]["&amp;$F1334&amp;"]"</f>
        <v>[AircraftPriorPenaltiesEnforced][0][AircraftPriorPenaltiesEnforced]</v>
      </c>
    </row>
    <row r="1335" spans="1:15" x14ac:dyDescent="0.3">
      <c r="A1335" t="s">
        <v>1793</v>
      </c>
      <c r="B1335" t="s">
        <v>2259</v>
      </c>
      <c r="C1335" t="s">
        <v>2261</v>
      </c>
      <c r="D1335">
        <v>1</v>
      </c>
      <c r="E1335" t="s">
        <v>1447</v>
      </c>
      <c r="F1335" t="s">
        <v>2262</v>
      </c>
      <c r="G1335" t="s">
        <v>1797</v>
      </c>
      <c r="H1335" t="s">
        <v>2263</v>
      </c>
      <c r="I1335" t="s">
        <v>1799</v>
      </c>
      <c r="J1335" t="s">
        <v>1799</v>
      </c>
      <c r="K1335" t="s">
        <v>1799</v>
      </c>
      <c r="L1335" t="s">
        <v>1799</v>
      </c>
      <c r="M1335" t="s">
        <v>1799</v>
      </c>
      <c r="N1335" t="s">
        <v>1799</v>
      </c>
      <c r="O1335" s="184" t="str">
        <f>"["&amp;$C1335&amp;"]["&amp;$D1335&amp;"]["&amp;$F1335&amp;"]"</f>
        <v>[S10_AircraftPriorPenaltiesEnforcedDetail][1][TypeInfringement]</v>
      </c>
    </row>
    <row r="1336" spans="1:15" x14ac:dyDescent="0.3">
      <c r="A1336" t="s">
        <v>1793</v>
      </c>
      <c r="B1336" t="s">
        <v>2259</v>
      </c>
      <c r="C1336" t="s">
        <v>2261</v>
      </c>
      <c r="D1336">
        <v>1</v>
      </c>
      <c r="E1336" t="s">
        <v>1447</v>
      </c>
      <c r="F1336" t="s">
        <v>2264</v>
      </c>
      <c r="G1336" t="s">
        <v>1737</v>
      </c>
      <c r="H1336" t="s">
        <v>1799</v>
      </c>
      <c r="I1336" t="s">
        <v>1799</v>
      </c>
      <c r="J1336" t="s">
        <v>1799</v>
      </c>
      <c r="K1336" t="s">
        <v>1799</v>
      </c>
      <c r="L1336" t="s">
        <v>1421</v>
      </c>
      <c r="M1336" t="s">
        <v>1799</v>
      </c>
      <c r="N1336" t="s">
        <v>1799</v>
      </c>
      <c r="O1336" s="184" t="str">
        <f>"["&amp;$C1336&amp;"]["&amp;$D1336&amp;"]["&amp;$F1336&amp;"]"</f>
        <v>[S10_AircraftPriorPenaltiesEnforcedDetail][1][TypePenalty]</v>
      </c>
    </row>
    <row r="1337" spans="1:15" x14ac:dyDescent="0.3">
      <c r="A1337" t="s">
        <v>1793</v>
      </c>
      <c r="B1337" t="s">
        <v>2259</v>
      </c>
      <c r="C1337" t="s">
        <v>2261</v>
      </c>
      <c r="D1337">
        <v>1</v>
      </c>
      <c r="E1337" t="s">
        <v>1447</v>
      </c>
      <c r="F1337" t="s">
        <v>2265</v>
      </c>
      <c r="G1337" t="s">
        <v>1811</v>
      </c>
      <c r="H1337" t="s">
        <v>1799</v>
      </c>
      <c r="I1337">
        <v>2020</v>
      </c>
      <c r="J1337" t="s">
        <v>1799</v>
      </c>
      <c r="K1337" t="s">
        <v>1799</v>
      </c>
      <c r="L1337" t="s">
        <v>1799</v>
      </c>
      <c r="M1337" t="s">
        <v>1799</v>
      </c>
      <c r="N1337" t="s">
        <v>1799</v>
      </c>
      <c r="O1337" s="184" t="str">
        <f>"["&amp;$C1337&amp;"]["&amp;$D1337&amp;"]["&amp;$F1337&amp;"]"</f>
        <v>[S10_AircraftPriorPenaltiesEnforcedDetail][1][ReportinYear]</v>
      </c>
    </row>
    <row r="1338" spans="1:15" x14ac:dyDescent="0.3">
      <c r="A1338" t="s">
        <v>1793</v>
      </c>
      <c r="B1338" t="s">
        <v>2266</v>
      </c>
      <c r="C1338" t="s">
        <v>2267</v>
      </c>
      <c r="D1338">
        <v>1</v>
      </c>
      <c r="E1338" t="s">
        <v>1447</v>
      </c>
      <c r="F1338" t="s">
        <v>2268</v>
      </c>
      <c r="G1338" t="s">
        <v>1797</v>
      </c>
      <c r="H1338" t="s">
        <v>1755</v>
      </c>
      <c r="I1338" t="s">
        <v>1799</v>
      </c>
      <c r="J1338" t="s">
        <v>1799</v>
      </c>
      <c r="K1338" t="s">
        <v>1799</v>
      </c>
      <c r="L1338" t="s">
        <v>1799</v>
      </c>
      <c r="M1338" t="s">
        <v>1799</v>
      </c>
      <c r="N1338" t="s">
        <v>1799</v>
      </c>
      <c r="O1338" s="184" t="str">
        <f>"["&amp;$C1338&amp;"]["&amp;$D1338&amp;"]["&amp;$F1338&amp;"]"</f>
        <v>[S10_AircraftPenalties][1][AircraftID]</v>
      </c>
    </row>
    <row r="1339" spans="1:15" x14ac:dyDescent="0.3">
      <c r="A1339" t="s">
        <v>1793</v>
      </c>
      <c r="B1339" t="s">
        <v>2266</v>
      </c>
      <c r="C1339" t="s">
        <v>2267</v>
      </c>
      <c r="D1339">
        <v>1</v>
      </c>
      <c r="E1339" t="s">
        <v>1447</v>
      </c>
      <c r="F1339" t="s">
        <v>2168</v>
      </c>
      <c r="G1339" t="s">
        <v>1797</v>
      </c>
      <c r="H1339" t="s">
        <v>1755</v>
      </c>
      <c r="I1339" t="s">
        <v>1799</v>
      </c>
      <c r="J1339" t="s">
        <v>1799</v>
      </c>
      <c r="K1339" t="s">
        <v>1799</v>
      </c>
      <c r="L1339" t="s">
        <v>1799</v>
      </c>
      <c r="M1339" t="s">
        <v>1799</v>
      </c>
      <c r="N1339" t="s">
        <v>1799</v>
      </c>
      <c r="O1339" s="184" t="str">
        <f>"["&amp;$C1339&amp;"]["&amp;$D1339&amp;"]["&amp;$F1339&amp;"]"</f>
        <v>[S10_AircraftPenalties][1][OperatorName]</v>
      </c>
    </row>
    <row r="1340" spans="1:15" x14ac:dyDescent="0.3">
      <c r="A1340" t="s">
        <v>1793</v>
      </c>
      <c r="B1340" t="s">
        <v>2269</v>
      </c>
      <c r="C1340" t="s">
        <v>2270</v>
      </c>
      <c r="D1340">
        <v>0</v>
      </c>
      <c r="E1340" t="s">
        <v>1447</v>
      </c>
      <c r="F1340" t="s">
        <v>2270</v>
      </c>
      <c r="G1340" t="s">
        <v>1797</v>
      </c>
      <c r="H1340" t="s">
        <v>2271</v>
      </c>
      <c r="I1340" t="s">
        <v>1799</v>
      </c>
      <c r="J1340" t="s">
        <v>1799</v>
      </c>
      <c r="K1340" t="s">
        <v>1799</v>
      </c>
      <c r="L1340" t="s">
        <v>1799</v>
      </c>
      <c r="M1340" t="s">
        <v>1799</v>
      </c>
      <c r="N1340" t="s">
        <v>1799</v>
      </c>
      <c r="O1340" s="184" t="str">
        <f>"["&amp;$C1340&amp;"]["&amp;$D1340&amp;"]["&amp;$F1340&amp;"]"</f>
        <v>[OperatingBanRequestMeasures][0][OperatingBanRequestMeasures]</v>
      </c>
    </row>
    <row r="1341" spans="1:15" x14ac:dyDescent="0.3">
      <c r="A1341" t="s">
        <v>1793</v>
      </c>
      <c r="B1341" t="s">
        <v>2272</v>
      </c>
      <c r="C1341" t="s">
        <v>2273</v>
      </c>
      <c r="D1341">
        <v>0</v>
      </c>
      <c r="E1341" t="s">
        <v>1447</v>
      </c>
      <c r="F1341" t="s">
        <v>2273</v>
      </c>
      <c r="G1341" t="s">
        <v>1797</v>
      </c>
      <c r="H1341" t="s">
        <v>2274</v>
      </c>
      <c r="I1341" t="s">
        <v>1799</v>
      </c>
      <c r="J1341" t="s">
        <v>1799</v>
      </c>
      <c r="K1341" t="s">
        <v>1799</v>
      </c>
      <c r="L1341" t="s">
        <v>1799</v>
      </c>
      <c r="M1341" t="s">
        <v>1799</v>
      </c>
      <c r="N1341" t="s">
        <v>1799</v>
      </c>
      <c r="O1341" s="184" t="str">
        <f>"["&amp;$C1341&amp;"]["&amp;$D1341&amp;"]["&amp;$F1341&amp;"]"</f>
        <v>[LegalNatureOfEmissionAllowance][0][LegalNatureOfEmissionAllowance]</v>
      </c>
    </row>
    <row r="1342" spans="1:15" x14ac:dyDescent="0.3">
      <c r="A1342" t="s">
        <v>1793</v>
      </c>
      <c r="B1342" t="s">
        <v>2275</v>
      </c>
      <c r="C1342" t="s">
        <v>2276</v>
      </c>
      <c r="D1342">
        <v>0</v>
      </c>
      <c r="E1342" t="s">
        <v>1447</v>
      </c>
      <c r="F1342" t="s">
        <v>2276</v>
      </c>
      <c r="G1342" t="s">
        <v>1797</v>
      </c>
      <c r="H1342" t="s">
        <v>2277</v>
      </c>
      <c r="I1342" t="s">
        <v>1799</v>
      </c>
      <c r="J1342" t="s">
        <v>1799</v>
      </c>
      <c r="K1342" t="s">
        <v>1799</v>
      </c>
      <c r="L1342" t="s">
        <v>1799</v>
      </c>
      <c r="M1342" t="s">
        <v>1799</v>
      </c>
      <c r="N1342" t="s">
        <v>1799</v>
      </c>
      <c r="O1342" s="184" t="str">
        <f>"["&amp;$C1342&amp;"]["&amp;$D1342&amp;"]["&amp;$F1342&amp;"]"</f>
        <v>[AccountingTreatmentOfEmissionAllowances][0][AccountingTreatmentOfEmissionAllowances]</v>
      </c>
    </row>
    <row r="1343" spans="1:15" x14ac:dyDescent="0.3">
      <c r="A1343" t="s">
        <v>1793</v>
      </c>
      <c r="B1343" t="s">
        <v>2278</v>
      </c>
      <c r="C1343" t="s">
        <v>2279</v>
      </c>
      <c r="D1343">
        <v>0</v>
      </c>
      <c r="E1343" t="s">
        <v>1447</v>
      </c>
      <c r="F1343" t="s">
        <v>2279</v>
      </c>
      <c r="G1343" t="s">
        <v>1833</v>
      </c>
      <c r="H1343" t="s">
        <v>1799</v>
      </c>
      <c r="I1343" t="s">
        <v>1799</v>
      </c>
      <c r="J1343" t="s">
        <v>1799</v>
      </c>
      <c r="K1343" t="s">
        <v>1799</v>
      </c>
      <c r="L1343" t="s">
        <v>1419</v>
      </c>
      <c r="M1343" t="s">
        <v>1799</v>
      </c>
      <c r="N1343" t="s">
        <v>1799</v>
      </c>
      <c r="O1343" s="184" t="str">
        <f>"["&amp;$C1343&amp;"]["&amp;$D1343&amp;"]["&amp;$F1343&amp;"]"</f>
        <v>[VATdueEmissionAllowancesIssuance][0][VATdueEmissionAllowancesIssuance]</v>
      </c>
    </row>
    <row r="1344" spans="1:15" x14ac:dyDescent="0.3">
      <c r="A1344" t="s">
        <v>1793</v>
      </c>
      <c r="B1344" t="s">
        <v>2278</v>
      </c>
      <c r="C1344" t="s">
        <v>2280</v>
      </c>
      <c r="D1344">
        <v>0</v>
      </c>
      <c r="E1344" t="s">
        <v>1447</v>
      </c>
      <c r="F1344" t="s">
        <v>2280</v>
      </c>
      <c r="G1344" t="s">
        <v>1833</v>
      </c>
      <c r="H1344" t="s">
        <v>1799</v>
      </c>
      <c r="I1344" t="s">
        <v>1799</v>
      </c>
      <c r="J1344" t="s">
        <v>1799</v>
      </c>
      <c r="K1344" t="s">
        <v>1799</v>
      </c>
      <c r="L1344" t="s">
        <v>1419</v>
      </c>
      <c r="M1344" t="s">
        <v>1799</v>
      </c>
      <c r="N1344" t="s">
        <v>1799</v>
      </c>
      <c r="O1344" s="184" t="str">
        <f>"["&amp;$C1344&amp;"]["&amp;$D1344&amp;"]["&amp;$F1344&amp;"]"</f>
        <v>[ReverseChargeMechanismEmissionAllowances][0][ReverseChargeMechanismEmissionAllowances]</v>
      </c>
    </row>
    <row r="1345" spans="1:15" x14ac:dyDescent="0.3">
      <c r="A1345" t="s">
        <v>1793</v>
      </c>
      <c r="B1345" t="s">
        <v>2281</v>
      </c>
      <c r="C1345" t="s">
        <v>2282</v>
      </c>
      <c r="D1345">
        <v>0</v>
      </c>
      <c r="E1345" t="s">
        <v>1447</v>
      </c>
      <c r="F1345" t="s">
        <v>2282</v>
      </c>
      <c r="G1345" t="s">
        <v>1833</v>
      </c>
      <c r="H1345" t="s">
        <v>1799</v>
      </c>
      <c r="I1345" t="s">
        <v>1799</v>
      </c>
      <c r="J1345" t="s">
        <v>1799</v>
      </c>
      <c r="K1345" t="s">
        <v>1799</v>
      </c>
      <c r="L1345" t="s">
        <v>1419</v>
      </c>
      <c r="M1345" t="s">
        <v>1799</v>
      </c>
      <c r="N1345" t="s">
        <v>1799</v>
      </c>
      <c r="O1345" s="184" t="str">
        <f>"["&amp;$C1345&amp;"]["&amp;$D1345&amp;"]["&amp;$F1345&amp;"]"</f>
        <v>[EmissionAllowancesTaxed][0][EmissionAllowancesTaxed]</v>
      </c>
    </row>
    <row r="1346" spans="1:15" x14ac:dyDescent="0.3">
      <c r="A1346" t="s">
        <v>1793</v>
      </c>
      <c r="B1346" t="s">
        <v>2281</v>
      </c>
      <c r="C1346" t="s">
        <v>2283</v>
      </c>
      <c r="D1346">
        <v>1</v>
      </c>
      <c r="E1346" t="s">
        <v>1447</v>
      </c>
      <c r="F1346" t="s">
        <v>2284</v>
      </c>
      <c r="G1346" t="s">
        <v>1797</v>
      </c>
      <c r="H1346" t="s">
        <v>2285</v>
      </c>
      <c r="I1346" t="s">
        <v>1799</v>
      </c>
      <c r="J1346" t="s">
        <v>1799</v>
      </c>
      <c r="K1346" t="s">
        <v>1799</v>
      </c>
      <c r="L1346" t="s">
        <v>1799</v>
      </c>
      <c r="M1346" t="s">
        <v>1799</v>
      </c>
      <c r="N1346" t="s">
        <v>1799</v>
      </c>
      <c r="O1346" s="184" t="str">
        <f>"["&amp;$C1346&amp;"]["&amp;$D1346&amp;"]["&amp;$F1346&amp;"]"</f>
        <v>[S11_TypeOfTaxRatesApplied][1][TypeOfTax]</v>
      </c>
    </row>
    <row r="1347" spans="1:15" x14ac:dyDescent="0.3">
      <c r="A1347" t="s">
        <v>1793</v>
      </c>
      <c r="B1347" t="s">
        <v>2281</v>
      </c>
      <c r="C1347" t="s">
        <v>2283</v>
      </c>
      <c r="D1347">
        <v>1</v>
      </c>
      <c r="E1347" t="s">
        <v>1447</v>
      </c>
      <c r="F1347" t="s">
        <v>2286</v>
      </c>
      <c r="G1347" t="s">
        <v>1797</v>
      </c>
      <c r="H1347" t="s">
        <v>2287</v>
      </c>
      <c r="I1347" t="s">
        <v>1799</v>
      </c>
      <c r="J1347" t="s">
        <v>1799</v>
      </c>
      <c r="K1347" t="s">
        <v>1799</v>
      </c>
      <c r="L1347" t="s">
        <v>1799</v>
      </c>
      <c r="M1347" t="s">
        <v>1799</v>
      </c>
      <c r="N1347" t="s">
        <v>1799</v>
      </c>
      <c r="O1347" s="184" t="str">
        <f>"["&amp;$C1347&amp;"]["&amp;$D1347&amp;"]["&amp;$F1347&amp;"]"</f>
        <v>[S11_TypeOfTaxRatesApplied][1][TaxRateApplied]</v>
      </c>
    </row>
    <row r="1348" spans="1:15" x14ac:dyDescent="0.3">
      <c r="A1348" t="s">
        <v>1793</v>
      </c>
      <c r="B1348" t="s">
        <v>2288</v>
      </c>
      <c r="C1348" t="s">
        <v>2289</v>
      </c>
      <c r="D1348">
        <v>1</v>
      </c>
      <c r="E1348" t="s">
        <v>1447</v>
      </c>
      <c r="F1348" t="s">
        <v>2290</v>
      </c>
      <c r="G1348" t="s">
        <v>1797</v>
      </c>
      <c r="H1348" t="s">
        <v>1447</v>
      </c>
      <c r="I1348" t="s">
        <v>1799</v>
      </c>
      <c r="J1348" t="s">
        <v>1799</v>
      </c>
      <c r="K1348" t="s">
        <v>1799</v>
      </c>
      <c r="L1348" t="s">
        <v>1799</v>
      </c>
      <c r="M1348" t="s">
        <v>1799</v>
      </c>
      <c r="N1348" t="s">
        <v>1799</v>
      </c>
      <c r="O1348" s="184" t="str">
        <f>"["&amp;$C1348&amp;"]["&amp;$D1348&amp;"]["&amp;$F1348&amp;"]"</f>
        <v>[S12_FraudFreeAllocationOfAllowances][1][DetailsOfProceduresInNationalLaw]</v>
      </c>
    </row>
    <row r="1349" spans="1:15" x14ac:dyDescent="0.3">
      <c r="A1349" t="s">
        <v>1793</v>
      </c>
      <c r="B1349" t="s">
        <v>2288</v>
      </c>
      <c r="C1349" t="s">
        <v>2289</v>
      </c>
      <c r="D1349">
        <v>2</v>
      </c>
      <c r="E1349" t="s">
        <v>1447</v>
      </c>
      <c r="F1349" t="s">
        <v>2290</v>
      </c>
      <c r="G1349" t="s">
        <v>1797</v>
      </c>
      <c r="H1349" t="s">
        <v>1419</v>
      </c>
      <c r="I1349" t="s">
        <v>1799</v>
      </c>
      <c r="J1349" t="s">
        <v>1799</v>
      </c>
      <c r="K1349" t="s">
        <v>1799</v>
      </c>
      <c r="L1349" t="s">
        <v>1799</v>
      </c>
      <c r="M1349" t="s">
        <v>1799</v>
      </c>
      <c r="N1349" t="s">
        <v>1799</v>
      </c>
      <c r="O1349" s="184" t="str">
        <f>"["&amp;$C1349&amp;"]["&amp;$D1349&amp;"]["&amp;$F1349&amp;"]"</f>
        <v>[S12_FraudFreeAllocationOfAllowances][2][DetailsOfProceduresInNationalLaw]</v>
      </c>
    </row>
    <row r="1350" spans="1:15" x14ac:dyDescent="0.3">
      <c r="A1350" t="s">
        <v>1793</v>
      </c>
      <c r="B1350" t="s">
        <v>2288</v>
      </c>
      <c r="C1350" t="s">
        <v>2289</v>
      </c>
      <c r="D1350">
        <v>3</v>
      </c>
      <c r="E1350" t="s">
        <v>1447</v>
      </c>
      <c r="F1350" t="s">
        <v>2290</v>
      </c>
      <c r="G1350" t="s">
        <v>1797</v>
      </c>
      <c r="H1350" t="s">
        <v>2291</v>
      </c>
      <c r="I1350" t="s">
        <v>1799</v>
      </c>
      <c r="J1350" t="s">
        <v>1799</v>
      </c>
      <c r="K1350" t="s">
        <v>1799</v>
      </c>
      <c r="L1350" t="s">
        <v>1799</v>
      </c>
      <c r="M1350" t="s">
        <v>1799</v>
      </c>
      <c r="N1350" t="s">
        <v>1799</v>
      </c>
      <c r="O1350" s="184" t="str">
        <f>"["&amp;$C1350&amp;"]["&amp;$D1350&amp;"]["&amp;$F1350&amp;"]"</f>
        <v>[S12_FraudFreeAllocationOfAllowances][3][DetailsOfProceduresInNationalLaw]</v>
      </c>
    </row>
    <row r="1351" spans="1:15" x14ac:dyDescent="0.3">
      <c r="A1351" t="s">
        <v>1793</v>
      </c>
      <c r="B1351" t="s">
        <v>2288</v>
      </c>
      <c r="C1351" t="s">
        <v>2289</v>
      </c>
      <c r="D1351">
        <v>4</v>
      </c>
      <c r="E1351" t="s">
        <v>1447</v>
      </c>
      <c r="F1351" t="s">
        <v>2290</v>
      </c>
      <c r="G1351" t="s">
        <v>1797</v>
      </c>
      <c r="H1351" t="s">
        <v>1419</v>
      </c>
      <c r="I1351" t="s">
        <v>1799</v>
      </c>
      <c r="J1351" t="s">
        <v>1799</v>
      </c>
      <c r="K1351" t="s">
        <v>1799</v>
      </c>
      <c r="L1351" t="s">
        <v>1799</v>
      </c>
      <c r="M1351" t="s">
        <v>1799</v>
      </c>
      <c r="N1351" t="s">
        <v>1799</v>
      </c>
      <c r="O1351" s="184" t="str">
        <f>"["&amp;$C1351&amp;"]["&amp;$D1351&amp;"]["&amp;$F1351&amp;"]"</f>
        <v>[S12_FraudFreeAllocationOfAllowances][4][DetailsOfProceduresInNationalLaw]</v>
      </c>
    </row>
    <row r="1352" spans="1:15" x14ac:dyDescent="0.3">
      <c r="A1352" t="s">
        <v>1793</v>
      </c>
      <c r="B1352" t="s">
        <v>2288</v>
      </c>
      <c r="C1352" t="s">
        <v>2289</v>
      </c>
      <c r="D1352">
        <v>5</v>
      </c>
      <c r="E1352" t="s">
        <v>1447</v>
      </c>
      <c r="F1352" t="s">
        <v>2290</v>
      </c>
      <c r="G1352" t="s">
        <v>1797</v>
      </c>
      <c r="H1352" t="s">
        <v>1419</v>
      </c>
      <c r="I1352" t="s">
        <v>1799</v>
      </c>
      <c r="J1352" t="s">
        <v>1799</v>
      </c>
      <c r="K1352" t="s">
        <v>1799</v>
      </c>
      <c r="L1352" t="s">
        <v>1799</v>
      </c>
      <c r="M1352" t="s">
        <v>1799</v>
      </c>
      <c r="N1352" t="s">
        <v>1799</v>
      </c>
      <c r="O1352" s="184" t="str">
        <f>"["&amp;$C1352&amp;"]["&amp;$D1352&amp;"]["&amp;$F1352&amp;"]"</f>
        <v>[S12_FraudFreeAllocationOfAllowances][5][DetailsOfProceduresInNationalLaw]</v>
      </c>
    </row>
    <row r="1353" spans="1:15" x14ac:dyDescent="0.3">
      <c r="A1353" t="s">
        <v>1793</v>
      </c>
      <c r="B1353" t="s">
        <v>2288</v>
      </c>
      <c r="C1353" t="s">
        <v>2289</v>
      </c>
      <c r="D1353">
        <v>6</v>
      </c>
      <c r="E1353" t="s">
        <v>1447</v>
      </c>
      <c r="F1353" t="s">
        <v>2290</v>
      </c>
      <c r="G1353" t="s">
        <v>1797</v>
      </c>
      <c r="H1353" t="s">
        <v>2292</v>
      </c>
      <c r="I1353" t="s">
        <v>1799</v>
      </c>
      <c r="J1353" t="s">
        <v>1799</v>
      </c>
      <c r="K1353" t="s">
        <v>1799</v>
      </c>
      <c r="L1353" t="s">
        <v>1799</v>
      </c>
      <c r="M1353" t="s">
        <v>1799</v>
      </c>
      <c r="N1353" t="s">
        <v>1799</v>
      </c>
      <c r="O1353" s="184" t="str">
        <f>"["&amp;$C1353&amp;"]["&amp;$D1353&amp;"]["&amp;$F1353&amp;"]"</f>
        <v>[S12_FraudFreeAllocationOfAllowances][6][DetailsOfProceduresInNationalLaw]</v>
      </c>
    </row>
    <row r="1354" spans="1:15" x14ac:dyDescent="0.3">
      <c r="A1354" t="s">
        <v>1793</v>
      </c>
      <c r="B1354" t="s">
        <v>2293</v>
      </c>
      <c r="C1354" t="s">
        <v>2294</v>
      </c>
      <c r="D1354">
        <v>1</v>
      </c>
      <c r="E1354" t="s">
        <v>1447</v>
      </c>
      <c r="F1354" t="s">
        <v>2295</v>
      </c>
      <c r="G1354" t="s">
        <v>1797</v>
      </c>
      <c r="H1354" t="s">
        <v>2296</v>
      </c>
      <c r="I1354" t="s">
        <v>1799</v>
      </c>
      <c r="J1354" t="s">
        <v>1799</v>
      </c>
      <c r="K1354" t="s">
        <v>1799</v>
      </c>
      <c r="L1354" t="s">
        <v>1799</v>
      </c>
      <c r="M1354" t="s">
        <v>1799</v>
      </c>
      <c r="N1354" t="s">
        <v>1799</v>
      </c>
      <c r="O1354" s="184" t="str">
        <f>"["&amp;$C1354&amp;"]["&amp;$D1354&amp;"]["&amp;$F1354&amp;"]"</f>
        <v>[S12_CompetentAuthoritiesAwareOfFraud][1][DetailsOfArrangementsAndProcedures]</v>
      </c>
    </row>
    <row r="1355" spans="1:15" x14ac:dyDescent="0.3">
      <c r="A1355" t="s">
        <v>1793</v>
      </c>
      <c r="B1355" t="s">
        <v>2293</v>
      </c>
      <c r="C1355" t="s">
        <v>2294</v>
      </c>
      <c r="D1355">
        <v>2</v>
      </c>
      <c r="E1355" t="s">
        <v>1447</v>
      </c>
      <c r="F1355" t="s">
        <v>2295</v>
      </c>
      <c r="G1355" t="s">
        <v>1797</v>
      </c>
      <c r="H1355" t="s">
        <v>2297</v>
      </c>
      <c r="I1355" t="s">
        <v>1799</v>
      </c>
      <c r="J1355" t="s">
        <v>1799</v>
      </c>
      <c r="K1355" t="s">
        <v>1799</v>
      </c>
      <c r="L1355" t="s">
        <v>1799</v>
      </c>
      <c r="M1355" t="s">
        <v>1799</v>
      </c>
      <c r="N1355" t="s">
        <v>1799</v>
      </c>
      <c r="O1355" s="184" t="str">
        <f>"["&amp;$C1355&amp;"]["&amp;$D1355&amp;"]["&amp;$F1355&amp;"]"</f>
        <v>[S12_CompetentAuthoritiesAwareOfFraud][2][DetailsOfArrangementsAndProcedures]</v>
      </c>
    </row>
    <row r="1356" spans="1:15" x14ac:dyDescent="0.3">
      <c r="A1356" t="s">
        <v>1793</v>
      </c>
      <c r="B1356" t="s">
        <v>2293</v>
      </c>
      <c r="C1356" t="s">
        <v>2294</v>
      </c>
      <c r="D1356">
        <v>3</v>
      </c>
      <c r="E1356" t="s">
        <v>1447</v>
      </c>
      <c r="F1356" t="s">
        <v>2295</v>
      </c>
      <c r="G1356" t="s">
        <v>1797</v>
      </c>
      <c r="H1356" t="s">
        <v>2297</v>
      </c>
      <c r="I1356" t="s">
        <v>1799</v>
      </c>
      <c r="J1356" t="s">
        <v>1799</v>
      </c>
      <c r="K1356" t="s">
        <v>1799</v>
      </c>
      <c r="L1356" t="s">
        <v>1799</v>
      </c>
      <c r="M1356" t="s">
        <v>1799</v>
      </c>
      <c r="N1356" t="s">
        <v>1799</v>
      </c>
      <c r="O1356" s="184" t="str">
        <f>"["&amp;$C1356&amp;"]["&amp;$D1356&amp;"]["&amp;$F1356&amp;"]"</f>
        <v>[S12_CompetentAuthoritiesAwareOfFraud][3][DetailsOfArrangementsAndProcedures]</v>
      </c>
    </row>
    <row r="1357" spans="1:15" x14ac:dyDescent="0.3">
      <c r="A1357" t="s">
        <v>1793</v>
      </c>
      <c r="B1357" t="s">
        <v>2293</v>
      </c>
      <c r="C1357" t="s">
        <v>2294</v>
      </c>
      <c r="D1357">
        <v>4</v>
      </c>
      <c r="E1357" t="s">
        <v>1447</v>
      </c>
      <c r="F1357" t="s">
        <v>2295</v>
      </c>
      <c r="G1357" t="s">
        <v>1797</v>
      </c>
      <c r="H1357" t="s">
        <v>2297</v>
      </c>
      <c r="I1357" t="s">
        <v>1799</v>
      </c>
      <c r="J1357" t="s">
        <v>1799</v>
      </c>
      <c r="K1357" t="s">
        <v>1799</v>
      </c>
      <c r="L1357" t="s">
        <v>1799</v>
      </c>
      <c r="M1357" t="s">
        <v>1799</v>
      </c>
      <c r="N1357" t="s">
        <v>1799</v>
      </c>
      <c r="O1357" s="184" t="str">
        <f>"["&amp;$C1357&amp;"]["&amp;$D1357&amp;"]["&amp;$F1357&amp;"]"</f>
        <v>[S12_CompetentAuthoritiesAwareOfFraud][4][DetailsOfArrangementsAndProcedures]</v>
      </c>
    </row>
    <row r="1358" spans="1:15" x14ac:dyDescent="0.3">
      <c r="A1358" t="s">
        <v>1793</v>
      </c>
      <c r="B1358" t="s">
        <v>2298</v>
      </c>
      <c r="C1358" t="s">
        <v>2299</v>
      </c>
      <c r="D1358">
        <v>1</v>
      </c>
      <c r="E1358" t="s">
        <v>1447</v>
      </c>
      <c r="F1358" t="s">
        <v>2300</v>
      </c>
      <c r="G1358" t="s">
        <v>1811</v>
      </c>
      <c r="H1358" t="s">
        <v>1799</v>
      </c>
      <c r="I1358">
        <v>0</v>
      </c>
      <c r="J1358" t="s">
        <v>1799</v>
      </c>
      <c r="K1358" t="s">
        <v>1799</v>
      </c>
      <c r="L1358" t="s">
        <v>1799</v>
      </c>
      <c r="M1358" t="s">
        <v>1799</v>
      </c>
      <c r="N1358" t="s">
        <v>1799</v>
      </c>
      <c r="O1358" s="184" t="str">
        <f>"["&amp;$C1358&amp;"]["&amp;$D1358&amp;"]["&amp;$F1358&amp;"]"</f>
        <v>[S12_InformationOnFraudActivities][1][NumberOfActivities]</v>
      </c>
    </row>
    <row r="1359" spans="1:15" x14ac:dyDescent="0.3">
      <c r="A1359" t="s">
        <v>1793</v>
      </c>
      <c r="B1359" t="s">
        <v>2298</v>
      </c>
      <c r="C1359" t="s">
        <v>2299</v>
      </c>
      <c r="D1359">
        <v>2</v>
      </c>
      <c r="E1359" t="s">
        <v>1447</v>
      </c>
      <c r="F1359" t="s">
        <v>2300</v>
      </c>
      <c r="G1359" t="s">
        <v>1811</v>
      </c>
      <c r="H1359" t="s">
        <v>1799</v>
      </c>
      <c r="I1359">
        <v>0</v>
      </c>
      <c r="J1359" t="s">
        <v>1799</v>
      </c>
      <c r="K1359" t="s">
        <v>1799</v>
      </c>
      <c r="L1359" t="s">
        <v>1799</v>
      </c>
      <c r="M1359" t="s">
        <v>1799</v>
      </c>
      <c r="N1359" t="s">
        <v>1799</v>
      </c>
      <c r="O1359" s="184" t="str">
        <f>"["&amp;$C1359&amp;"]["&amp;$D1359&amp;"]["&amp;$F1359&amp;"]"</f>
        <v>[S12_InformationOnFraudActivities][2][NumberOfActivities]</v>
      </c>
    </row>
    <row r="1360" spans="1:15" x14ac:dyDescent="0.3">
      <c r="A1360" t="s">
        <v>1793</v>
      </c>
      <c r="B1360" t="s">
        <v>2298</v>
      </c>
      <c r="C1360" t="s">
        <v>2299</v>
      </c>
      <c r="D1360">
        <v>3</v>
      </c>
      <c r="E1360" t="s">
        <v>1447</v>
      </c>
      <c r="F1360" t="s">
        <v>2300</v>
      </c>
      <c r="G1360" t="s">
        <v>1811</v>
      </c>
      <c r="H1360" t="s">
        <v>1799</v>
      </c>
      <c r="I1360">
        <v>0</v>
      </c>
      <c r="J1360" t="s">
        <v>1799</v>
      </c>
      <c r="K1360" t="s">
        <v>1799</v>
      </c>
      <c r="L1360" t="s">
        <v>1799</v>
      </c>
      <c r="M1360" t="s">
        <v>1799</v>
      </c>
      <c r="N1360" t="s">
        <v>1799</v>
      </c>
      <c r="O1360" s="184" t="str">
        <f>"["&amp;$C1360&amp;"]["&amp;$D1360&amp;"]["&amp;$F1360&amp;"]"</f>
        <v>[S12_InformationOnFraudActivities][3][NumberOfActivities]</v>
      </c>
    </row>
    <row r="1361" spans="1:15" x14ac:dyDescent="0.3">
      <c r="A1361" t="s">
        <v>1793</v>
      </c>
      <c r="B1361" t="s">
        <v>2298</v>
      </c>
      <c r="C1361" t="s">
        <v>2299</v>
      </c>
      <c r="D1361">
        <v>4</v>
      </c>
      <c r="E1361" t="s">
        <v>1447</v>
      </c>
      <c r="F1361" t="s">
        <v>2300</v>
      </c>
      <c r="G1361" t="s">
        <v>1811</v>
      </c>
      <c r="H1361" t="s">
        <v>1799</v>
      </c>
      <c r="I1361">
        <v>0</v>
      </c>
      <c r="J1361" t="s">
        <v>1799</v>
      </c>
      <c r="K1361" t="s">
        <v>1799</v>
      </c>
      <c r="L1361" t="s">
        <v>1799</v>
      </c>
      <c r="M1361" t="s">
        <v>1799</v>
      </c>
      <c r="N1361" t="s">
        <v>1799</v>
      </c>
      <c r="O1361" s="184" t="str">
        <f>"["&amp;$C1361&amp;"]["&amp;$D1361&amp;"]["&amp;$F1361&amp;"]"</f>
        <v>[S12_InformationOnFraudActivities][4][NumberOfActivities]</v>
      </c>
    </row>
    <row r="1362" spans="1:15" x14ac:dyDescent="0.3">
      <c r="A1362" t="s">
        <v>1793</v>
      </c>
      <c r="B1362" t="s">
        <v>2301</v>
      </c>
      <c r="C1362" t="s">
        <v>2302</v>
      </c>
      <c r="D1362">
        <v>12</v>
      </c>
      <c r="E1362" t="s">
        <v>1447</v>
      </c>
      <c r="F1362" t="s">
        <v>2303</v>
      </c>
      <c r="G1362" t="s">
        <v>1861</v>
      </c>
      <c r="H1362" t="s">
        <v>1799</v>
      </c>
      <c r="I1362" t="s">
        <v>1799</v>
      </c>
      <c r="J1362" t="s">
        <v>1799</v>
      </c>
      <c r="K1362" t="s">
        <v>2304</v>
      </c>
      <c r="L1362" t="s">
        <v>1799</v>
      </c>
      <c r="M1362" t="s">
        <v>1799</v>
      </c>
      <c r="N1362" t="s">
        <v>1799</v>
      </c>
      <c r="O1362" s="184" t="str">
        <f>"["&amp;$C1362&amp;"]["&amp;$D1362&amp;"]["&amp;$F1362&amp;"]"</f>
        <v>[S13_AnyOtherIssues][12][OtherInformationOrIssues]</v>
      </c>
    </row>
    <row r="1363" spans="1:15" x14ac:dyDescent="0.3">
      <c r="A1363" t="s">
        <v>1793</v>
      </c>
      <c r="B1363" t="s">
        <v>2301</v>
      </c>
      <c r="C1363" t="s">
        <v>2302</v>
      </c>
      <c r="D1363">
        <v>13</v>
      </c>
      <c r="E1363" t="s">
        <v>1447</v>
      </c>
      <c r="F1363" t="s">
        <v>2303</v>
      </c>
      <c r="G1363" t="s">
        <v>1861</v>
      </c>
      <c r="H1363" t="s">
        <v>1799</v>
      </c>
      <c r="I1363" t="s">
        <v>1799</v>
      </c>
      <c r="J1363" t="s">
        <v>1799</v>
      </c>
      <c r="K1363" t="s">
        <v>2305</v>
      </c>
      <c r="L1363" t="s">
        <v>1799</v>
      </c>
      <c r="M1363" t="s">
        <v>1799</v>
      </c>
      <c r="N1363" t="s">
        <v>1799</v>
      </c>
      <c r="O1363" s="184" t="str">
        <f>"["&amp;$C1363&amp;"]["&amp;$D1363&amp;"]["&amp;$F1363&amp;"]"</f>
        <v>[S13_AnyOtherIssues][13][OtherInformationOrIssues]</v>
      </c>
    </row>
    <row r="1364" spans="1:15" x14ac:dyDescent="0.3">
      <c r="A1364" t="s">
        <v>1793</v>
      </c>
      <c r="B1364" t="s">
        <v>2301</v>
      </c>
      <c r="C1364" t="s">
        <v>2302</v>
      </c>
      <c r="D1364">
        <v>14</v>
      </c>
      <c r="E1364" t="s">
        <v>1447</v>
      </c>
      <c r="F1364" t="s">
        <v>2303</v>
      </c>
      <c r="G1364" t="s">
        <v>1861</v>
      </c>
      <c r="H1364" t="s">
        <v>1799</v>
      </c>
      <c r="I1364" t="s">
        <v>1799</v>
      </c>
      <c r="J1364" t="s">
        <v>1799</v>
      </c>
      <c r="K1364" t="s">
        <v>2306</v>
      </c>
      <c r="L1364" t="s">
        <v>1799</v>
      </c>
      <c r="M1364" t="s">
        <v>1799</v>
      </c>
      <c r="N1364" t="s">
        <v>1799</v>
      </c>
      <c r="O1364" s="184" t="str">
        <f>"["&amp;$C1364&amp;"]["&amp;$D1364&amp;"]["&amp;$F1364&amp;"]"</f>
        <v>[S13_AnyOtherIssues][14][OtherInformationOrIssues]</v>
      </c>
    </row>
    <row r="1365" spans="1:15" x14ac:dyDescent="0.3">
      <c r="A1365" t="s">
        <v>1793</v>
      </c>
      <c r="B1365" t="s">
        <v>2301</v>
      </c>
      <c r="C1365" t="s">
        <v>2302</v>
      </c>
      <c r="D1365">
        <v>15</v>
      </c>
      <c r="E1365" t="s">
        <v>1447</v>
      </c>
      <c r="F1365" t="s">
        <v>2303</v>
      </c>
      <c r="G1365" t="s">
        <v>1861</v>
      </c>
      <c r="H1365" t="s">
        <v>1799</v>
      </c>
      <c r="I1365" t="s">
        <v>1799</v>
      </c>
      <c r="J1365" t="s">
        <v>1799</v>
      </c>
      <c r="K1365" t="s">
        <v>2307</v>
      </c>
      <c r="L1365" t="s">
        <v>1799</v>
      </c>
      <c r="M1365" t="s">
        <v>1799</v>
      </c>
      <c r="N1365" t="s">
        <v>1799</v>
      </c>
      <c r="O1365" s="184" t="str">
        <f>"["&amp;$C1365&amp;"]["&amp;$D1365&amp;"]["&amp;$F1365&amp;"]"</f>
        <v>[S13_AnyOtherIssues][15][OtherInformationOrIssues]</v>
      </c>
    </row>
    <row r="1366" spans="1:15" x14ac:dyDescent="0.3">
      <c r="A1366" t="s">
        <v>1793</v>
      </c>
      <c r="B1366" t="s">
        <v>2301</v>
      </c>
      <c r="C1366" t="s">
        <v>2302</v>
      </c>
      <c r="D1366">
        <v>16</v>
      </c>
      <c r="E1366" t="s">
        <v>1447</v>
      </c>
      <c r="F1366" t="s">
        <v>2303</v>
      </c>
      <c r="G1366" t="s">
        <v>1861</v>
      </c>
      <c r="H1366" t="s">
        <v>1799</v>
      </c>
      <c r="I1366" t="s">
        <v>1799</v>
      </c>
      <c r="J1366" t="s">
        <v>1799</v>
      </c>
      <c r="K1366" t="s">
        <v>2308</v>
      </c>
      <c r="L1366" t="s">
        <v>1799</v>
      </c>
      <c r="M1366" t="s">
        <v>1799</v>
      </c>
      <c r="N1366" t="s">
        <v>1799</v>
      </c>
      <c r="O1366" s="184" t="str">
        <f>"["&amp;$C1366&amp;"]["&amp;$D1366&amp;"]["&amp;$F1366&amp;"]"</f>
        <v>[S13_AnyOtherIssues][16][OtherInformationOrIssues]</v>
      </c>
    </row>
    <row r="1367" spans="1:15" x14ac:dyDescent="0.3">
      <c r="A1367" t="s">
        <v>1793</v>
      </c>
      <c r="B1367" t="s">
        <v>2301</v>
      </c>
      <c r="C1367" t="s">
        <v>2302</v>
      </c>
      <c r="D1367">
        <v>35</v>
      </c>
      <c r="E1367" t="s">
        <v>1447</v>
      </c>
      <c r="F1367" t="s">
        <v>2303</v>
      </c>
      <c r="G1367" t="s">
        <v>1861</v>
      </c>
      <c r="H1367" t="s">
        <v>1799</v>
      </c>
      <c r="I1367" t="s">
        <v>1799</v>
      </c>
      <c r="J1367" t="s">
        <v>1799</v>
      </c>
      <c r="K1367" t="s">
        <v>2309</v>
      </c>
      <c r="L1367" t="s">
        <v>1799</v>
      </c>
      <c r="M1367" t="s">
        <v>1799</v>
      </c>
      <c r="N1367" t="s">
        <v>1799</v>
      </c>
      <c r="O1367" s="184" t="str">
        <f>"["&amp;$C1367&amp;"]["&amp;$D1367&amp;"]["&amp;$F1367&amp;"]"</f>
        <v>[S13_AnyOtherIssues][35][OtherInformationOrIssues]</v>
      </c>
    </row>
    <row r="1368" spans="1:15" x14ac:dyDescent="0.3">
      <c r="A1368" t="s">
        <v>1793</v>
      </c>
      <c r="B1368" t="s">
        <v>2301</v>
      </c>
      <c r="C1368" t="s">
        <v>2302</v>
      </c>
      <c r="D1368">
        <v>36</v>
      </c>
      <c r="E1368" t="s">
        <v>1447</v>
      </c>
      <c r="F1368" t="s">
        <v>2303</v>
      </c>
      <c r="G1368" t="s">
        <v>1861</v>
      </c>
      <c r="H1368" t="s">
        <v>1799</v>
      </c>
      <c r="I1368" t="s">
        <v>1799</v>
      </c>
      <c r="J1368" t="s">
        <v>1799</v>
      </c>
      <c r="K1368" t="s">
        <v>2310</v>
      </c>
      <c r="L1368" t="s">
        <v>1799</v>
      </c>
      <c r="M1368" t="s">
        <v>1799</v>
      </c>
      <c r="N1368" t="s">
        <v>1799</v>
      </c>
      <c r="O1368" s="184" t="str">
        <f>"["&amp;$C1368&amp;"]["&amp;$D1368&amp;"]["&amp;$F1368&amp;"]"</f>
        <v>[S13_AnyOtherIssues][36][OtherInformationOrIssues]</v>
      </c>
    </row>
    <row r="1369" spans="1:15" x14ac:dyDescent="0.3">
      <c r="A1369" t="s">
        <v>1793</v>
      </c>
      <c r="B1369" t="s">
        <v>2301</v>
      </c>
      <c r="C1369" t="s">
        <v>2302</v>
      </c>
      <c r="D1369">
        <v>37</v>
      </c>
      <c r="E1369" t="s">
        <v>1447</v>
      </c>
      <c r="F1369" t="s">
        <v>2303</v>
      </c>
      <c r="G1369" t="s">
        <v>1861</v>
      </c>
      <c r="H1369" t="s">
        <v>1799</v>
      </c>
      <c r="I1369" t="s">
        <v>1799</v>
      </c>
      <c r="J1369" t="s">
        <v>1799</v>
      </c>
      <c r="K1369" t="s">
        <v>2311</v>
      </c>
      <c r="L1369" t="s">
        <v>1799</v>
      </c>
      <c r="M1369" t="s">
        <v>1799</v>
      </c>
      <c r="N1369" t="s">
        <v>1799</v>
      </c>
      <c r="O1369" s="184" t="str">
        <f>"["&amp;$C1369&amp;"]["&amp;$D1369&amp;"]["&amp;$F1369&amp;"]"</f>
        <v>[S13_AnyOtherIssues][37][OtherInformationOrIssues]</v>
      </c>
    </row>
    <row r="1370" spans="1:15" x14ac:dyDescent="0.3">
      <c r="A1370" t="s">
        <v>1793</v>
      </c>
      <c r="B1370" t="s">
        <v>2301</v>
      </c>
      <c r="C1370" t="s">
        <v>2302</v>
      </c>
      <c r="D1370">
        <v>47</v>
      </c>
      <c r="E1370" t="s">
        <v>1447</v>
      </c>
      <c r="F1370" t="s">
        <v>2303</v>
      </c>
      <c r="G1370" t="s">
        <v>1861</v>
      </c>
      <c r="H1370" t="s">
        <v>1799</v>
      </c>
      <c r="I1370" t="s">
        <v>1799</v>
      </c>
      <c r="J1370" t="s">
        <v>1799</v>
      </c>
      <c r="K1370" t="s">
        <v>2312</v>
      </c>
      <c r="L1370" t="s">
        <v>1799</v>
      </c>
      <c r="M1370" t="s">
        <v>1799</v>
      </c>
      <c r="N1370" t="s">
        <v>1799</v>
      </c>
      <c r="O1370" s="184" t="str">
        <f>"["&amp;$C1370&amp;"]["&amp;$D1370&amp;"]["&amp;$F1370&amp;"]"</f>
        <v>[S13_AnyOtherIssues][47][OtherInformationOrIssues]</v>
      </c>
    </row>
    <row r="1371" spans="1:15" x14ac:dyDescent="0.3">
      <c r="A1371" t="s">
        <v>1793</v>
      </c>
      <c r="B1371" t="s">
        <v>2301</v>
      </c>
      <c r="C1371" t="s">
        <v>2302</v>
      </c>
      <c r="D1371">
        <v>50</v>
      </c>
      <c r="E1371" t="s">
        <v>1447</v>
      </c>
      <c r="F1371" t="s">
        <v>2303</v>
      </c>
      <c r="G1371" t="s">
        <v>1861</v>
      </c>
      <c r="H1371" t="s">
        <v>1799</v>
      </c>
      <c r="I1371" t="s">
        <v>1799</v>
      </c>
      <c r="J1371" t="s">
        <v>1799</v>
      </c>
      <c r="K1371" t="s">
        <v>2313</v>
      </c>
      <c r="L1371" t="s">
        <v>1799</v>
      </c>
      <c r="M1371" t="s">
        <v>1799</v>
      </c>
      <c r="N1371" t="s">
        <v>1799</v>
      </c>
      <c r="O1371" s="184" t="str">
        <f>"["&amp;$C1371&amp;"]["&amp;$D1371&amp;"]["&amp;$F1371&amp;"]"</f>
        <v>[S13_AnyOtherIssues][50][OtherInformationOrIssues]</v>
      </c>
    </row>
    <row r="1372" spans="1:15" x14ac:dyDescent="0.3">
      <c r="A1372" t="s">
        <v>1793</v>
      </c>
      <c r="B1372" t="s">
        <v>2301</v>
      </c>
      <c r="C1372" t="s">
        <v>2302</v>
      </c>
      <c r="D1372">
        <v>51</v>
      </c>
      <c r="E1372" t="s">
        <v>1447</v>
      </c>
      <c r="F1372" t="s">
        <v>2303</v>
      </c>
      <c r="G1372" t="s">
        <v>1861</v>
      </c>
      <c r="H1372" t="s">
        <v>1799</v>
      </c>
      <c r="I1372" t="s">
        <v>1799</v>
      </c>
      <c r="J1372" t="s">
        <v>1799</v>
      </c>
      <c r="K1372" t="s">
        <v>2314</v>
      </c>
      <c r="L1372" t="s">
        <v>1799</v>
      </c>
      <c r="M1372" t="s">
        <v>1799</v>
      </c>
      <c r="N1372" t="s">
        <v>1799</v>
      </c>
      <c r="O1372" s="184" t="str">
        <f>"["&amp;$C1372&amp;"]["&amp;$D1372&amp;"]["&amp;$F1372&amp;"]"</f>
        <v>[S13_AnyOtherIssues][51][OtherInformationOrIssues]</v>
      </c>
    </row>
    <row r="1373" spans="1:15" x14ac:dyDescent="0.3">
      <c r="A1373" t="s">
        <v>1793</v>
      </c>
      <c r="B1373" t="s">
        <v>2301</v>
      </c>
      <c r="C1373" t="s">
        <v>2302</v>
      </c>
      <c r="D1373">
        <v>52</v>
      </c>
      <c r="E1373" t="s">
        <v>1447</v>
      </c>
      <c r="F1373" t="s">
        <v>2303</v>
      </c>
      <c r="G1373" t="s">
        <v>1861</v>
      </c>
      <c r="H1373" t="s">
        <v>1799</v>
      </c>
      <c r="I1373" t="s">
        <v>1799</v>
      </c>
      <c r="J1373" t="s">
        <v>1799</v>
      </c>
      <c r="K1373" t="s">
        <v>2315</v>
      </c>
      <c r="L1373" t="s">
        <v>1799</v>
      </c>
      <c r="M1373" t="s">
        <v>1799</v>
      </c>
      <c r="N1373" t="s">
        <v>1799</v>
      </c>
      <c r="O1373" s="184" t="str">
        <f>"["&amp;$C1373&amp;"]["&amp;$D1373&amp;"]["&amp;$F1373&amp;"]"</f>
        <v>[S13_AnyOtherIssues][52][OtherInformationOrIssues]</v>
      </c>
    </row>
    <row r="1374" spans="1:15" x14ac:dyDescent="0.3">
      <c r="A1374" t="s">
        <v>1793</v>
      </c>
      <c r="B1374" t="s">
        <v>2301</v>
      </c>
      <c r="C1374" t="s">
        <v>2302</v>
      </c>
      <c r="D1374">
        <v>53</v>
      </c>
      <c r="E1374" t="s">
        <v>1447</v>
      </c>
      <c r="F1374" t="s">
        <v>2303</v>
      </c>
      <c r="G1374" t="s">
        <v>1861</v>
      </c>
      <c r="H1374" t="s">
        <v>1799</v>
      </c>
      <c r="I1374" t="s">
        <v>1799</v>
      </c>
      <c r="J1374" t="s">
        <v>1799</v>
      </c>
      <c r="K1374" t="s">
        <v>2316</v>
      </c>
      <c r="L1374" t="s">
        <v>1799</v>
      </c>
      <c r="M1374" t="s">
        <v>1799</v>
      </c>
      <c r="N1374" t="s">
        <v>1799</v>
      </c>
      <c r="O1374" s="184" t="str">
        <f>"["&amp;$C1374&amp;"]["&amp;$D1374&amp;"]["&amp;$F1374&amp;"]"</f>
        <v>[S13_AnyOtherIssues][53][OtherInformationOrIssues]</v>
      </c>
    </row>
    <row r="1375" spans="1:15" x14ac:dyDescent="0.3">
      <c r="A1375" t="s">
        <v>1793</v>
      </c>
      <c r="B1375" t="s">
        <v>2301</v>
      </c>
      <c r="C1375" t="s">
        <v>2302</v>
      </c>
      <c r="D1375">
        <v>54</v>
      </c>
      <c r="E1375" t="s">
        <v>1447</v>
      </c>
      <c r="F1375" t="s">
        <v>2303</v>
      </c>
      <c r="G1375" t="s">
        <v>1861</v>
      </c>
      <c r="H1375" t="s">
        <v>1799</v>
      </c>
      <c r="I1375" t="s">
        <v>1799</v>
      </c>
      <c r="J1375" t="s">
        <v>1799</v>
      </c>
      <c r="K1375" t="s">
        <v>2316</v>
      </c>
      <c r="L1375" t="s">
        <v>1799</v>
      </c>
      <c r="M1375" t="s">
        <v>1799</v>
      </c>
      <c r="N1375" t="s">
        <v>1799</v>
      </c>
      <c r="O1375" s="184" t="str">
        <f>"["&amp;$C1375&amp;"]["&amp;$D1375&amp;"]["&amp;$F1375&amp;"]"</f>
        <v>[S13_AnyOtherIssues][54][OtherInformationOrIssues]</v>
      </c>
    </row>
    <row r="1376" spans="1:15" x14ac:dyDescent="0.3">
      <c r="A1376" t="s">
        <v>1793</v>
      </c>
      <c r="B1376" t="s">
        <v>2301</v>
      </c>
      <c r="C1376" t="s">
        <v>2302</v>
      </c>
      <c r="D1376">
        <v>55</v>
      </c>
      <c r="E1376" t="s">
        <v>1447</v>
      </c>
      <c r="F1376" t="s">
        <v>2303</v>
      </c>
      <c r="G1376" t="s">
        <v>1861</v>
      </c>
      <c r="H1376" t="s">
        <v>1799</v>
      </c>
      <c r="I1376" t="s">
        <v>1799</v>
      </c>
      <c r="J1376" t="s">
        <v>1799</v>
      </c>
      <c r="K1376" t="s">
        <v>2317</v>
      </c>
      <c r="L1376" t="s">
        <v>1799</v>
      </c>
      <c r="M1376" t="s">
        <v>1799</v>
      </c>
      <c r="N1376" t="s">
        <v>1799</v>
      </c>
      <c r="O1376" s="184" t="str">
        <f>"["&amp;$C1376&amp;"]["&amp;$D1376&amp;"]["&amp;$F1376&amp;"]"</f>
        <v>[S13_AnyOtherIssues][55][OtherInformationOrIssues]</v>
      </c>
    </row>
    <row r="1377" spans="1:15" x14ac:dyDescent="0.3">
      <c r="A1377" t="s">
        <v>1793</v>
      </c>
      <c r="B1377" t="s">
        <v>2301</v>
      </c>
      <c r="C1377" t="s">
        <v>2302</v>
      </c>
      <c r="D1377">
        <v>56</v>
      </c>
      <c r="E1377" t="s">
        <v>1447</v>
      </c>
      <c r="F1377" t="s">
        <v>2303</v>
      </c>
      <c r="G1377" t="s">
        <v>1861</v>
      </c>
      <c r="H1377" t="s">
        <v>1799</v>
      </c>
      <c r="I1377" t="s">
        <v>1799</v>
      </c>
      <c r="J1377" t="s">
        <v>1799</v>
      </c>
      <c r="K1377" t="s">
        <v>2317</v>
      </c>
      <c r="L1377" t="s">
        <v>1799</v>
      </c>
      <c r="M1377" t="s">
        <v>1799</v>
      </c>
      <c r="N1377" t="s">
        <v>1799</v>
      </c>
      <c r="O1377" s="184" t="str">
        <f>"["&amp;$C1377&amp;"]["&amp;$D1377&amp;"]["&amp;$F1377&amp;"]"</f>
        <v>[S13_AnyOtherIssues][56][OtherInformationOrIssues]</v>
      </c>
    </row>
    <row r="1378" spans="1:15" x14ac:dyDescent="0.3">
      <c r="A1378" t="s">
        <v>1793</v>
      </c>
      <c r="B1378" t="s">
        <v>2301</v>
      </c>
      <c r="C1378" t="s">
        <v>2302</v>
      </c>
      <c r="D1378">
        <v>57</v>
      </c>
      <c r="E1378" t="s">
        <v>1447</v>
      </c>
      <c r="F1378" t="s">
        <v>2303</v>
      </c>
      <c r="G1378" t="s">
        <v>1861</v>
      </c>
      <c r="H1378" t="s">
        <v>1799</v>
      </c>
      <c r="I1378" t="s">
        <v>1799</v>
      </c>
      <c r="J1378" t="s">
        <v>1799</v>
      </c>
      <c r="K1378" t="s">
        <v>2317</v>
      </c>
      <c r="L1378" t="s">
        <v>1799</v>
      </c>
      <c r="M1378" t="s">
        <v>1799</v>
      </c>
      <c r="N1378" t="s">
        <v>1799</v>
      </c>
      <c r="O1378" s="184" t="str">
        <f>"["&amp;$C1378&amp;"]["&amp;$D1378&amp;"]["&amp;$F1378&amp;"]"</f>
        <v>[S13_AnyOtherIssues][57][OtherInformationOrIssues]</v>
      </c>
    </row>
    <row r="1379" spans="1:15" x14ac:dyDescent="0.3">
      <c r="A1379" t="s">
        <v>1793</v>
      </c>
      <c r="B1379" t="s">
        <v>2301</v>
      </c>
      <c r="C1379" t="s">
        <v>2302</v>
      </c>
      <c r="D1379">
        <v>58</v>
      </c>
      <c r="E1379" t="s">
        <v>1447</v>
      </c>
      <c r="F1379" t="s">
        <v>2303</v>
      </c>
      <c r="G1379" t="s">
        <v>1861</v>
      </c>
      <c r="H1379" t="s">
        <v>1799</v>
      </c>
      <c r="I1379" t="s">
        <v>1799</v>
      </c>
      <c r="J1379" t="s">
        <v>1799</v>
      </c>
      <c r="K1379" t="s">
        <v>2317</v>
      </c>
      <c r="L1379" t="s">
        <v>1799</v>
      </c>
      <c r="M1379" t="s">
        <v>1799</v>
      </c>
      <c r="N1379" t="s">
        <v>1799</v>
      </c>
      <c r="O1379" s="184" t="str">
        <f>"["&amp;$C1379&amp;"]["&amp;$D1379&amp;"]["&amp;$F1379&amp;"]"</f>
        <v>[S13_AnyOtherIssues][58][OtherInformationOrIssues]</v>
      </c>
    </row>
    <row r="1380" spans="1:15" x14ac:dyDescent="0.3">
      <c r="A1380" t="s">
        <v>1793</v>
      </c>
      <c r="B1380" t="s">
        <v>2301</v>
      </c>
      <c r="C1380" t="s">
        <v>2302</v>
      </c>
      <c r="D1380">
        <v>59</v>
      </c>
      <c r="E1380" t="s">
        <v>1447</v>
      </c>
      <c r="F1380" t="s">
        <v>2303</v>
      </c>
      <c r="G1380" t="s">
        <v>1861</v>
      </c>
      <c r="H1380" t="s">
        <v>1799</v>
      </c>
      <c r="I1380" t="s">
        <v>1799</v>
      </c>
      <c r="J1380" t="s">
        <v>1799</v>
      </c>
      <c r="K1380" t="s">
        <v>2317</v>
      </c>
      <c r="L1380" t="s">
        <v>1799</v>
      </c>
      <c r="M1380" t="s">
        <v>1799</v>
      </c>
      <c r="N1380" t="s">
        <v>1799</v>
      </c>
      <c r="O1380" s="184" t="str">
        <f>"["&amp;$C1380&amp;"]["&amp;$D1380&amp;"]["&amp;$F1380&amp;"]"</f>
        <v>[S13_AnyOtherIssues][59][OtherInformationOrIssues]</v>
      </c>
    </row>
    <row r="1381" spans="1:15" x14ac:dyDescent="0.3">
      <c r="A1381" t="s">
        <v>1793</v>
      </c>
      <c r="B1381" t="s">
        <v>2301</v>
      </c>
      <c r="C1381" t="s">
        <v>2302</v>
      </c>
      <c r="D1381">
        <v>60</v>
      </c>
      <c r="E1381" t="s">
        <v>1447</v>
      </c>
      <c r="F1381" t="s">
        <v>2303</v>
      </c>
      <c r="G1381" t="s">
        <v>1861</v>
      </c>
      <c r="H1381" t="s">
        <v>1799</v>
      </c>
      <c r="I1381" t="s">
        <v>1799</v>
      </c>
      <c r="J1381" t="s">
        <v>1799</v>
      </c>
      <c r="K1381" t="s">
        <v>2317</v>
      </c>
      <c r="L1381" t="s">
        <v>1799</v>
      </c>
      <c r="M1381" t="s">
        <v>1799</v>
      </c>
      <c r="N1381" t="s">
        <v>1799</v>
      </c>
      <c r="O1381" s="184" t="str">
        <f>"["&amp;$C1381&amp;"]["&amp;$D1381&amp;"]["&amp;$F1381&amp;"]"</f>
        <v>[S13_AnyOtherIssues][60][OtherInformationOrIssues]</v>
      </c>
    </row>
    <row r="1382" spans="1:15" x14ac:dyDescent="0.3">
      <c r="A1382" t="s">
        <v>1793</v>
      </c>
      <c r="B1382" t="s">
        <v>2301</v>
      </c>
      <c r="C1382" t="s">
        <v>2302</v>
      </c>
      <c r="D1382">
        <v>61</v>
      </c>
      <c r="E1382" t="s">
        <v>1447</v>
      </c>
      <c r="F1382" t="s">
        <v>2303</v>
      </c>
      <c r="G1382" t="s">
        <v>1861</v>
      </c>
      <c r="H1382" t="s">
        <v>1799</v>
      </c>
      <c r="I1382" t="s">
        <v>1799</v>
      </c>
      <c r="J1382" t="s">
        <v>1799</v>
      </c>
      <c r="K1382" t="s">
        <v>2317</v>
      </c>
      <c r="L1382" t="s">
        <v>1799</v>
      </c>
      <c r="M1382" t="s">
        <v>1799</v>
      </c>
      <c r="N1382" t="s">
        <v>1799</v>
      </c>
      <c r="O1382" s="184" t="str">
        <f>"["&amp;$C1382&amp;"]["&amp;$D1382&amp;"]["&amp;$F1382&amp;"]"</f>
        <v>[S13_AnyOtherIssues][61][OtherInformationOrIssues]</v>
      </c>
    </row>
    <row r="1383" spans="1:15" x14ac:dyDescent="0.3">
      <c r="A1383" t="s">
        <v>1793</v>
      </c>
      <c r="B1383" t="s">
        <v>2301</v>
      </c>
      <c r="C1383" t="s">
        <v>2302</v>
      </c>
      <c r="D1383">
        <v>68</v>
      </c>
      <c r="E1383" t="s">
        <v>1447</v>
      </c>
      <c r="F1383" t="s">
        <v>2303</v>
      </c>
      <c r="G1383" t="s">
        <v>1861</v>
      </c>
      <c r="H1383" t="s">
        <v>1799</v>
      </c>
      <c r="I1383" t="s">
        <v>1799</v>
      </c>
      <c r="J1383" t="s">
        <v>1799</v>
      </c>
      <c r="K1383" t="s">
        <v>2318</v>
      </c>
      <c r="L1383" t="s">
        <v>1799</v>
      </c>
      <c r="M1383" t="s">
        <v>1799</v>
      </c>
      <c r="N1383" t="s">
        <v>1799</v>
      </c>
      <c r="O1383" s="184" t="str">
        <f>"["&amp;$C1383&amp;"]["&amp;$D1383&amp;"]["&amp;$F1383&amp;"]"</f>
        <v>[S13_AnyOtherIssues][68][OtherInformationOrIssues]</v>
      </c>
    </row>
    <row r="1384" spans="1:15" x14ac:dyDescent="0.3">
      <c r="A1384" t="s">
        <v>1793</v>
      </c>
      <c r="B1384" t="s">
        <v>2301</v>
      </c>
      <c r="C1384" t="s">
        <v>2302</v>
      </c>
      <c r="D1384">
        <v>12</v>
      </c>
      <c r="E1384" t="s">
        <v>1447</v>
      </c>
      <c r="F1384" t="s">
        <v>2319</v>
      </c>
      <c r="G1384" t="s">
        <v>1737</v>
      </c>
      <c r="H1384" t="s">
        <v>1799</v>
      </c>
      <c r="I1384" t="s">
        <v>1799</v>
      </c>
      <c r="J1384" t="s">
        <v>1799</v>
      </c>
      <c r="K1384" t="s">
        <v>1799</v>
      </c>
      <c r="L1384" t="s">
        <v>1581</v>
      </c>
      <c r="M1384" t="s">
        <v>1799</v>
      </c>
      <c r="N1384" t="s">
        <v>1799</v>
      </c>
      <c r="O1384" s="184" t="str">
        <f>"["&amp;$C1384&amp;"]["&amp;$D1384&amp;"]["&amp;$F1384&amp;"]"</f>
        <v>[S13_AnyOtherIssues][12][QuestionnaireSubQuestion]</v>
      </c>
    </row>
    <row r="1385" spans="1:15" x14ac:dyDescent="0.3">
      <c r="A1385" t="s">
        <v>1793</v>
      </c>
      <c r="B1385" t="s">
        <v>2301</v>
      </c>
      <c r="C1385" t="s">
        <v>2302</v>
      </c>
      <c r="D1385">
        <v>13</v>
      </c>
      <c r="E1385" t="s">
        <v>1447</v>
      </c>
      <c r="F1385" t="s">
        <v>2319</v>
      </c>
      <c r="G1385" t="s">
        <v>1737</v>
      </c>
      <c r="H1385" t="s">
        <v>1799</v>
      </c>
      <c r="I1385" t="s">
        <v>1799</v>
      </c>
      <c r="J1385" t="s">
        <v>1799</v>
      </c>
      <c r="K1385" t="s">
        <v>1799</v>
      </c>
      <c r="L1385" t="s">
        <v>1635</v>
      </c>
      <c r="M1385" t="s">
        <v>1799</v>
      </c>
      <c r="N1385" t="s">
        <v>1799</v>
      </c>
      <c r="O1385" s="184" t="str">
        <f>"["&amp;$C1385&amp;"]["&amp;$D1385&amp;"]["&amp;$F1385&amp;"]"</f>
        <v>[S13_AnyOtherIssues][13][QuestionnaireSubQuestion]</v>
      </c>
    </row>
    <row r="1386" spans="1:15" x14ac:dyDescent="0.3">
      <c r="A1386" t="s">
        <v>1793</v>
      </c>
      <c r="B1386" t="s">
        <v>2301</v>
      </c>
      <c r="C1386" t="s">
        <v>2302</v>
      </c>
      <c r="D1386">
        <v>14</v>
      </c>
      <c r="E1386" t="s">
        <v>1447</v>
      </c>
      <c r="F1386" t="s">
        <v>2319</v>
      </c>
      <c r="G1386" t="s">
        <v>1737</v>
      </c>
      <c r="H1386" t="s">
        <v>1799</v>
      </c>
      <c r="I1386" t="s">
        <v>1799</v>
      </c>
      <c r="J1386" t="s">
        <v>1799</v>
      </c>
      <c r="K1386" t="s">
        <v>1799</v>
      </c>
      <c r="L1386" t="s">
        <v>1640</v>
      </c>
      <c r="M1386" t="s">
        <v>1799</v>
      </c>
      <c r="N1386" t="s">
        <v>1799</v>
      </c>
      <c r="O1386" s="184" t="str">
        <f>"["&amp;$C1386&amp;"]["&amp;$D1386&amp;"]["&amp;$F1386&amp;"]"</f>
        <v>[S13_AnyOtherIssues][14][QuestionnaireSubQuestion]</v>
      </c>
    </row>
    <row r="1387" spans="1:15" x14ac:dyDescent="0.3">
      <c r="A1387" t="s">
        <v>1793</v>
      </c>
      <c r="B1387" t="s">
        <v>2301</v>
      </c>
      <c r="C1387" t="s">
        <v>2302</v>
      </c>
      <c r="D1387">
        <v>15</v>
      </c>
      <c r="E1387" t="s">
        <v>1447</v>
      </c>
      <c r="F1387" t="s">
        <v>2319</v>
      </c>
      <c r="G1387" t="s">
        <v>1737</v>
      </c>
      <c r="H1387" t="s">
        <v>1799</v>
      </c>
      <c r="I1387" t="s">
        <v>1799</v>
      </c>
      <c r="J1387" t="s">
        <v>1799</v>
      </c>
      <c r="K1387" t="s">
        <v>1799</v>
      </c>
      <c r="L1387" t="s">
        <v>1650</v>
      </c>
      <c r="M1387" t="s">
        <v>1799</v>
      </c>
      <c r="N1387" t="s">
        <v>1799</v>
      </c>
      <c r="O1387" s="184" t="str">
        <f>"["&amp;$C1387&amp;"]["&amp;$D1387&amp;"]["&amp;$F1387&amp;"]"</f>
        <v>[S13_AnyOtherIssues][15][QuestionnaireSubQuestion]</v>
      </c>
    </row>
    <row r="1388" spans="1:15" x14ac:dyDescent="0.3">
      <c r="A1388" t="s">
        <v>1793</v>
      </c>
      <c r="B1388" t="s">
        <v>2301</v>
      </c>
      <c r="C1388" t="s">
        <v>2302</v>
      </c>
      <c r="D1388">
        <v>16</v>
      </c>
      <c r="E1388" t="s">
        <v>1447</v>
      </c>
      <c r="F1388" t="s">
        <v>2319</v>
      </c>
      <c r="G1388" t="s">
        <v>1737</v>
      </c>
      <c r="H1388" t="s">
        <v>1799</v>
      </c>
      <c r="I1388" t="s">
        <v>1799</v>
      </c>
      <c r="J1388" t="s">
        <v>1799</v>
      </c>
      <c r="K1388" t="s">
        <v>1799</v>
      </c>
      <c r="L1388" t="s">
        <v>1655</v>
      </c>
      <c r="M1388" t="s">
        <v>1799</v>
      </c>
      <c r="N1388" t="s">
        <v>1799</v>
      </c>
      <c r="O1388" s="184" t="str">
        <f>"["&amp;$C1388&amp;"]["&amp;$D1388&amp;"]["&amp;$F1388&amp;"]"</f>
        <v>[S13_AnyOtherIssues][16][QuestionnaireSubQuestion]</v>
      </c>
    </row>
    <row r="1389" spans="1:15" x14ac:dyDescent="0.3">
      <c r="A1389" t="s">
        <v>1793</v>
      </c>
      <c r="B1389" t="s">
        <v>2301</v>
      </c>
      <c r="C1389" t="s">
        <v>2302</v>
      </c>
      <c r="D1389">
        <v>35</v>
      </c>
      <c r="E1389" t="s">
        <v>1447</v>
      </c>
      <c r="F1389" t="s">
        <v>2319</v>
      </c>
      <c r="G1389" t="s">
        <v>1737</v>
      </c>
      <c r="H1389" t="s">
        <v>1799</v>
      </c>
      <c r="I1389" t="s">
        <v>1799</v>
      </c>
      <c r="J1389" t="s">
        <v>1799</v>
      </c>
      <c r="K1389" t="s">
        <v>1799</v>
      </c>
      <c r="L1389" t="s">
        <v>1677</v>
      </c>
      <c r="M1389" t="s">
        <v>1799</v>
      </c>
      <c r="N1389" t="s">
        <v>1799</v>
      </c>
      <c r="O1389" s="184" t="str">
        <f>"["&amp;$C1389&amp;"]["&amp;$D1389&amp;"]["&amp;$F1389&amp;"]"</f>
        <v>[S13_AnyOtherIssues][35][QuestionnaireSubQuestion]</v>
      </c>
    </row>
    <row r="1390" spans="1:15" x14ac:dyDescent="0.3">
      <c r="A1390" t="s">
        <v>1793</v>
      </c>
      <c r="B1390" t="s">
        <v>2301</v>
      </c>
      <c r="C1390" t="s">
        <v>2302</v>
      </c>
      <c r="D1390">
        <v>36</v>
      </c>
      <c r="E1390" t="s">
        <v>1447</v>
      </c>
      <c r="F1390" t="s">
        <v>2319</v>
      </c>
      <c r="G1390" t="s">
        <v>1737</v>
      </c>
      <c r="H1390" t="s">
        <v>1799</v>
      </c>
      <c r="I1390" t="s">
        <v>1799</v>
      </c>
      <c r="J1390" t="s">
        <v>1799</v>
      </c>
      <c r="K1390" t="s">
        <v>1799</v>
      </c>
      <c r="L1390" t="s">
        <v>1678</v>
      </c>
      <c r="M1390" t="s">
        <v>1799</v>
      </c>
      <c r="N1390" t="s">
        <v>1799</v>
      </c>
      <c r="O1390" s="184" t="str">
        <f>"["&amp;$C1390&amp;"]["&amp;$D1390&amp;"]["&amp;$F1390&amp;"]"</f>
        <v>[S13_AnyOtherIssues][36][QuestionnaireSubQuestion]</v>
      </c>
    </row>
    <row r="1391" spans="1:15" x14ac:dyDescent="0.3">
      <c r="A1391" t="s">
        <v>1793</v>
      </c>
      <c r="B1391" t="s">
        <v>2301</v>
      </c>
      <c r="C1391" t="s">
        <v>2302</v>
      </c>
      <c r="D1391">
        <v>37</v>
      </c>
      <c r="E1391" t="s">
        <v>1447</v>
      </c>
      <c r="F1391" t="s">
        <v>2319</v>
      </c>
      <c r="G1391" t="s">
        <v>1737</v>
      </c>
      <c r="H1391" t="s">
        <v>1799</v>
      </c>
      <c r="I1391" t="s">
        <v>1799</v>
      </c>
      <c r="J1391" t="s">
        <v>1799</v>
      </c>
      <c r="K1391" t="s">
        <v>1799</v>
      </c>
      <c r="L1391" t="s">
        <v>1679</v>
      </c>
      <c r="M1391" t="s">
        <v>1799</v>
      </c>
      <c r="N1391" t="s">
        <v>1799</v>
      </c>
      <c r="O1391" s="184" t="str">
        <f>"["&amp;$C1391&amp;"]["&amp;$D1391&amp;"]["&amp;$F1391&amp;"]"</f>
        <v>[S13_AnyOtherIssues][37][QuestionnaireSubQuestion]</v>
      </c>
    </row>
    <row r="1392" spans="1:15" x14ac:dyDescent="0.3">
      <c r="A1392" t="s">
        <v>1793</v>
      </c>
      <c r="B1392" t="s">
        <v>2301</v>
      </c>
      <c r="C1392" t="s">
        <v>2302</v>
      </c>
      <c r="D1392">
        <v>47</v>
      </c>
      <c r="E1392" t="s">
        <v>1447</v>
      </c>
      <c r="F1392" t="s">
        <v>2319</v>
      </c>
      <c r="G1392" t="s">
        <v>1737</v>
      </c>
      <c r="H1392" t="s">
        <v>1799</v>
      </c>
      <c r="I1392" t="s">
        <v>1799</v>
      </c>
      <c r="J1392" t="s">
        <v>1799</v>
      </c>
      <c r="K1392" t="s">
        <v>1799</v>
      </c>
      <c r="L1392" t="s">
        <v>1688</v>
      </c>
      <c r="M1392" t="s">
        <v>1799</v>
      </c>
      <c r="N1392" t="s">
        <v>1799</v>
      </c>
      <c r="O1392" s="184" t="str">
        <f>"["&amp;$C1392&amp;"]["&amp;$D1392&amp;"]["&amp;$F1392&amp;"]"</f>
        <v>[S13_AnyOtherIssues][47][QuestionnaireSubQuestion]</v>
      </c>
    </row>
    <row r="1393" spans="1:15" x14ac:dyDescent="0.3">
      <c r="A1393" t="s">
        <v>1793</v>
      </c>
      <c r="B1393" t="s">
        <v>2301</v>
      </c>
      <c r="C1393" t="s">
        <v>2302</v>
      </c>
      <c r="D1393">
        <v>50</v>
      </c>
      <c r="E1393" t="s">
        <v>1447</v>
      </c>
      <c r="F1393" t="s">
        <v>2319</v>
      </c>
      <c r="G1393" t="s">
        <v>1737</v>
      </c>
      <c r="H1393" t="s">
        <v>1799</v>
      </c>
      <c r="I1393" t="s">
        <v>1799</v>
      </c>
      <c r="J1393" t="s">
        <v>1799</v>
      </c>
      <c r="K1393" t="s">
        <v>1799</v>
      </c>
      <c r="L1393" t="s">
        <v>1692</v>
      </c>
      <c r="M1393" t="s">
        <v>1799</v>
      </c>
      <c r="N1393" t="s">
        <v>1799</v>
      </c>
      <c r="O1393" s="184" t="str">
        <f>"["&amp;$C1393&amp;"]["&amp;$D1393&amp;"]["&amp;$F1393&amp;"]"</f>
        <v>[S13_AnyOtherIssues][50][QuestionnaireSubQuestion]</v>
      </c>
    </row>
    <row r="1394" spans="1:15" x14ac:dyDescent="0.3">
      <c r="A1394" t="s">
        <v>1793</v>
      </c>
      <c r="B1394" t="s">
        <v>2301</v>
      </c>
      <c r="C1394" t="s">
        <v>2302</v>
      </c>
      <c r="D1394">
        <v>51</v>
      </c>
      <c r="E1394" t="s">
        <v>1447</v>
      </c>
      <c r="F1394" t="s">
        <v>2319</v>
      </c>
      <c r="G1394" t="s">
        <v>1737</v>
      </c>
      <c r="H1394" t="s">
        <v>1799</v>
      </c>
      <c r="I1394" t="s">
        <v>1799</v>
      </c>
      <c r="J1394" t="s">
        <v>1799</v>
      </c>
      <c r="K1394" t="s">
        <v>1799</v>
      </c>
      <c r="L1394" t="s">
        <v>1693</v>
      </c>
      <c r="M1394" t="s">
        <v>1799</v>
      </c>
      <c r="N1394" t="s">
        <v>1799</v>
      </c>
      <c r="O1394" s="184" t="str">
        <f>"["&amp;$C1394&amp;"]["&amp;$D1394&amp;"]["&amp;$F1394&amp;"]"</f>
        <v>[S13_AnyOtherIssues][51][QuestionnaireSubQuestion]</v>
      </c>
    </row>
    <row r="1395" spans="1:15" x14ac:dyDescent="0.3">
      <c r="A1395" t="s">
        <v>1793</v>
      </c>
      <c r="B1395" t="s">
        <v>2301</v>
      </c>
      <c r="C1395" t="s">
        <v>2302</v>
      </c>
      <c r="D1395">
        <v>52</v>
      </c>
      <c r="E1395" t="s">
        <v>1447</v>
      </c>
      <c r="F1395" t="s">
        <v>2319</v>
      </c>
      <c r="G1395" t="s">
        <v>1737</v>
      </c>
      <c r="H1395" t="s">
        <v>1799</v>
      </c>
      <c r="I1395" t="s">
        <v>1799</v>
      </c>
      <c r="J1395" t="s">
        <v>1799</v>
      </c>
      <c r="K1395" t="s">
        <v>1799</v>
      </c>
      <c r="L1395" t="s">
        <v>1694</v>
      </c>
      <c r="M1395" t="s">
        <v>1799</v>
      </c>
      <c r="N1395" t="s">
        <v>1799</v>
      </c>
      <c r="O1395" s="184" t="str">
        <f>"["&amp;$C1395&amp;"]["&amp;$D1395&amp;"]["&amp;$F1395&amp;"]"</f>
        <v>[S13_AnyOtherIssues][52][QuestionnaireSubQuestion]</v>
      </c>
    </row>
    <row r="1396" spans="1:15" x14ac:dyDescent="0.3">
      <c r="A1396" t="s">
        <v>1793</v>
      </c>
      <c r="B1396" t="s">
        <v>2301</v>
      </c>
      <c r="C1396" t="s">
        <v>2302</v>
      </c>
      <c r="D1396">
        <v>53</v>
      </c>
      <c r="E1396" t="s">
        <v>1447</v>
      </c>
      <c r="F1396" t="s">
        <v>2319</v>
      </c>
      <c r="G1396" t="s">
        <v>1737</v>
      </c>
      <c r="H1396" t="s">
        <v>1799</v>
      </c>
      <c r="I1396" t="s">
        <v>1799</v>
      </c>
      <c r="J1396" t="s">
        <v>1799</v>
      </c>
      <c r="K1396" t="s">
        <v>1799</v>
      </c>
      <c r="L1396" t="s">
        <v>1698</v>
      </c>
      <c r="M1396" t="s">
        <v>1799</v>
      </c>
      <c r="N1396" t="s">
        <v>1799</v>
      </c>
      <c r="O1396" s="184" t="str">
        <f>"["&amp;$C1396&amp;"]["&amp;$D1396&amp;"]["&amp;$F1396&amp;"]"</f>
        <v>[S13_AnyOtherIssues][53][QuestionnaireSubQuestion]</v>
      </c>
    </row>
    <row r="1397" spans="1:15" x14ac:dyDescent="0.3">
      <c r="A1397" t="s">
        <v>1793</v>
      </c>
      <c r="B1397" t="s">
        <v>2301</v>
      </c>
      <c r="C1397" t="s">
        <v>2302</v>
      </c>
      <c r="D1397">
        <v>54</v>
      </c>
      <c r="E1397" t="s">
        <v>1447</v>
      </c>
      <c r="F1397" t="s">
        <v>2319</v>
      </c>
      <c r="G1397" t="s">
        <v>1737</v>
      </c>
      <c r="H1397" t="s">
        <v>1799</v>
      </c>
      <c r="I1397" t="s">
        <v>1799</v>
      </c>
      <c r="J1397" t="s">
        <v>1799</v>
      </c>
      <c r="K1397" t="s">
        <v>1799</v>
      </c>
      <c r="L1397" t="s">
        <v>1699</v>
      </c>
      <c r="M1397" t="s">
        <v>1799</v>
      </c>
      <c r="N1397" t="s">
        <v>1799</v>
      </c>
      <c r="O1397" s="184" t="str">
        <f>"["&amp;$C1397&amp;"]["&amp;$D1397&amp;"]["&amp;$F1397&amp;"]"</f>
        <v>[S13_AnyOtherIssues][54][QuestionnaireSubQuestion]</v>
      </c>
    </row>
    <row r="1398" spans="1:15" x14ac:dyDescent="0.3">
      <c r="A1398" t="s">
        <v>1793</v>
      </c>
      <c r="B1398" t="s">
        <v>2301</v>
      </c>
      <c r="C1398" t="s">
        <v>2302</v>
      </c>
      <c r="D1398">
        <v>55</v>
      </c>
      <c r="E1398" t="s">
        <v>1447</v>
      </c>
      <c r="F1398" t="s">
        <v>2319</v>
      </c>
      <c r="G1398" t="s">
        <v>1737</v>
      </c>
      <c r="H1398" t="s">
        <v>1799</v>
      </c>
      <c r="I1398" t="s">
        <v>1799</v>
      </c>
      <c r="J1398" t="s">
        <v>1799</v>
      </c>
      <c r="K1398" t="s">
        <v>1799</v>
      </c>
      <c r="L1398" t="s">
        <v>1695</v>
      </c>
      <c r="M1398" t="s">
        <v>1799</v>
      </c>
      <c r="N1398" t="s">
        <v>1799</v>
      </c>
      <c r="O1398" s="184" t="str">
        <f>"["&amp;$C1398&amp;"]["&amp;$D1398&amp;"]["&amp;$F1398&amp;"]"</f>
        <v>[S13_AnyOtherIssues][55][QuestionnaireSubQuestion]</v>
      </c>
    </row>
    <row r="1399" spans="1:15" x14ac:dyDescent="0.3">
      <c r="A1399" t="s">
        <v>1793</v>
      </c>
      <c r="B1399" t="s">
        <v>2301</v>
      </c>
      <c r="C1399" t="s">
        <v>2302</v>
      </c>
      <c r="D1399">
        <v>56</v>
      </c>
      <c r="E1399" t="s">
        <v>1447</v>
      </c>
      <c r="F1399" t="s">
        <v>2319</v>
      </c>
      <c r="G1399" t="s">
        <v>1737</v>
      </c>
      <c r="H1399" t="s">
        <v>1799</v>
      </c>
      <c r="I1399" t="s">
        <v>1799</v>
      </c>
      <c r="J1399" t="s">
        <v>1799</v>
      </c>
      <c r="K1399" t="s">
        <v>1799</v>
      </c>
      <c r="L1399" t="s">
        <v>1701</v>
      </c>
      <c r="M1399" t="s">
        <v>1799</v>
      </c>
      <c r="N1399" t="s">
        <v>1799</v>
      </c>
      <c r="O1399" s="184" t="str">
        <f>"["&amp;$C1399&amp;"]["&amp;$D1399&amp;"]["&amp;$F1399&amp;"]"</f>
        <v>[S13_AnyOtherIssues][56][QuestionnaireSubQuestion]</v>
      </c>
    </row>
    <row r="1400" spans="1:15" x14ac:dyDescent="0.3">
      <c r="A1400" t="s">
        <v>1793</v>
      </c>
      <c r="B1400" t="s">
        <v>2301</v>
      </c>
      <c r="C1400" t="s">
        <v>2302</v>
      </c>
      <c r="D1400">
        <v>57</v>
      </c>
      <c r="E1400" t="s">
        <v>1447</v>
      </c>
      <c r="F1400" t="s">
        <v>2319</v>
      </c>
      <c r="G1400" t="s">
        <v>1737</v>
      </c>
      <c r="H1400" t="s">
        <v>1799</v>
      </c>
      <c r="I1400" t="s">
        <v>1799</v>
      </c>
      <c r="J1400" t="s">
        <v>1799</v>
      </c>
      <c r="K1400" t="s">
        <v>1799</v>
      </c>
      <c r="L1400" t="s">
        <v>1702</v>
      </c>
      <c r="M1400" t="s">
        <v>1799</v>
      </c>
      <c r="N1400" t="s">
        <v>1799</v>
      </c>
      <c r="O1400" s="184" t="str">
        <f>"["&amp;$C1400&amp;"]["&amp;$D1400&amp;"]["&amp;$F1400&amp;"]"</f>
        <v>[S13_AnyOtherIssues][57][QuestionnaireSubQuestion]</v>
      </c>
    </row>
    <row r="1401" spans="1:15" x14ac:dyDescent="0.3">
      <c r="A1401" t="s">
        <v>1793</v>
      </c>
      <c r="B1401" t="s">
        <v>2301</v>
      </c>
      <c r="C1401" t="s">
        <v>2302</v>
      </c>
      <c r="D1401">
        <v>58</v>
      </c>
      <c r="E1401" t="s">
        <v>1447</v>
      </c>
      <c r="F1401" t="s">
        <v>2319</v>
      </c>
      <c r="G1401" t="s">
        <v>1737</v>
      </c>
      <c r="H1401" t="s">
        <v>1799</v>
      </c>
      <c r="I1401" t="s">
        <v>1799</v>
      </c>
      <c r="J1401" t="s">
        <v>1799</v>
      </c>
      <c r="K1401" t="s">
        <v>1799</v>
      </c>
      <c r="L1401" t="s">
        <v>1703</v>
      </c>
      <c r="M1401" t="s">
        <v>1799</v>
      </c>
      <c r="N1401" t="s">
        <v>1799</v>
      </c>
      <c r="O1401" s="184" t="str">
        <f>"["&amp;$C1401&amp;"]["&amp;$D1401&amp;"]["&amp;$F1401&amp;"]"</f>
        <v>[S13_AnyOtherIssues][58][QuestionnaireSubQuestion]</v>
      </c>
    </row>
    <row r="1402" spans="1:15" x14ac:dyDescent="0.3">
      <c r="A1402" t="s">
        <v>1793</v>
      </c>
      <c r="B1402" t="s">
        <v>2301</v>
      </c>
      <c r="C1402" t="s">
        <v>2302</v>
      </c>
      <c r="D1402">
        <v>59</v>
      </c>
      <c r="E1402" t="s">
        <v>1447</v>
      </c>
      <c r="F1402" t="s">
        <v>2319</v>
      </c>
      <c r="G1402" t="s">
        <v>1737</v>
      </c>
      <c r="H1402" t="s">
        <v>1799</v>
      </c>
      <c r="I1402" t="s">
        <v>1799</v>
      </c>
      <c r="J1402" t="s">
        <v>1799</v>
      </c>
      <c r="K1402" t="s">
        <v>1799</v>
      </c>
      <c r="L1402" t="s">
        <v>1704</v>
      </c>
      <c r="M1402" t="s">
        <v>1799</v>
      </c>
      <c r="N1402" t="s">
        <v>1799</v>
      </c>
      <c r="O1402" s="184" t="str">
        <f>"["&amp;$C1402&amp;"]["&amp;$D1402&amp;"]["&amp;$F1402&amp;"]"</f>
        <v>[S13_AnyOtherIssues][59][QuestionnaireSubQuestion]</v>
      </c>
    </row>
    <row r="1403" spans="1:15" x14ac:dyDescent="0.3">
      <c r="A1403" t="s">
        <v>1793</v>
      </c>
      <c r="B1403" t="s">
        <v>2301</v>
      </c>
      <c r="C1403" t="s">
        <v>2302</v>
      </c>
      <c r="D1403">
        <v>60</v>
      </c>
      <c r="E1403" t="s">
        <v>1447</v>
      </c>
      <c r="F1403" t="s">
        <v>2319</v>
      </c>
      <c r="G1403" t="s">
        <v>1737</v>
      </c>
      <c r="H1403" t="s">
        <v>1799</v>
      </c>
      <c r="I1403" t="s">
        <v>1799</v>
      </c>
      <c r="J1403" t="s">
        <v>1799</v>
      </c>
      <c r="K1403" t="s">
        <v>1799</v>
      </c>
      <c r="L1403" t="s">
        <v>1705</v>
      </c>
      <c r="M1403" t="s">
        <v>1799</v>
      </c>
      <c r="N1403" t="s">
        <v>1799</v>
      </c>
      <c r="O1403" s="184" t="str">
        <f>"["&amp;$C1403&amp;"]["&amp;$D1403&amp;"]["&amp;$F1403&amp;"]"</f>
        <v>[S13_AnyOtherIssues][60][QuestionnaireSubQuestion]</v>
      </c>
    </row>
    <row r="1404" spans="1:15" x14ac:dyDescent="0.3">
      <c r="A1404" t="s">
        <v>1793</v>
      </c>
      <c r="B1404" t="s">
        <v>2301</v>
      </c>
      <c r="C1404" t="s">
        <v>2302</v>
      </c>
      <c r="D1404">
        <v>61</v>
      </c>
      <c r="E1404" t="s">
        <v>1447</v>
      </c>
      <c r="F1404" t="s">
        <v>2319</v>
      </c>
      <c r="G1404" t="s">
        <v>1737</v>
      </c>
      <c r="H1404" t="s">
        <v>1799</v>
      </c>
      <c r="I1404" t="s">
        <v>1799</v>
      </c>
      <c r="J1404" t="s">
        <v>1799</v>
      </c>
      <c r="K1404" t="s">
        <v>1799</v>
      </c>
      <c r="L1404" t="s">
        <v>1707</v>
      </c>
      <c r="M1404" t="s">
        <v>1799</v>
      </c>
      <c r="N1404" t="s">
        <v>1799</v>
      </c>
      <c r="O1404" s="184" t="str">
        <f>"["&amp;$C1404&amp;"]["&amp;$D1404&amp;"]["&amp;$F1404&amp;"]"</f>
        <v>[S13_AnyOtherIssues][61][QuestionnaireSubQuestion]</v>
      </c>
    </row>
    <row r="1405" spans="1:15" x14ac:dyDescent="0.3">
      <c r="A1405" t="s">
        <v>1793</v>
      </c>
      <c r="B1405" t="s">
        <v>2301</v>
      </c>
      <c r="C1405" t="s">
        <v>2302</v>
      </c>
      <c r="D1405">
        <v>68</v>
      </c>
      <c r="E1405" t="s">
        <v>1447</v>
      </c>
      <c r="F1405" t="s">
        <v>2319</v>
      </c>
      <c r="G1405" t="s">
        <v>1737</v>
      </c>
      <c r="H1405" t="s">
        <v>1799</v>
      </c>
      <c r="I1405" t="s">
        <v>1799</v>
      </c>
      <c r="J1405" t="s">
        <v>1799</v>
      </c>
      <c r="K1405" t="s">
        <v>1799</v>
      </c>
      <c r="L1405" t="s">
        <v>1708</v>
      </c>
      <c r="M1405" t="s">
        <v>1799</v>
      </c>
      <c r="N1405" t="s">
        <v>1799</v>
      </c>
      <c r="O1405" s="184" t="str">
        <f>"["&amp;$C1405&amp;"]["&amp;$D1405&amp;"]["&amp;$F1405&amp;"]"</f>
        <v>[S13_AnyOtherIssues][68][QuestionnaireSubQuestion]</v>
      </c>
    </row>
    <row r="1406" spans="1:15" x14ac:dyDescent="0.3">
      <c r="A1406" t="s">
        <v>1793</v>
      </c>
      <c r="B1406" t="s">
        <v>2320</v>
      </c>
      <c r="C1406" t="s">
        <v>2321</v>
      </c>
      <c r="D1406">
        <v>0</v>
      </c>
      <c r="E1406" t="s">
        <v>1447</v>
      </c>
      <c r="F1406" t="s">
        <v>2321</v>
      </c>
      <c r="G1406" t="s">
        <v>1833</v>
      </c>
      <c r="H1406" t="s">
        <v>1799</v>
      </c>
      <c r="I1406" t="s">
        <v>1799</v>
      </c>
      <c r="J1406" t="s">
        <v>1799</v>
      </c>
      <c r="K1406" t="s">
        <v>1799</v>
      </c>
      <c r="L1406" t="s">
        <v>1419</v>
      </c>
      <c r="M1406" t="s">
        <v>1799</v>
      </c>
      <c r="N1406" t="s">
        <v>1799</v>
      </c>
      <c r="O1406" s="184" t="str">
        <f>"["&amp;$C1406&amp;"]["&amp;$D1406&amp;"]["&amp;$F1406&amp;"]"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104</v>
      </c>
      <c r="D8" s="284" t="str">
        <f>_xlfn.CONCAT(_xlfn.XLOOKUP("[S07_NoFurtherAllowancesSurrendered][1][OperatorName]",Submission!$O:$O,Submission!$H:$N,""))</f>
        <v>Avinor AS</v>
      </c>
      <c r="E8" s="285"/>
      <c r="F8" s="284" t="str">
        <f>_xlfn.CONCAT(_xlfn.XLOOKUP("[S07_NoFurtherAllowancesSurrendered][1][InstallationName]",Submission!$O:$O,Submission!$H:$N,""))</f>
        <v>Oslo Lufthavn Gardermoen</v>
      </c>
      <c r="G8" s="285"/>
      <c r="H8" s="108" t="str">
        <f>_xlfn.CONCAT(_xlfn.XLOOKUP("[S07_NoFurtherAllowancesSurrendered][1][OutstandingAllowances]",Submission!$O:$O,Submission!$H:$N,""))</f>
        <v>0</v>
      </c>
      <c r="I8" s="72" t="str">
        <f>_xlfn.CONCAT(_xlfn.XLOOKUP("[S07_NoFurtherAllowancesSurrendered][1][ReasonNoFurtherAllowancesSurrendered]",Submission!$O:$O,Submission!$H:$N,""))</f>
        <v>The permit has been revoked</v>
      </c>
    </row>
    <row r="9" spans="1:9" ht="15.9" customHeight="1" x14ac:dyDescent="0.3">
      <c r="A9" s="13"/>
      <c r="B9" s="10"/>
      <c r="C9" s="72" t="str">
        <f>_xlfn.CONCAT(_xlfn.XLOOKUP("[S07_NoFurtherAllowancesSurrendered][2][InstallationIDCode]",Submission!$O:$O,Submission!$H:$N,""))</f>
        <v>209935</v>
      </c>
      <c r="D9" s="284" t="str">
        <f>_xlfn.CONCAT(_xlfn.XLOOKUP("[S07_NoFurtherAllowancesSurrendered][2][OperatorName]",Submission!$O:$O,Submission!$H:$N,""))</f>
        <v>Fluorsid Noralf AS</v>
      </c>
      <c r="E9" s="285"/>
      <c r="F9" s="284" t="str">
        <f>_xlfn.CONCAT(_xlfn.XLOOKUP("[S07_NoFurtherAllowancesSurrendered][2][InstallationName]",Submission!$O:$O,Submission!$H:$N,""))</f>
        <v>Fluorsid Noralf</v>
      </c>
      <c r="G9" s="285"/>
      <c r="H9" s="108" t="str">
        <f>_xlfn.CONCAT(_xlfn.XLOOKUP("[S07_NoFurtherAllowancesSurrendered][2][OutstandingAllowances]",Submission!$O:$O,Submission!$H:$N,""))</f>
        <v>0</v>
      </c>
      <c r="I9" s="72" t="str">
        <f>_xlfn.CONCAT(_xlfn.XLOOKUP("[S07_NoFurtherAllowancesSurrendered][2][ReasonNoFurtherAllowancesSurrendered]",Submission!$O:$O,Submission!$H:$N,""))</f>
        <v>The permit has been revoked</v>
      </c>
    </row>
    <row r="10" spans="1:9" ht="15.9" hidden="1" customHeight="1" outlineLevel="1" x14ac:dyDescent="0.3">
      <c r="A10" s="13"/>
      <c r="B10" s="10"/>
      <c r="C10" s="72" t="str">
        <f>_xlfn.CONCAT(_xlfn.XLOOKUP("[S07_NoFurtherAllowancesSurrendered][3][InstallationIDCode]",Submission!$O:$O,Submission!$H:$N,""))</f>
        <v>206984</v>
      </c>
      <c r="D10" s="284" t="str">
        <f>_xlfn.CONCAT(_xlfn.XLOOKUP("[S07_NoFurtherAllowancesSurrendered][3][OperatorName]",Submission!$O:$O,Submission!$H:$N,""))</f>
        <v>Lundin Energy Norway AS</v>
      </c>
      <c r="E10" s="285"/>
      <c r="F10" s="284" t="str">
        <f>_xlfn.CONCAT(_xlfn.XLOOKUP("[S07_NoFurtherAllowancesSurrendered][3][InstallationName]",Submission!$O:$O,Submission!$H:$N,""))</f>
        <v>Brynhild</v>
      </c>
      <c r="G10" s="285"/>
      <c r="H10" s="108" t="str">
        <f>_xlfn.CONCAT(_xlfn.XLOOKUP("[S07_NoFurtherAllowancesSurrendered][3][OutstandingAllowances]",Submission!$O:$O,Submission!$H:$N,""))</f>
        <v>0</v>
      </c>
      <c r="I10" s="72" t="str">
        <f>_xlfn.CONCAT(_xlfn.XLOOKUP("[S07_NoFurtherAllowancesSurrendered][3][ReasonNoFurtherAllowancesSurrendered]",Submission!$O:$O,Submission!$H:$N,""))</f>
        <v>The permit has been revoked</v>
      </c>
    </row>
    <row r="11" spans="1:9" ht="15.9" hidden="1" customHeight="1" outlineLevel="1" x14ac:dyDescent="0.3">
      <c r="A11" s="13"/>
      <c r="B11" s="10"/>
      <c r="C11" s="72" t="str">
        <f>_xlfn.CONCAT(_xlfn.XLOOKUP("[S07_NoFurtherAllowancesSurrendered][4][InstallationIDCode]",Submission!$O:$O,Submission!$H:$N,""))</f>
        <v>98</v>
      </c>
      <c r="D11" s="284" t="str">
        <f>_xlfn.CONCAT(_xlfn.XLOOKUP("[S07_NoFurtherAllowancesSurrendered][4][OperatorName]",Submission!$O:$O,Submission!$H:$N,""))</f>
        <v>Repsol Norge AS</v>
      </c>
      <c r="E11" s="285"/>
      <c r="F11" s="284" t="str">
        <f>_xlfn.CONCAT(_xlfn.XLOOKUP("[S07_NoFurtherAllowancesSurrendered][4][InstallationName]",Submission!$O:$O,Submission!$H:$N,""))</f>
        <v>Vargfeltet</v>
      </c>
      <c r="G11" s="285"/>
      <c r="H11" s="108" t="str">
        <f>_xlfn.CONCAT(_xlfn.XLOOKUP("[S07_NoFurtherAllowancesSurrendered][4][OutstandingAllowances]",Submission!$O:$O,Submission!$H:$N,""))</f>
        <v>0</v>
      </c>
      <c r="I11" s="72" t="str">
        <f>_xlfn.CONCAT(_xlfn.XLOOKUP("[S07_NoFurtherAllowancesSurrendered][4][ReasonNoFurtherAllowancesSurrendered]",Submission!$O:$O,Submission!$H:$N,""))</f>
        <v>The permit has been revoked</v>
      </c>
    </row>
    <row r="12" spans="1:9" ht="15.9" hidden="1" customHeight="1" outlineLevel="1" x14ac:dyDescent="0.3">
      <c r="A12" s="13"/>
      <c r="B12" s="10"/>
      <c r="C12" s="72" t="str">
        <f>_xlfn.CONCAT(_xlfn.XLOOKUP("[S07_NoFurtherAllowancesSurrendered][5][InstallationIDCode]",Submission!$O:$O,Submission!$H:$N,""))</f>
        <v>69</v>
      </c>
      <c r="D12" s="284" t="str">
        <f>_xlfn.CONCAT(_xlfn.XLOOKUP("[S07_NoFurtherAllowancesSurrendered][5][OperatorName]",Submission!$O:$O,Submission!$H:$N,""))</f>
        <v>Statnett SF</v>
      </c>
      <c r="E12" s="285"/>
      <c r="F12" s="284" t="str">
        <f>_xlfn.CONCAT(_xlfn.XLOOKUP("[S07_NoFurtherAllowancesSurrendered][5][InstallationName]",Submission!$O:$O,Submission!$H:$N,""))</f>
        <v>Tjeldbergodden reservekraftanlegg</v>
      </c>
      <c r="G12" s="285"/>
      <c r="H12" s="108" t="str">
        <f>_xlfn.CONCAT(_xlfn.XLOOKUP("[S07_NoFurtherAllowancesSurrendered][5][OutstandingAllowances]",Submission!$O:$O,Submission!$H:$N,""))</f>
        <v>0</v>
      </c>
      <c r="I12" s="72" t="str">
        <f>_xlfn.CONCAT(_xlfn.XLOOKUP("[S07_NoFurtherAllowancesSurrendered][5][ReasonNoFurtherAllowancesSurrendered]",Submission!$O:$O,Submission!$H:$N,""))</f>
        <v>The permit has been revoked</v>
      </c>
    </row>
    <row r="13" spans="1:9" ht="15.9" hidden="1" customHeight="1" outlineLevel="1" x14ac:dyDescent="0.3">
      <c r="A13" s="13"/>
      <c r="B13" s="10"/>
      <c r="C13" s="72" t="str">
        <f>_xlfn.CONCAT(_xlfn.XLOOKUP("[S07_NoFurtherAllowancesSurrendered][6][InstallationIDCode]",Submission!$O:$O,Submission!$H:$N,""))</f>
        <v>14</v>
      </c>
      <c r="D13" s="284" t="str">
        <f>_xlfn.CONCAT(_xlfn.XLOOKUP("[S07_NoFurtherAllowancesSurrendered][6][OperatorName]",Submission!$O:$O,Submission!$H:$N,""))</f>
        <v>Vår Energi ASA</v>
      </c>
      <c r="E13" s="285"/>
      <c r="F13" s="284" t="str">
        <f>_xlfn.CONCAT(_xlfn.XLOOKUP("[S07_NoFurtherAllowancesSurrendered][6][InstallationName]",Submission!$O:$O,Submission!$H:$N,""))</f>
        <v>Jotun</v>
      </c>
      <c r="G13" s="285"/>
      <c r="H13" s="108" t="str">
        <f>_xlfn.CONCAT(_xlfn.XLOOKUP("[S07_NoFurtherAllowancesSurrendered][6][OutstandingAllowances]",Submission!$O:$O,Submission!$H:$N,""))</f>
        <v>0</v>
      </c>
      <c r="I13" s="72" t="str">
        <f>_xlfn.CONCAT(_xlfn.XLOOKUP("[S07_NoFurtherAllowancesSurrendered][6][ReasonNoFurtherAllowancesSurrendered]",Submission!$O:$O,Submission!$H:$N,""))</f>
        <v>The permit has been revoked</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Yes</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1007</v>
      </c>
      <c r="H20" s="459"/>
      <c r="I20" s="460"/>
    </row>
    <row r="21" spans="1:9" x14ac:dyDescent="0.3">
      <c r="C21" s="461" t="s">
        <v>1148</v>
      </c>
      <c r="D21" s="462"/>
      <c r="E21" s="462"/>
      <c r="F21" s="463"/>
      <c r="G21" s="458" t="str">
        <f>_xlfn.CONCAT(_xlfn.XLOOKUP("[S08_FeesAllocationDetail][2][FeeAmount]",Submission!$O:$O,Submission!$H:$N,""))</f>
        <v>671</v>
      </c>
      <c r="H21" s="459"/>
      <c r="I21" s="460"/>
    </row>
    <row r="22" spans="1:9" x14ac:dyDescent="0.3">
      <c r="C22" s="461" t="s">
        <v>697</v>
      </c>
      <c r="D22" s="462"/>
      <c r="E22" s="251" t="str">
        <f>_xlfn.CONCAT(_xlfn.XLOOKUP("[S08_FeesAllocationDetail][3][FeeOther]",Submission!$O:$O,Submission!$H:$N,""))</f>
        <v>Approval of ALC-reports</v>
      </c>
      <c r="F22" s="252"/>
      <c r="G22" s="458" t="str">
        <f>_xlfn.CONCAT(_xlfn.XLOOKUP("[S08_FeesAllocationDetail][3][FeeAmount]",Submission!$O:$O,Submission!$H:$N,""))</f>
        <v>671</v>
      </c>
      <c r="H22" s="459"/>
      <c r="I22" s="460"/>
    </row>
    <row r="23" spans="1:9" hidden="1" outlineLevel="1" x14ac:dyDescent="0.3">
      <c r="C23" s="461" t="s">
        <v>1149</v>
      </c>
      <c r="D23" s="462"/>
      <c r="E23" s="251" t="str">
        <f>_xlfn.CONCAT(_xlfn.XLOOKUP("[S08_FeesAllocationDetail][4][FeeOther]",Submission!$O:$O,Submission!$H:$N,""))</f>
        <v>Approval of aplications for allocations (incumbents and new entrants)</v>
      </c>
      <c r="F23" s="252"/>
      <c r="G23" s="458" t="str">
        <f>_xlfn.CONCAT(_xlfn.XLOOKUP("[S08_FeesAllocationDetail][4][FeeAmount]",Submission!$O:$O,Submission!$H:$N,""))</f>
        <v>6711</v>
      </c>
      <c r="H23" s="459"/>
      <c r="I23" s="460"/>
    </row>
    <row r="24" spans="1:9" hidden="1" outlineLevel="1" x14ac:dyDescent="0.3">
      <c r="C24" s="461" t="s">
        <v>1150</v>
      </c>
      <c r="D24" s="462"/>
      <c r="E24" s="251" t="str">
        <f>_xlfn.CONCAT(_xlfn.XLOOKUP("[S08_FeesAllocationDetail][5][FeeOther]",Submission!$O:$O,Submission!$H:$N,""))</f>
        <v>Case handling of mergers and splits</v>
      </c>
      <c r="F24" s="252"/>
      <c r="G24" s="458" t="str">
        <f>_xlfn.CONCAT(_xlfn.XLOOKUP("[S08_FeesAllocationDetail][5][FeeAmount]",Submission!$O:$O,Submission!$H:$N,""))</f>
        <v>1678</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Yes</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0</v>
      </c>
      <c r="H34" s="476"/>
      <c r="I34" s="477"/>
    </row>
    <row r="35" spans="1:9" ht="27" customHeight="1" x14ac:dyDescent="0.3">
      <c r="C35" s="303" t="s">
        <v>1157</v>
      </c>
      <c r="D35" s="304"/>
      <c r="E35" s="304"/>
      <c r="F35" s="305"/>
      <c r="G35" s="475" t="str">
        <f>_xlfn.CONCAT(_xlfn.XLOOKUP("[S08_RenunciationSuspensionAllowances][3][NumberOfInstallations]",Submission!$O:$O,Submission!$H:$N,""))</f>
        <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
      </c>
      <c r="D45" s="470"/>
      <c r="E45" s="470"/>
      <c r="F45" s="471"/>
      <c r="G45" s="469" t="str">
        <f>_xlfn.CONCAT(_xlfn.XLOOKUP("[S08_SubInstallationBenchmark61RejectDetail][1][HeatBenchmark]",Submission!$O:$O,Submission!$H:$N,""))</f>
        <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
      </c>
      <c r="D50" s="470"/>
      <c r="E50" s="470"/>
      <c r="F50" s="471"/>
      <c r="G50" s="469" t="str">
        <f>_xlfn.CONCAT(_xlfn.XLOOKUP("[S08_SubInstallationBenchmark62Detail][1][HeatBenchmark]",Submission!$O:$O,Submission!$H:$N,""))</f>
        <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1</v>
      </c>
      <c r="H54" s="476"/>
      <c r="I54" s="477"/>
    </row>
    <row r="55" spans="1:9" ht="29.4" customHeight="1" x14ac:dyDescent="0.3">
      <c r="C55" s="246" t="s">
        <v>1168</v>
      </c>
      <c r="D55" s="263"/>
      <c r="E55" s="263"/>
      <c r="F55" s="264"/>
      <c r="G55" s="475" t="str">
        <f>_xlfn.CONCAT(_xlfn.XLOOKUP("[S08_ScopeExclusion][2][NumberOfInstallations]",Submission!$O:$O,Submission!$H:$N,""))</f>
        <v>3</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2</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Yes</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No</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
      </c>
      <c r="G149" s="372"/>
      <c r="H149" s="372" t="str">
        <f>_xlfn.CONCAT(_xlfn.XLOOKUP("[S08_NegativeOpinionActivityData][1][NumberOfInstallationsConEst]",Submission!$O:$O,Submission!$H:$N,""))</f>
        <v/>
      </c>
      <c r="I149" s="372"/>
    </row>
    <row r="150" spans="1:9" s="95" customFormat="1" ht="27.75" customHeight="1" x14ac:dyDescent="0.3">
      <c r="A150" s="94"/>
      <c r="C150" s="354" t="s">
        <v>1201</v>
      </c>
      <c r="D150" s="354"/>
      <c r="E150" s="354"/>
      <c r="F150" s="372" t="str">
        <f>_xlfn.CONCAT(_xlfn.XLOOKUP("[S08_NegativeOpinionActivityData][2][NumberOfInstallations]",Submission!$O:$O,Submission!$H:$N,""))</f>
        <v/>
      </c>
      <c r="G150" s="372"/>
      <c r="H150" s="372" t="str">
        <f>_xlfn.CONCAT(_xlfn.XLOOKUP("[S08_NegativeOpinionActivityData][2][NumberOfInstallationsConEst]",Submission!$O:$O,Submission!$H:$N,""))</f>
        <v/>
      </c>
      <c r="I150" s="372"/>
    </row>
    <row r="151" spans="1:9" s="95" customFormat="1" ht="27.75" customHeight="1" x14ac:dyDescent="0.3">
      <c r="A151" s="94"/>
      <c r="C151" s="354" t="s">
        <v>1202</v>
      </c>
      <c r="D151" s="354"/>
      <c r="E151" s="354"/>
      <c r="F151" s="372" t="str">
        <f>_xlfn.CONCAT(_xlfn.XLOOKUP("[S08_NegativeOpinionActivityData][3][NumberOfInstallations]",Submission!$O:$O,Submission!$H:$N,""))</f>
        <v/>
      </c>
      <c r="G151" s="372"/>
      <c r="H151" s="372" t="str">
        <f>_xlfn.CONCAT(_xlfn.XLOOKUP("[S08_NegativeOpinionActivityData][3][NumberOfInstallationsConEst]",Submission!$O:$O,Submission!$H:$N,""))</f>
        <v/>
      </c>
      <c r="I151" s="372"/>
    </row>
    <row r="152" spans="1:9" s="95" customFormat="1" ht="27.75" customHeight="1" x14ac:dyDescent="0.3">
      <c r="A152" s="94"/>
      <c r="C152" s="354" t="s">
        <v>1203</v>
      </c>
      <c r="D152" s="354"/>
      <c r="E152" s="354"/>
      <c r="F152" s="372" t="str">
        <f>_xlfn.CONCAT(_xlfn.XLOOKUP("[S08_NegativeOpinionActivityData][4][NumberOfInstallations]",Submission!$O:$O,Submission!$H:$N,""))</f>
        <v/>
      </c>
      <c r="G152" s="372"/>
      <c r="H152" s="372" t="str">
        <f>_xlfn.CONCAT(_xlfn.XLOOKUP("[S08_NegativeOpinionActivityData][4][NumberOfInstallationsConEst]",Submission!$O:$O,Submission!$H:$N,""))</f>
        <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
      </c>
      <c r="D157" s="285"/>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52" t="str">
        <f>_xlfn.CONCAT(_xlfn.XLOOKUP("[S08_ActivityDataIssuesDetail]["&amp;ROW(B157)-ROW($B$156)&amp;"][NumberOfInstallationsConEst]",Submission!$O:$O,Submission!$H:$N,""))</f>
        <v/>
      </c>
      <c r="I157" s="453"/>
    </row>
    <row r="158" spans="1:9" ht="54" customHeight="1" x14ac:dyDescent="0.3">
      <c r="C158" s="284" t="str">
        <f>_xlfn.CONCAT(_xlfn.XLOOKUP("[S08_ActivityDataIssuesDetail]["&amp;ROW(B158)-ROW($B$156)&amp;"][AnnexIActivity]",Submission!$O:$O,Submission!$H:$N,""))</f>
        <v/>
      </c>
      <c r="D158" s="285"/>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52" t="str">
        <f>_xlfn.CONCAT(_xlfn.XLOOKUP("[S08_ActivityDataIssuesDetail]["&amp;ROW(B158)-ROW($B$156)&amp;"][NumberOfInstallationsConEst]",Submission!$O:$O,Submission!$H:$N,""))</f>
        <v/>
      </c>
      <c r="I158" s="453"/>
    </row>
    <row r="159" spans="1:9" ht="54" customHeight="1" x14ac:dyDescent="0.3">
      <c r="C159" s="284" t="str">
        <f>_xlfn.CONCAT(_xlfn.XLOOKUP("[S08_ActivityDataIssuesDetail]["&amp;ROW(B159)-ROW($B$156)&amp;"][AnnexIActivity]",Submission!$O:$O,Submission!$H:$N,""))</f>
        <v/>
      </c>
      <c r="D159" s="285"/>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52" t="str">
        <f>_xlfn.CONCAT(_xlfn.XLOOKUP("[S08_ActivityDataIssuesDetail]["&amp;ROW(B159)-ROW($B$156)&amp;"][NumberOfInstallationsConEst]",Submission!$O:$O,Submission!$H:$N,""))</f>
        <v/>
      </c>
      <c r="I159" s="453"/>
    </row>
    <row r="160" spans="1:9" ht="54" customHeight="1" x14ac:dyDescent="0.3">
      <c r="C160" s="284" t="str">
        <f>_xlfn.CONCAT(_xlfn.XLOOKUP("[S08_ActivityDataIssuesDetail]["&amp;ROW(B160)-ROW($B$156)&amp;"][AnnexIActivity]",Submission!$O:$O,Submission!$H:$N,""))</f>
        <v/>
      </c>
      <c r="D160" s="285"/>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52" t="str">
        <f>_xlfn.CONCAT(_xlfn.XLOOKUP("[S08_ActivityDataIssuesDetail]["&amp;ROW(B160)-ROW($B$156)&amp;"][NumberOfInstallationsConEst]",Submission!$O:$O,Submission!$H:$N,""))</f>
        <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
      </c>
      <c r="G244" s="356"/>
      <c r="H244" s="341" t="str">
        <f>_xlfn.CONCAT(_xlfn.XLOOKUP("[S08_ActivityReportRejectedDetail][2][ReasonForRejection]",Submission!$O:$O,Submission!$H:$N,""))</f>
        <v/>
      </c>
      <c r="I244" s="356"/>
    </row>
    <row r="245" spans="1:9" s="58" customFormat="1" ht="48" customHeight="1" x14ac:dyDescent="0.3">
      <c r="A245" s="75"/>
      <c r="C245" s="246" t="s">
        <v>1210</v>
      </c>
      <c r="D245" s="263"/>
      <c r="E245" s="264"/>
      <c r="F245" s="284" t="str">
        <f>_xlfn.CONCAT(_xlfn.XLOOKUP("[S08_ActivityReportRejectedDetail][3][ActionsTaken]",Submission!$O:$O,Submission!$H:$N,""))</f>
        <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c>
      <c r="D264" s="322" t="str">
        <f>_xlfn.CONCAT(_xlfn.XLOOKUP("[S08_VirtualVisitsActivityLevelDetail][1][NumberOfInstallationsVV]",Submission!$O:$O,Submission!$H:$N,""))</f>
        <v/>
      </c>
      <c r="E264" s="324"/>
      <c r="F264" s="412" t="str">
        <f>_xlfn.CONCAT(_xlfn.XLOOKUP("[S08_VirtualVisitsActivityLevelDetail][1][AuthorityApproval]",Submission!$O:$O,Submission!$H:$N,""))</f>
        <v/>
      </c>
      <c r="G264" s="414"/>
      <c r="H264" s="412" t="str">
        <f>_xlfn.CONCAT(_xlfn.XLOOKUP("[S08_VirtualVisitsActivityLevelDetail][1][ConfirmationConditionsMet]",Submission!$O:$O,Submission!$H:$N,""))</f>
        <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3</v>
      </c>
      <c r="I283" s="72" t="str">
        <f>_xlfn.CONCAT(_xlfn.XLOOKUP("[S08_PenaltiesAllocation][1][OtherPenalty]",Submission!$O:$O,Submission!$H:$N,""))</f>
        <v/>
      </c>
    </row>
    <row r="284" spans="1:10" ht="58.2" customHeight="1" x14ac:dyDescent="0.3">
      <c r="C284" s="246" t="s">
        <v>1231</v>
      </c>
      <c r="D284" s="264"/>
      <c r="E284" s="105" t="str">
        <f>_xlfn.CONCAT(_xlfn.XLOOKUP("[S08_PenaltiesAllocation][2][MinFine]",Submission!$O:$O,Submission!$H:$N,""))</f>
        <v/>
      </c>
      <c r="F284" s="105" t="str">
        <f>_xlfn.CONCAT(_xlfn.XLOOKUP("[S08_PenaltiesAllocation][2][MaxFine]",Submission!$O:$O,Submission!$H:$N,""))</f>
        <v/>
      </c>
      <c r="G284" s="105" t="str">
        <f>_xlfn.CONCAT(_xlfn.XLOOKUP("[S08_PenaltiesAllocation][2][PrisonMin]",Submission!$O:$O,Submission!$H:$N,""))</f>
        <v/>
      </c>
      <c r="H284" s="105" t="str">
        <f>_xlfn.CONCAT(_xlfn.XLOOKUP("[S08_PenaltiesAllocation][2][PrisonMax]",Submission!$O:$O,Submission!$H:$N,""))</f>
        <v>3</v>
      </c>
      <c r="I284" s="72" t="str">
        <f>_xlfn.CONCAT(_xlfn.XLOOKUP("[S08_PenaltiesAllocation][2][OtherPenalty]",Submission!$O:$O,Submission!$H:$N,""))</f>
        <v/>
      </c>
    </row>
    <row r="285" spans="1:10" ht="58.2" customHeight="1" x14ac:dyDescent="0.3">
      <c r="C285" s="246" t="s">
        <v>1232</v>
      </c>
      <c r="D285" s="264"/>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3</v>
      </c>
      <c r="I285" s="72" t="str">
        <f>_xlfn.CONCAT(_xlfn.XLOOKUP("[S08_PenaltiesAllocation][3][OtherPenalty]",Submission!$O:$O,Submission!$H:$N,""))</f>
        <v/>
      </c>
    </row>
    <row r="286" spans="1:10" ht="36" customHeight="1" x14ac:dyDescent="0.3">
      <c r="C286" s="503" t="s">
        <v>1233</v>
      </c>
      <c r="D286" s="504"/>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3</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0</v>
      </c>
      <c r="F296" s="105" t="str">
        <f>_xlfn.CONCAT(_xlfn.XLOOKUP("[S08_InfringementsIncurredAllocation][1][ActualImprisonment]",Submission!$O:$O,Submission!$H:$N,""))</f>
        <v>0</v>
      </c>
      <c r="G296" s="105" t="str">
        <f>_xlfn.CONCAT(_xlfn.XLOOKUP("[S08_InfringementsIncurredAllocation][1][ACtualOtherPenalties]",Submission!$O:$O,Submission!$H:$N,""))</f>
        <v>0</v>
      </c>
      <c r="H296" s="41" t="str">
        <f>_xlfn.CONCAT(_xlfn.XLOOKUP("[S08_InfringementsIncurredAllocation][1][OngoingProceedings]",Submission!$O:$O,Submission!$H:$N,""))</f>
        <v>No</v>
      </c>
      <c r="I296" s="41" t="str">
        <f>_xlfn.CONCAT(_xlfn.XLOOKUP("[S08_InfringementsIncurredAllocation][1][PenaltyEnforcedWithinPeriod]",Submission!$O:$O,Submission!$H:$N,""))</f>
        <v>No</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Yes</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3356</v>
      </c>
      <c r="H9" s="509"/>
      <c r="I9" s="453"/>
    </row>
    <row r="10" spans="1:9" x14ac:dyDescent="0.3">
      <c r="C10" s="461" t="s">
        <v>1253</v>
      </c>
      <c r="D10" s="462"/>
      <c r="E10" s="462"/>
      <c r="F10" s="463"/>
      <c r="G10" s="452" t="str">
        <f>_xlfn.CONCAT(_xlfn.XLOOKUP("[S09_InstallationOperatorFeesPermits][2][FeesAmount]",Submission!$O:$O,Submission!$H:$N,""))</f>
        <v>1007</v>
      </c>
      <c r="H10" s="509"/>
      <c r="I10" s="453"/>
    </row>
    <row r="11" spans="1:9" x14ac:dyDescent="0.3">
      <c r="C11" s="461" t="s">
        <v>1254</v>
      </c>
      <c r="D11" s="462"/>
      <c r="E11" s="462"/>
      <c r="F11" s="463"/>
      <c r="G11" s="452" t="str">
        <f>_xlfn.CONCAT(_xlfn.XLOOKUP("[S09_InstallationOperatorFeesPermits][3][FeesAmount]",Submission!$O:$O,Submission!$H:$N,""))</f>
        <v>0</v>
      </c>
      <c r="H11" s="509"/>
      <c r="I11" s="453"/>
    </row>
    <row r="12" spans="1:9" x14ac:dyDescent="0.3">
      <c r="C12" s="461" t="s">
        <v>1255</v>
      </c>
      <c r="D12" s="462"/>
      <c r="E12" s="462"/>
      <c r="F12" s="463"/>
      <c r="G12" s="452" t="str">
        <f>_xlfn.CONCAT(_xlfn.XLOOKUP("[S09_InstallationOperatorFeesPermits][4][FeesAmount]",Submission!$O:$O,Submission!$H:$N,""))</f>
        <v>0</v>
      </c>
      <c r="H12" s="509"/>
      <c r="I12" s="453"/>
    </row>
    <row r="13" spans="1:9" x14ac:dyDescent="0.3">
      <c r="C13" s="461" t="s">
        <v>1256</v>
      </c>
      <c r="D13" s="462"/>
      <c r="E13" s="462"/>
      <c r="F13" s="463"/>
      <c r="G13" s="452" t="str">
        <f>_xlfn.CONCAT(_xlfn.XLOOKUP("[S09_InstallationOperatorFeesPermits][5][FeesAmount]",Submission!$O:$O,Submission!$H:$N,""))</f>
        <v>0</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0</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Yes</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3000</v>
      </c>
      <c r="H34" s="509"/>
      <c r="I34" s="453"/>
    </row>
    <row r="35" spans="2:9" x14ac:dyDescent="0.3">
      <c r="C35" s="461" t="s">
        <v>1266</v>
      </c>
      <c r="D35" s="462"/>
      <c r="E35" s="462"/>
      <c r="F35" s="463"/>
      <c r="G35" s="452" t="str">
        <f>_xlfn.CONCAT(_xlfn.XLOOKUP("[S09_AircraftOperatorFeesMonitoringPlans][2][FeesAmount]",Submission!$O:$O,Submission!$H:$N,""))</f>
        <v>800</v>
      </c>
      <c r="H35" s="509"/>
      <c r="I35" s="453"/>
    </row>
    <row r="36" spans="2:9" x14ac:dyDescent="0.3">
      <c r="C36" s="461" t="s">
        <v>1267</v>
      </c>
      <c r="D36" s="462"/>
      <c r="E36" s="462"/>
      <c r="F36" s="463"/>
      <c r="G36" s="452" t="str">
        <f>_xlfn.CONCAT(_xlfn.XLOOKUP("[S09_AircraftOperatorFeesMonitoringPlans][3][FeesAmount]",Submission!$O:$O,Submission!$H:$N,""))</f>
        <v>0</v>
      </c>
      <c r="H36" s="509"/>
      <c r="I36" s="453"/>
    </row>
    <row r="37" spans="2:9" x14ac:dyDescent="0.3">
      <c r="C37" s="461" t="s">
        <v>1268</v>
      </c>
      <c r="D37" s="462"/>
      <c r="E37" s="462"/>
      <c r="F37" s="463"/>
      <c r="G37" s="452" t="str">
        <f>_xlfn.CONCAT(_xlfn.XLOOKUP("[S09_AircraftOperatorFeesMonitoringPlans][4][FeesAmount]",Submission!$O:$O,Submission!$H:$N,""))</f>
        <v>0</v>
      </c>
      <c r="H37" s="509"/>
      <c r="I37" s="453"/>
    </row>
    <row r="38" spans="2:9" x14ac:dyDescent="0.3">
      <c r="C38" s="461" t="s">
        <v>1269</v>
      </c>
      <c r="D38" s="462"/>
      <c r="E38" s="462"/>
      <c r="F38" s="463"/>
      <c r="G38" s="452" t="str">
        <f>_xlfn.CONCAT(_xlfn.XLOOKUP("[S09_AircraftOperatorFeesMonitoringPlans][5][FeesAmount]",Submission!$O:$O,Submission!$H:$N,""))</f>
        <v>0</v>
      </c>
      <c r="H38" s="509"/>
      <c r="I38" s="453"/>
    </row>
    <row r="39" spans="2:9" x14ac:dyDescent="0.3">
      <c r="C39" s="461" t="s">
        <v>1270</v>
      </c>
      <c r="D39" s="462"/>
      <c r="E39" s="462"/>
      <c r="F39" s="463"/>
      <c r="G39" s="452" t="str">
        <f>_xlfn.CONCAT(_xlfn.XLOOKUP("[S09_AircraftOperatorFeesMonitoringPlans][6][FeesAmount]",Submission!$O:$O,Submission!$H:$N,""))</f>
        <v>0</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0</v>
      </c>
      <c r="H48" s="509"/>
      <c r="I48" s="453"/>
    </row>
    <row r="49" spans="1:9" x14ac:dyDescent="0.3">
      <c r="C49" s="93" t="s">
        <v>1234</v>
      </c>
      <c r="D49" s="517" t="str">
        <f>_xlfn.CONCAT(_xlfn.XLOOKUP("[S09_AircraftOperatorFeesSubsistence][2][FeesOther]",Submission!$O:$O,Submission!$H:$N,""))</f>
        <v>Approval of verified emissions report that is in line with the Monitoring and Reporting and Accreditation and Verification Regulations</v>
      </c>
      <c r="E49" s="349"/>
      <c r="F49" s="282"/>
      <c r="G49" s="452" t="str">
        <f>_xlfn.CONCAT(_xlfn.XLOOKUP("[S09_AircraftOperatorFeesSubsistence][2][FeesAmount]",Submission!$O:$O,Submission!$H:$N,""))</f>
        <v>600</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Open account</v>
      </c>
      <c r="D60" s="468"/>
      <c r="E60" s="468"/>
      <c r="F60" s="252"/>
      <c r="G60" s="452" t="str">
        <f>_xlfn.CONCAT(_xlfn.XLOOKUP("[S09_RegistryAccountOneOffFees][1][OneOffFeeAmount]",Submission!$O:$O,Submission!$H:$N,""))</f>
        <v>671</v>
      </c>
      <c r="H60" s="509"/>
      <c r="I60" s="453"/>
    </row>
    <row r="61" spans="1:9" x14ac:dyDescent="0.3">
      <c r="C61" s="251" t="str">
        <f>_xlfn.CONCAT(_xlfn.XLOOKUP("[S09_RegistryAccountOneOffFees][2][OneOffFeeReason]",Submission!$O:$O,Submission!$H:$N,""))</f>
        <v/>
      </c>
      <c r="D61" s="468"/>
      <c r="E61" s="468"/>
      <c r="F61" s="252"/>
      <c r="G61" s="452" t="str">
        <f>_xlfn.CONCAT(_xlfn.XLOOKUP("[S09_RegistryAccountOneOffFees][2][OneOffFeeAmount]",Submission!$O:$O,Submission!$H:$N,""))</f>
        <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Annual administration fee</v>
      </c>
      <c r="D74" s="468"/>
      <c r="E74" s="468"/>
      <c r="F74" s="252"/>
      <c r="G74" s="452" t="str">
        <f>_xlfn.CONCAT(_xlfn.XLOOKUP("[S09_RegistryAccountAnnualFees][1][AnnualFeeAmount]",Submission!$O:$O,Submission!$H:$N,""))</f>
        <v>671</v>
      </c>
      <c r="H74" s="509"/>
      <c r="I74" s="453"/>
    </row>
    <row r="75" spans="2:9" x14ac:dyDescent="0.3">
      <c r="C75" s="251" t="str">
        <f>_xlfn.CONCAT(_xlfn.XLOOKUP("[S09_RegistryAccountAnnualFees][2][AnnualFeeReason]",Submission!$O:$O,Submission!$H:$N,""))</f>
        <v/>
      </c>
      <c r="D75" s="468"/>
      <c r="E75" s="468"/>
      <c r="F75" s="252"/>
      <c r="G75" s="452" t="str">
        <f>_xlfn.CONCAT(_xlfn.XLOOKUP("[S09_RegistryAccountAnnualFees][2][AnnualFeeAmount]",Submission!$O:$O,Submission!$H:$N,""))</f>
        <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Yes</v>
      </c>
      <c r="I7" s="72" t="str">
        <f>_xlfn.CONCAT(_xlfn.XLOOKUP("[S10_InstallationsComplianceMeasures][1][ComplianceMeasuresComment]",Submission!$O:$O,Submission!$H:$N,""))</f>
        <v>2</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No</v>
      </c>
      <c r="I8" s="72" t="str">
        <f>_xlfn.CONCAT(_xlfn.XLOOKUP("[S10_InstallationsComplianceMeasures][2][ComplianceMeasuresComment]",Submission!$O:$O,Submission!$H:$N,""))</f>
        <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Yes</v>
      </c>
      <c r="I9" s="72" t="str">
        <f>_xlfn.CONCAT(_xlfn.XLOOKUP("[S10_InstallationsComplianceMeasures][3][ComplianceMeasuresComment]",Submission!$O:$O,Submission!$H:$N,""))</f>
        <v>For 2021 emissions: Information to operators</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
      </c>
      <c r="F21" s="105" t="str">
        <f>_xlfn.CONCAT(_xlfn.XLOOKUP("[S10_InstallationsInfringementPenalties]["&amp;ROW(B21)-ROW($B$20)&amp;"][MaxFine]",Submission!$O:$O,Submission!$H:$N,""))</f>
        <v/>
      </c>
      <c r="G21" s="105" t="str">
        <f>_xlfn.CONCAT(_xlfn.XLOOKUP("[S10_InstallationsInfringementPenalties]["&amp;ROW(B21)-ROW($B$20)&amp;"][PrisonMin]",Submission!$O:$O,Submission!$H:$N,""))</f>
        <v/>
      </c>
      <c r="H21" s="105" t="str">
        <f>_xlfn.CONCAT(_xlfn.XLOOKUP("[S10_InstallationsInfringementPenalties]["&amp;ROW(B21)-ROW($B$20)&amp;"][PrisonMax]",Submission!$O:$O,Submission!$H:$N,""))</f>
        <v>3</v>
      </c>
      <c r="I21" s="72" t="str">
        <f>_xlfn.CONCAT(_xlfn.XLOOKUP("[S10_InstallationsInfringementPenalties]["&amp;ROW(B21)-ROW($B$20)&amp;"][OtherPenalty]",Submission!$O:$O,Submission!$H:$N,""))</f>
        <v/>
      </c>
    </row>
    <row r="22" spans="1:9" ht="33" customHeight="1" x14ac:dyDescent="0.3">
      <c r="A22" s="13"/>
      <c r="C22" s="246" t="s">
        <v>1288</v>
      </c>
      <c r="D22" s="239"/>
      <c r="E22" s="105" t="str">
        <f>_xlfn.CONCAT(_xlfn.XLOOKUP("[S10_InstallationsInfringementPenalties]["&amp;ROW(B22)-ROW($B$20)&amp;"][MinFine]",Submission!$O:$O,Submission!$H:$N,""))</f>
        <v/>
      </c>
      <c r="F22" s="105" t="str">
        <f>_xlfn.CONCAT(_xlfn.XLOOKUP("[S10_InstallationsInfringementPenalties]["&amp;ROW(B22)-ROW($B$20)&amp;"][MaxFine]",Submission!$O:$O,Submission!$H:$N,""))</f>
        <v/>
      </c>
      <c r="G22" s="105" t="str">
        <f>_xlfn.CONCAT(_xlfn.XLOOKUP("[S10_InstallationsInfringementPenalties]["&amp;ROW(B22)-ROW($B$20)&amp;"][PrisonMin]",Submission!$O:$O,Submission!$H:$N,""))</f>
        <v/>
      </c>
      <c r="H22" s="105" t="str">
        <f>_xlfn.CONCAT(_xlfn.XLOOKUP("[S10_InstallationsInfringementPenalties]["&amp;ROW(B22)-ROW($B$20)&amp;"][PrisonMax]",Submission!$O:$O,Submission!$H:$N,""))</f>
        <v>3</v>
      </c>
      <c r="I22" s="72" t="str">
        <f>_xlfn.CONCAT(_xlfn.XLOOKUP("[S10_InstallationsInfringementPenalties]["&amp;ROW(B22)-ROW($B$20)&amp;"][OtherPenalty]",Submission!$O:$O,Submission!$H:$N,""))</f>
        <v/>
      </c>
    </row>
    <row r="23" spans="1:9" ht="33" customHeight="1" x14ac:dyDescent="0.3">
      <c r="A23" s="13"/>
      <c r="C23" s="246" t="s">
        <v>1289</v>
      </c>
      <c r="D23" s="239"/>
      <c r="E23" s="105" t="str">
        <f>_xlfn.CONCAT(_xlfn.XLOOKUP("[S10_InstallationsInfringementPenalties]["&amp;ROW(B23)-ROW($B$20)&amp;"][MinFine]",Submission!$O:$O,Submission!$H:$N,""))</f>
        <v/>
      </c>
      <c r="F23" s="105" t="str">
        <f>_xlfn.CONCAT(_xlfn.XLOOKUP("[S10_InstallationsInfringementPenalties]["&amp;ROW(B23)-ROW($B$20)&amp;"][MaxFine]",Submission!$O:$O,Submission!$H:$N,""))</f>
        <v/>
      </c>
      <c r="G23" s="105" t="str">
        <f>_xlfn.CONCAT(_xlfn.XLOOKUP("[S10_InstallationsInfringementPenalties]["&amp;ROW(B23)-ROW($B$20)&amp;"][PrisonMin]",Submission!$O:$O,Submission!$H:$N,""))</f>
        <v/>
      </c>
      <c r="H23" s="105" t="str">
        <f>_xlfn.CONCAT(_xlfn.XLOOKUP("[S10_InstallationsInfringementPenalties]["&amp;ROW(B23)-ROW($B$20)&amp;"][PrisonMax]",Submission!$O:$O,Submission!$H:$N,""))</f>
        <v>3</v>
      </c>
      <c r="I23" s="72" t="str">
        <f>_xlfn.CONCAT(_xlfn.XLOOKUP("[S10_InstallationsInfringementPenalties]["&amp;ROW(B23)-ROW($B$20)&amp;"][OtherPenalty]",Submission!$O:$O,Submission!$H:$N,""))</f>
        <v/>
      </c>
    </row>
    <row r="24" spans="1:9" ht="41.4" customHeight="1" x14ac:dyDescent="0.3">
      <c r="A24" s="13"/>
      <c r="C24" s="246" t="s">
        <v>1290</v>
      </c>
      <c r="D24" s="239"/>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3</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3</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
      </c>
      <c r="F26" s="105" t="str">
        <f>_xlfn.CONCAT(_xlfn.XLOOKUP("[S10_InstallationsInfringementPenalties]["&amp;ROW(B26)-ROW($B$20)&amp;"][MaxFine]",Submission!$O:$O,Submission!$H:$N,""))</f>
        <v/>
      </c>
      <c r="G26" s="105" t="str">
        <f>_xlfn.CONCAT(_xlfn.XLOOKUP("[S10_InstallationsInfringementPenalties]["&amp;ROW(B26)-ROW($B$20)&amp;"][PrisonMin]",Submission!$O:$O,Submission!$H:$N,""))</f>
        <v/>
      </c>
      <c r="H26" s="105" t="str">
        <f>_xlfn.CONCAT(_xlfn.XLOOKUP("[S10_InstallationsInfringementPenalties]["&amp;ROW(B26)-ROW($B$20)&amp;"][PrisonMax]",Submission!$O:$O,Submission!$H:$N,""))</f>
        <v>3</v>
      </c>
      <c r="I26" s="72" t="str">
        <f>_xlfn.CONCAT(_xlfn.XLOOKUP("[S10_InstallationsInfringementPenalties]["&amp;ROW(B26)-ROW($B$20)&amp;"][OtherPenalty]",Submission!$O:$O,Submission!$H:$N,""))</f>
        <v/>
      </c>
    </row>
    <row r="27" spans="1:9" ht="41.4" customHeight="1" x14ac:dyDescent="0.3">
      <c r="C27" s="246" t="s">
        <v>1293</v>
      </c>
      <c r="D27" s="239"/>
      <c r="E27" s="105" t="str">
        <f>_xlfn.CONCAT(_xlfn.XLOOKUP("[S10_InstallationsInfringementPenalties]["&amp;ROW(B27)-ROW($B$20)&amp;"][MinFine]",Submission!$O:$O,Submission!$H:$N,""))</f>
        <v/>
      </c>
      <c r="F27" s="105" t="str">
        <f>_xlfn.CONCAT(_xlfn.XLOOKUP("[S10_InstallationsInfringementPenalties]["&amp;ROW(B27)-ROW($B$20)&amp;"][MaxFine]",Submission!$O:$O,Submission!$H:$N,""))</f>
        <v/>
      </c>
      <c r="G27" s="105" t="str">
        <f>_xlfn.CONCAT(_xlfn.XLOOKUP("[S10_InstallationsInfringementPenalties]["&amp;ROW(B27)-ROW($B$20)&amp;"][PrisonMin]",Submission!$O:$O,Submission!$H:$N,""))</f>
        <v/>
      </c>
      <c r="H27" s="105" t="str">
        <f>_xlfn.CONCAT(_xlfn.XLOOKUP("[S10_InstallationsInfringementPenalties]["&amp;ROW(B27)-ROW($B$20)&amp;"][PrisonMax]",Submission!$O:$O,Submission!$H:$N,""))</f>
        <v>3</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
      </c>
      <c r="F28" s="105" t="str">
        <f>_xlfn.CONCAT(_xlfn.XLOOKUP("[S10_InstallationsInfringementPenalties]["&amp;ROW(B28)-ROW($B$20)&amp;"][MaxFine]",Submission!$O:$O,Submission!$H:$N,""))</f>
        <v/>
      </c>
      <c r="G28" s="105" t="str">
        <f>_xlfn.CONCAT(_xlfn.XLOOKUP("[S10_InstallationsInfringementPenalties]["&amp;ROW(B28)-ROW($B$20)&amp;"][PrisonMin]",Submission!$O:$O,Submission!$H:$N,""))</f>
        <v/>
      </c>
      <c r="H28" s="105" t="str">
        <f>_xlfn.CONCAT(_xlfn.XLOOKUP("[S10_InstallationsInfringementPenalties]["&amp;ROW(B28)-ROW($B$20)&amp;"][PrisonMax]",Submission!$O:$O,Submission!$H:$N,""))</f>
        <v>3</v>
      </c>
      <c r="I28" s="72" t="str">
        <f>_xlfn.CONCAT(_xlfn.XLOOKUP("[S10_InstallationsInfringementPenalties]["&amp;ROW(B28)-ROW($B$20)&amp;"][OtherPenalty]",Submission!$O:$O,Submission!$H:$N,""))</f>
        <v/>
      </c>
    </row>
    <row r="29" spans="1:9" ht="33" customHeight="1" x14ac:dyDescent="0.3">
      <c r="C29" s="246" t="s">
        <v>1295</v>
      </c>
      <c r="D29" s="239"/>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
      </c>
      <c r="H29" s="105" t="str">
        <f>_xlfn.CONCAT(_xlfn.XLOOKUP("[S10_InstallationsInfringementPenalties]["&amp;ROW(B29)-ROW($B$20)&amp;"][PrisonMax]",Submission!$O:$O,Submission!$H:$N,""))</f>
        <v>3</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3</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
      </c>
      <c r="F31" s="105" t="str">
        <f>_xlfn.CONCAT(_xlfn.XLOOKUP("[S10_InstallationsInfringementPenalties]["&amp;ROW(B31)-ROW($B$20)&amp;"][MaxFine]",Submission!$O:$O,Submission!$H:$N,""))</f>
        <v/>
      </c>
      <c r="G31" s="105" t="str">
        <f>_xlfn.CONCAT(_xlfn.XLOOKUP("[S10_InstallationsInfringementPenalties]["&amp;ROW(B31)-ROW($B$20)&amp;"][PrisonMin]",Submission!$O:$O,Submission!$H:$N,""))</f>
        <v/>
      </c>
      <c r="H31" s="105" t="str">
        <f>_xlfn.CONCAT(_xlfn.XLOOKUP("[S10_InstallationsInfringementPenalties]["&amp;ROW(B31)-ROW($B$20)&amp;"][PrisonMax]",Submission!$O:$O,Submission!$H:$N,""))</f>
        <v>3</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Greenhouse Gas Emission Trading Act</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6" t="s">
        <v>1308</v>
      </c>
      <c r="D135" s="263"/>
      <c r="E135" s="263"/>
      <c r="F135" s="263"/>
      <c r="G135" s="264"/>
      <c r="H135" s="47" t="str">
        <f>_xlfn.CONCAT(_xlfn.XLOOKUP("[S10_AircraftComplianceMeasures][3][ComplianceMeasuresYesNo]",Submission!$O:$O,Submission!$H:$N,""))</f>
        <v>Yes</v>
      </c>
      <c r="I135" s="72" t="str">
        <f>_xlfn.CONCAT(_xlfn.XLOOKUP("[S10_AircraftComplianceMeasures][3][ComplianceMeasuresComment]",Submission!$O:$O,Submission!$H:$N,""))</f>
        <v>For 2021 emissions: Information to operators. For 2020 emissions: Information to operators.</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
      </c>
      <c r="F147" s="105" t="str">
        <f>_xlfn.CONCAT(_xlfn.XLOOKUP("[S10_AircraftInfringementPenalties][1][MaxFine]",Submission!$O:$O,Submission!$H:$N,""))</f>
        <v/>
      </c>
      <c r="G147" s="105" t="str">
        <f>_xlfn.CONCAT(_xlfn.XLOOKUP("[S10_AircraftInfringementPenalties][1][PrisonMin]",Submission!$O:$O,Submission!$H:$N,""))</f>
        <v/>
      </c>
      <c r="H147" s="105" t="str">
        <f>_xlfn.CONCAT(_xlfn.XLOOKUP("[S10_AircraftInfringementPenalties][1][PrisonMax]",Submission!$O:$O,Submission!$H:$N,""))</f>
        <v>3</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3</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
      </c>
      <c r="H149" s="105" t="str">
        <f>_xlfn.CONCAT(_xlfn.XLOOKUP("[S10_AircraftInfringementPenalties][3][PrisonMax]",Submission!$O:$O,Submission!$H:$N,""))</f>
        <v>3</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
      </c>
      <c r="F150" s="105" t="str">
        <f>_xlfn.CONCAT(_xlfn.XLOOKUP("[S10_AircraftInfringementPenalties][4][MaxFine]",Submission!$O:$O,Submission!$H:$N,""))</f>
        <v/>
      </c>
      <c r="G150" s="105" t="str">
        <f>_xlfn.CONCAT(_xlfn.XLOOKUP("[S10_AircraftInfringementPenalties][4][PrisonMin]",Submission!$O:$O,Submission!$H:$N,""))</f>
        <v/>
      </c>
      <c r="H150" s="105" t="str">
        <f>_xlfn.CONCAT(_xlfn.XLOOKUP("[S10_AircraftInfringementPenalties][4][PrisonMax]",Submission!$O:$O,Submission!$H:$N,""))</f>
        <v>3</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3</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
      </c>
      <c r="F152" s="105" t="str">
        <f>_xlfn.CONCAT(_xlfn.XLOOKUP("[S10_AircraftInfringementPenalties][6][MaxFine]",Submission!$O:$O,Submission!$H:$N,""))</f>
        <v/>
      </c>
      <c r="G152" s="105" t="str">
        <f>_xlfn.CONCAT(_xlfn.XLOOKUP("[S10_AircraftInfringementPenalties][6][PrisonMin]",Submission!$O:$O,Submission!$H:$N,""))</f>
        <v/>
      </c>
      <c r="H152" s="105" t="str">
        <f>_xlfn.CONCAT(_xlfn.XLOOKUP("[S10_AircraftInfringementPenalties][6][PrisonMax]",Submission!$O:$O,Submission!$H:$N,""))</f>
        <v>3</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3</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3</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3</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3</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x</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Greenhouse Gas Emission Trading Act</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Yes</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100 euro penalty</v>
      </c>
      <c r="D189" s="536"/>
      <c r="E189" s="535"/>
      <c r="F189" s="532" t="str">
        <f>_xlfn.CONCAT(_xlfn.XLOOKUP("[S10_AircraftPriorPenaltiesEnforcedDetail][1][TypePenalty]",Submission!$O:$O,Submission!$H:$N,""))</f>
        <v>Fines</v>
      </c>
      <c r="G189" s="533"/>
      <c r="H189" s="534" t="str">
        <f>_xlfn.CONCAT(_xlfn.XLOOKUP("[S10_AircraftPriorPenaltiesEnforcedDetail][1][ReportinYear]",Submission!$O:$O,Submission!$H:$N,""))</f>
        <v>2020</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NA</v>
      </c>
      <c r="D202" s="522"/>
      <c r="E202" s="523"/>
      <c r="F202" s="521" t="str">
        <f>_xlfn.CONCAT(_xlfn.XLOOKUP("[S10_AircraftPenalties][1][OperatorName]",Submission!$O:$O,Submission!$H:$N,""))</f>
        <v>NA</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We have not been in a situation where Norway would request an operation ban in accordance with article 16 (10). We therefore do not know what measures that would have to be taken.</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The tax authorities consider an allowance an immaterial right. In the VAT law, an emission allowances is considered as a service. The Market in Financial Instruments Directive (MiFID) has been implemented in Norwegian law (since 2018), and allowances are therefore considered as financial instruments.</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This depends on whether emission allowances are allocated for free, have been purchased or sold. An allowance allocated for free is considered a taxable income. The value of an emission allowance allocated for free is set as the value of the allowance at the time of allocation. When an allowance is surrendered for compliance, its outgoing value is set to zero and the value at the time of allocation can be subtracted from the company's income. The value of an emission allowance purchased is accounted for based on the price at the time of purchasing.</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Yes</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VAT</v>
      </c>
      <c r="D18" s="348"/>
      <c r="E18" s="348"/>
      <c r="F18" s="285"/>
      <c r="G18" s="284" t="str">
        <f>_xlfn.CONCAT(_xlfn.XLOOKUP("[S11_TypeOfTaxRatesApplied][1][TaxRateApplied]",Submission!$O:$O,Submission!$H:$N,""))</f>
        <v>0.25</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No</v>
      </c>
      <c r="H7" s="348"/>
      <c r="I7" s="285"/>
    </row>
    <row r="8" spans="1:9" ht="45" customHeight="1" x14ac:dyDescent="0.3">
      <c r="C8" s="246" t="s">
        <v>1337</v>
      </c>
      <c r="D8" s="283"/>
      <c r="E8" s="283"/>
      <c r="F8" s="239"/>
      <c r="G8" s="284" t="str">
        <f>_xlfn.CONCAT(_xlfn.XLOOKUP("[S12_FraudFreeAllocationOfAllowances][2][DetailsOfProceduresInNationalLaw]",Submission!$O:$O,Submission!$H:$N,""))</f>
        <v>Yes</v>
      </c>
      <c r="H8" s="348"/>
      <c r="I8" s="285"/>
    </row>
    <row r="9" spans="1:9" ht="45" customHeight="1" x14ac:dyDescent="0.3">
      <c r="C9" s="246" t="s">
        <v>1338</v>
      </c>
      <c r="D9" s="283"/>
      <c r="E9" s="283"/>
      <c r="F9" s="239"/>
      <c r="G9" s="284" t="str">
        <f>_xlfn.CONCAT(_xlfn.XLOOKUP("[S12_FraudFreeAllocationOfAllowances][3][DetailsOfProceduresInNationalLaw]",Submission!$O:$O,Submission!$H:$N,""))</f>
        <v>Norwegian National Authority for Investigation and Prosecution of Economic and Environmental Crime</v>
      </c>
      <c r="H9" s="348"/>
      <c r="I9" s="285"/>
    </row>
    <row r="10" spans="1:9" ht="45" customHeight="1" x14ac:dyDescent="0.3">
      <c r="C10" s="246" t="s">
        <v>1339</v>
      </c>
      <c r="D10" s="283"/>
      <c r="E10" s="283"/>
      <c r="F10" s="239"/>
      <c r="G10" s="284" t="str">
        <f>_xlfn.CONCAT(_xlfn.XLOOKUP("[S12_FraudFreeAllocationOfAllowances][4][DetailsOfProceduresInNationalLaw]",Submission!$O:$O,Submission!$H:$N,""))</f>
        <v>Yes</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Yes</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Fraud punished by a maximum of six years imprisonment</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As the competent authority and the national administrator of the Union Registry in Norway are located in the same unit in the NEA, there is frequent information exchange in all relevant cases, including any cases involving fraudulent activities.</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See answer above.</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See answer above.</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See answer above.</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0</v>
      </c>
      <c r="I28" s="342"/>
    </row>
    <row r="29" spans="1:9" ht="20.399999999999999" customHeight="1" x14ac:dyDescent="0.3">
      <c r="C29" s="246" t="s">
        <v>1357</v>
      </c>
      <c r="D29" s="283"/>
      <c r="E29" s="283"/>
      <c r="F29" s="283"/>
      <c r="G29" s="239"/>
      <c r="H29" s="341" t="str">
        <f>_xlfn.CONCAT(_xlfn.XLOOKUP("[S12_InformationOnFraudActivities][2][NumberOfActivities]",Submission!$O:$O,Submission!$H:$N,""))</f>
        <v>0</v>
      </c>
      <c r="I29" s="342"/>
    </row>
    <row r="30" spans="1:9" ht="20.399999999999999" customHeight="1" x14ac:dyDescent="0.3">
      <c r="C30" s="246" t="s">
        <v>1358</v>
      </c>
      <c r="D30" s="283"/>
      <c r="E30" s="283"/>
      <c r="F30" s="283"/>
      <c r="G30" s="239"/>
      <c r="H30" s="341" t="str">
        <f>_xlfn.CONCAT(_xlfn.XLOOKUP("[S12_InformationOnFraudActivities][3][NumberOfActivities]",Submission!$O:$O,Submission!$H:$N,""))</f>
        <v>0</v>
      </c>
      <c r="I30" s="342"/>
    </row>
    <row r="31" spans="1:9" ht="20.399999999999999" customHeight="1" x14ac:dyDescent="0.3">
      <c r="C31" s="246" t="s">
        <v>1359</v>
      </c>
      <c r="D31" s="283"/>
      <c r="E31" s="283"/>
      <c r="F31" s="283"/>
      <c r="G31" s="239"/>
      <c r="H31" s="341" t="str">
        <f>_xlfn.CONCAT(_xlfn.XLOOKUP("[S12_InformationOnFraudActivities][4][NumberOfActivities]",Submission!$O:$O,Submission!$H:$N,""))</f>
        <v>0</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Question 5.1</v>
      </c>
      <c r="E18" s="348" t="str">
        <f>_xlfn.CONCAT(_xlfn.XLOOKUP("[S13_AnyOtherIssues][12][OtherInformationOrIssues]",Submission!$O:$O,Submission!$H:$N,""))</f>
        <v xml:space="preserve">In former reporting years we have answered NO, however throughout phase 3 these deadlines have been included in our national legislation, i.e. no actual change in legislation has been made in 2021. </v>
      </c>
      <c r="F18" s="348"/>
      <c r="G18" s="348"/>
      <c r="H18" s="348"/>
      <c r="I18" s="285"/>
      <c r="K18" s="186"/>
    </row>
    <row r="19" spans="3:11" ht="27" customHeight="1" x14ac:dyDescent="0.3">
      <c r="C19" s="558"/>
      <c r="D19" s="161" t="str">
        <f>_xlfn.CONCAT(_xlfn.XLOOKUP("[S13_AnyOtherIssues][13][QuestionnaireSubQuestion]",Submission!$O:$O,Submission!$H:$N,""))</f>
        <v>Question 5.12</v>
      </c>
      <c r="E19" s="348" t="str">
        <f>_xlfn.CONCAT(_xlfn.XLOOKUP("[S13_AnyOtherIssues][13][OtherInformationOrIssues]",Submission!$O:$O,Submission!$H:$N,""))</f>
        <v>Our aggregate data for installations that actually submitted an improvement report are not complete. Further on, we have accepted installations to correct non-conformities or recommendations for improvements by applying for an updated MP as an alternative to submitting an improvement report. For these reasons the number of received improvement reports registered are inaccurate, and they do not necessarily indicate a lack of follow-up.</v>
      </c>
      <c r="F19" s="348"/>
      <c r="G19" s="348"/>
      <c r="H19" s="348"/>
      <c r="I19" s="285"/>
    </row>
    <row r="20" spans="3:11" ht="27" hidden="1" customHeight="1" outlineLevel="1" x14ac:dyDescent="0.3">
      <c r="C20" s="558"/>
      <c r="D20" s="161" t="str">
        <f>_xlfn.CONCAT(_xlfn.XLOOKUP("[S13_AnyOtherIssues][14][QuestionnaireSubQuestion]",Submission!$O:$O,Submission!$H:$N,""))</f>
        <v>Question 5.13</v>
      </c>
      <c r="E20" s="348" t="str">
        <f>_xlfn.CONCAT(_xlfn.XLOOKUP("[S13_AnyOtherIssues][14][OtherInformationOrIssues]",Submission!$O:$O,Submission!$H:$N,""))</f>
        <v xml:space="preserve">Installation ID84 has had a production stop in 2021. </v>
      </c>
      <c r="F20" s="348"/>
      <c r="G20" s="348"/>
      <c r="H20" s="348"/>
      <c r="I20" s="285"/>
    </row>
    <row r="21" spans="3:11" ht="27" hidden="1" customHeight="1" outlineLevel="1" x14ac:dyDescent="0.3">
      <c r="C21" s="558"/>
      <c r="D21" s="161" t="str">
        <f>_xlfn.CONCAT(_xlfn.XLOOKUP("[S13_AnyOtherIssues][15][QuestionnaireSubQuestion]",Submission!$O:$O,Submission!$H:$N,""))</f>
        <v>Question 5.15</v>
      </c>
      <c r="E21" s="348" t="str">
        <f>_xlfn.CONCAT(_xlfn.XLOOKUP("[S13_AnyOtherIssues][15][OtherInformationOrIssues]",Submission!$O:$O,Submission!$H:$N,""))</f>
        <v xml:space="preserve">Unfortunately we do not have aggregate data to give numbers for energy content of fossil emissions. </v>
      </c>
      <c r="F21" s="348"/>
      <c r="G21" s="348"/>
      <c r="H21" s="348"/>
      <c r="I21" s="285"/>
    </row>
    <row r="22" spans="3:11" ht="27" hidden="1" customHeight="1" outlineLevel="1" x14ac:dyDescent="0.3">
      <c r="C22" s="558"/>
      <c r="D22" s="161" t="str">
        <f>_xlfn.CONCAT(_xlfn.XLOOKUP("[S13_AnyOtherIssues][16][QuestionnaireSubQuestion]",Submission!$O:$O,Submission!$H:$N,""))</f>
        <v>Question 5.16</v>
      </c>
      <c r="E22" s="348" t="str">
        <f>_xlfn.CONCAT(_xlfn.XLOOKUP("[S13_AnyOtherIssues][16][OtherInformationOrIssues]",Submission!$O:$O,Submission!$H:$N,""))</f>
        <v>Unfortunately, we do not have aggregate data to answer this question. The reported data on EAF-codes are inaccurate and therefore not included in the report.</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Question 6.1</v>
      </c>
      <c r="E41" s="348" t="str">
        <f>_xlfn.CONCAT(_xlfn.XLOOKUP("[S13_AnyOtherIssues][35][OtherInformationOrIssues]",Submission!$O:$O,Submission!$H:$N,""))</f>
        <v>table 2:
Annex I of AVR does not separate between different processes under eg. scope 3, i,e. accreditation is given for the whole activity scope 3 (Production of coke – Metal ore (including sulphide ore) roasting or sintering, including pelletisation – Production of pig iron or steel (primary or secondary fusion) including continuous casting), and we have therefore listed all these activities in the table since the verification bodies have been accredited for all of scope 3. The same methodology is reported for all scopes that include several activities.</v>
      </c>
      <c r="F41" s="348"/>
      <c r="G41" s="348"/>
      <c r="H41" s="348"/>
      <c r="I41" s="285"/>
    </row>
    <row r="42" spans="3:9" ht="27" customHeight="1" x14ac:dyDescent="0.3">
      <c r="C42" s="558"/>
      <c r="D42" s="161" t="str">
        <f>_xlfn.CONCAT(_xlfn.XLOOKUP("[S13_AnyOtherIssues][36][QuestionnaireSubQuestion]",Submission!$O:$O,Submission!$H:$N,""))</f>
        <v>Question 6.2</v>
      </c>
      <c r="E42" s="348" t="str">
        <f>_xlfn.CONCAT(_xlfn.XLOOKUP("[S13_AnyOtherIssues][36][OtherInformationOrIssues]",Submission!$O:$O,Submission!$H:$N,""))</f>
        <v xml:space="preserve">please note that the results are based on management reports received from 2/5 NABs.
Please also note that we on 24 June 2022 were informed that one of the three verification bodies accredited by Norwegian Accreditation as of that day has been suspended for all their activity scopes (1a,1b,2,10,11,98,8).  The other suspension concerns one verification body where activity 5 has been suspended voluntarily. </v>
      </c>
      <c r="F42" s="348"/>
      <c r="G42" s="348"/>
      <c r="H42" s="348"/>
      <c r="I42" s="285"/>
    </row>
    <row r="43" spans="3:9" ht="27" hidden="1" customHeight="1" outlineLevel="1" x14ac:dyDescent="0.3">
      <c r="C43" s="558"/>
      <c r="D43" s="161" t="str">
        <f>_xlfn.CONCAT(_xlfn.XLOOKUP("[S13_AnyOtherIssues][37][QuestionnaireSubQuestion]",Submission!$O:$O,Submission!$H:$N,""))</f>
        <v>Question 6.3</v>
      </c>
      <c r="E43" s="348" t="str">
        <f>_xlfn.CONCAT(_xlfn.XLOOKUP("[S13_AnyOtherIssues][37][OtherInformationOrIssues]",Submission!$O:$O,Submission!$H:$N,""))</f>
        <v xml:space="preserve">Not all AERs for 2021 have been approved yet, but there's no known candidates for the need to make a conservative estimation of emissions in accordance with Article 70(1) of the MRR. </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Question 7.1</v>
      </c>
      <c r="E53" s="348" t="str">
        <f>_xlfn.CONCAT(_xlfn.XLOOKUP("[S13_AnyOtherIssues][47][OtherInformationOrIssues]",Submission!$O:$O,Submission!$H:$N,""))</f>
        <v>Requirements applicable, including the common minimum security requirements for all users of the Union Registry, are listed in Norway's Greenhouse Gas Emissions Regulation.</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Question 8.2</v>
      </c>
      <c r="E56" s="348" t="str">
        <f>_xlfn.CONCAT(_xlfn.XLOOKUP("[S13_AnyOtherIssues][50][OtherInformationOrIssues]",Submission!$O:$O,Submission!$H:$N,""))</f>
        <v>As explained in the report for 2020, there are nine different fee levels for fees, these are related to the work required for each case, and the rates of the different fee levels are annually adjusted. We have stated the most common used fee level for our case handling in this report.  This applies for all fees stated in this report.
Approval of significant changes of MMPs: we have not approved applications for significant changes of MMPs yet but are expecting that the most common fee for approval of such changes will be given at the rate stated under point 8.2.
Approval of ALC reports: we have not approved ALC reports for 2021 yet (see below under comments for Q 8.12-16, 8.18). However, based on fees charged for ALC reports for 2019, we are expecting that the most common fee for such approvals for the 2021 reports will be given at the rate stated under point 8.2.</v>
      </c>
      <c r="F56" s="348"/>
      <c r="G56" s="348"/>
      <c r="H56" s="348"/>
      <c r="I56" s="285"/>
    </row>
    <row r="57" spans="3:9" ht="27" customHeight="1" x14ac:dyDescent="0.3">
      <c r="C57" s="558"/>
      <c r="D57" s="161" t="str">
        <f>_xlfn.CONCAT(_xlfn.XLOOKUP("[S13_AnyOtherIssues][51][QuestionnaireSubQuestion]",Submission!$O:$O,Submission!$H:$N,""))</f>
        <v>Question 8.3</v>
      </c>
      <c r="E57" s="348" t="str">
        <f>_xlfn.CONCAT(_xlfn.XLOOKUP("[S13_AnyOtherIssues][51][OtherInformationOrIssues]",Submission!$O:$O,Submission!$H:$N,""))</f>
        <v>ALC reports are partially integrated in the same IT-reporting system used for application for permits and AERs (cf. our answers to Q 5.3 and 5.4), i.e. ALC and VR templates from the COM are filled in by the operator and verifier and thereafter uploaded in the IT-reporting system, with the same data flow steps as described under Q 5.3 and 5.4.</v>
      </c>
      <c r="F57" s="348"/>
      <c r="G57" s="348"/>
      <c r="H57" s="348"/>
      <c r="I57" s="285"/>
    </row>
    <row r="58" spans="3:9" ht="27" hidden="1" customHeight="1" outlineLevel="1" x14ac:dyDescent="0.3">
      <c r="C58" s="558"/>
      <c r="D58" s="161" t="str">
        <f>_xlfn.CONCAT(_xlfn.XLOOKUP("[S13_AnyOtherIssues][52][QuestionnaireSubQuestion]",Submission!$O:$O,Submission!$H:$N,""))</f>
        <v>Question 8.4</v>
      </c>
      <c r="E58" s="348" t="str">
        <f>_xlfn.CONCAT(_xlfn.XLOOKUP("[S13_AnyOtherIssues][52][OtherInformationOrIssues]",Submission!$O:$O,Submission!$H:$N,""))</f>
        <v>At the time of this reporting we are reporting 0 for all the choices. However with respect to recovering of excess allowances we have several cases pending (as a result of our case handling of ALC reports for 2019/2020).</v>
      </c>
      <c r="F58" s="348"/>
      <c r="G58" s="348"/>
      <c r="H58" s="348"/>
      <c r="I58" s="285"/>
    </row>
    <row r="59" spans="3:9" ht="27" hidden="1" customHeight="1" outlineLevel="1" x14ac:dyDescent="0.3">
      <c r="C59" s="558"/>
      <c r="D59" s="161" t="str">
        <f>_xlfn.CONCAT(_xlfn.XLOOKUP("[S13_AnyOtherIssues][53][QuestionnaireSubQuestion]",Submission!$O:$O,Submission!$H:$N,""))</f>
        <v>Question 8.8</v>
      </c>
      <c r="E59" s="348" t="str">
        <f>_xlfn.CONCAT(_xlfn.XLOOKUP("[S13_AnyOtherIssues][53][OtherInformationOrIssues]",Submission!$O:$O,Submission!$H:$N,""))</f>
        <v>Unfortunately, we do not have sufficient aggregate data to answer these questions.</v>
      </c>
      <c r="F59" s="348"/>
      <c r="G59" s="348"/>
      <c r="H59" s="348"/>
      <c r="I59" s="285"/>
    </row>
    <row r="60" spans="3:9" ht="27" hidden="1" customHeight="1" outlineLevel="1" x14ac:dyDescent="0.3">
      <c r="C60" s="558"/>
      <c r="D60" s="161" t="str">
        <f>_xlfn.CONCAT(_xlfn.XLOOKUP("[S13_AnyOtherIssues][54][QuestionnaireSubQuestion]",Submission!$O:$O,Submission!$H:$N,""))</f>
        <v>Question 8.9</v>
      </c>
      <c r="E60" s="348" t="str">
        <f>_xlfn.CONCAT(_xlfn.XLOOKUP("[S13_AnyOtherIssues][54][OtherInformationOrIssues]",Submission!$O:$O,Submission!$H:$N,""))</f>
        <v>Unfortunately, we do not have sufficient aggregate data to answer these questions.</v>
      </c>
      <c r="F60" s="348"/>
      <c r="G60" s="348"/>
      <c r="H60" s="348"/>
      <c r="I60" s="285"/>
    </row>
    <row r="61" spans="3:9" ht="27" hidden="1" customHeight="1" outlineLevel="1" x14ac:dyDescent="0.3">
      <c r="C61" s="558"/>
      <c r="D61" s="161" t="str">
        <f>_xlfn.CONCAT(_xlfn.XLOOKUP("[S13_AnyOtherIssues][55][QuestionnaireSubQuestion]",Submission!$O:$O,Submission!$H:$N,""))</f>
        <v>Question 8.5</v>
      </c>
      <c r="E61" s="348" t="str">
        <f>_xlfn.CONCAT(_xlfn.XLOOKUP("[S13_AnyOtherIssues][55][OtherInformationOrIssues]",Submission!$O:$O,Submission!$H:$N,""))</f>
        <v xml:space="preserve">We have just finalized our work with NIM changes (BDR) and approval of ALC reports for 2019/2020, and have therefore not started processing ALC reports for 2021. At the MRAV/RegRev meeting on 18 May 2022, there was confusion about what ALC report (2019/2020 or 2021) was to be answered in this report. To our understanding, the conclusion was that it was the ALC reports for 2019/2020, and it was therefore surprising that when the Article 21 reporting for 2021 was opened for reporting on 16 June 2022, it was stated that it should include the results from ALC reports for 2021. 
Due to the limited time between the opening of the Article 21 report and the reporting deadline, we have therefore not been able to process aggregate data for the ALC reports for 2021 to answer these questions. </v>
      </c>
      <c r="F61" s="348"/>
      <c r="G61" s="348"/>
      <c r="H61" s="348"/>
      <c r="I61" s="285"/>
    </row>
    <row r="62" spans="3:9" ht="27" hidden="1" customHeight="1" outlineLevel="1" x14ac:dyDescent="0.3">
      <c r="C62" s="558"/>
      <c r="D62" s="161" t="str">
        <f>_xlfn.CONCAT(_xlfn.XLOOKUP("[S13_AnyOtherIssues][56][QuestionnaireSubQuestion]",Submission!$O:$O,Submission!$H:$N,""))</f>
        <v>Question 8.12</v>
      </c>
      <c r="E62" s="348" t="str">
        <f>_xlfn.CONCAT(_xlfn.XLOOKUP("[S13_AnyOtherIssues][56][OtherInformationOrIssues]",Submission!$O:$O,Submission!$H:$N,""))</f>
        <v xml:space="preserve">We have just finalized our work with NIM changes (BDR) and approval of ALC reports for 2019/2020, and have therefore not started processing ALC reports for 2021. At the MRAV/RegRev meeting on 18 May 2022, there was confusion about what ALC report (2019/2020 or 2021) was to be answered in this report. To our understanding, the conclusion was that it was the ALC reports for 2019/2020, and it was therefore surprising that when the Article 21 reporting for 2021 was opened for reporting on 16 June 2022, it was stated that it should include the results from ALC reports for 2021. 
Due to the limited time between the opening of the Article 21 report and the reporting deadline, we have therefore not been able to process aggregate data for the ALC reports for 2021 to answer these questions. </v>
      </c>
      <c r="F62" s="348"/>
      <c r="G62" s="348"/>
      <c r="H62" s="348"/>
      <c r="I62" s="285"/>
    </row>
    <row r="63" spans="3:9" ht="27" hidden="1" customHeight="1" outlineLevel="1" x14ac:dyDescent="0.3">
      <c r="C63" s="558"/>
      <c r="D63" s="161" t="str">
        <f>_xlfn.CONCAT(_xlfn.XLOOKUP("[S13_AnyOtherIssues][57][QuestionnaireSubQuestion]",Submission!$O:$O,Submission!$H:$N,""))</f>
        <v>Question 8.13</v>
      </c>
      <c r="E63" s="348" t="str">
        <f>_xlfn.CONCAT(_xlfn.XLOOKUP("[S13_AnyOtherIssues][57][OtherInformationOrIssues]",Submission!$O:$O,Submission!$H:$N,""))</f>
        <v xml:space="preserve">We have just finalized our work with NIM changes (BDR) and approval of ALC reports for 2019/2020, and have therefore not started processing ALC reports for 2021. At the MRAV/RegRev meeting on 18 May 2022, there was confusion about what ALC report (2019/2020 or 2021) was to be answered in this report. To our understanding, the conclusion was that it was the ALC reports for 2019/2020, and it was therefore surprising that when the Article 21 reporting for 2021 was opened for reporting on 16 June 2022, it was stated that it should include the results from ALC reports for 2021. 
Due to the limited time between the opening of the Article 21 report and the reporting deadline, we have therefore not been able to process aggregate data for the ALC reports for 2021 to answer these questions. </v>
      </c>
      <c r="F63" s="348"/>
      <c r="G63" s="348"/>
      <c r="H63" s="348"/>
      <c r="I63" s="285"/>
    </row>
    <row r="64" spans="3:9" ht="27" hidden="1" customHeight="1" outlineLevel="1" x14ac:dyDescent="0.3">
      <c r="C64" s="558"/>
      <c r="D64" s="161" t="str">
        <f>_xlfn.CONCAT(_xlfn.XLOOKUP("[S13_AnyOtherIssues][58][QuestionnaireSubQuestion]",Submission!$O:$O,Submission!$H:$N,""))</f>
        <v>Question 8.14</v>
      </c>
      <c r="E64" s="348" t="str">
        <f>_xlfn.CONCAT(_xlfn.XLOOKUP("[S13_AnyOtherIssues][58][OtherInformationOrIssues]",Submission!$O:$O,Submission!$H:$N,""))</f>
        <v xml:space="preserve">We have just finalized our work with NIM changes (BDR) and approval of ALC reports for 2019/2020, and have therefore not started processing ALC reports for 2021. At the MRAV/RegRev meeting on 18 May 2022, there was confusion about what ALC report (2019/2020 or 2021) was to be answered in this report. To our understanding, the conclusion was that it was the ALC reports for 2019/2020, and it was therefore surprising that when the Article 21 reporting for 2021 was opened for reporting on 16 June 2022, it was stated that it should include the results from ALC reports for 2021. 
Due to the limited time between the opening of the Article 21 report and the reporting deadline, we have therefore not been able to process aggregate data for the ALC reports for 2021 to answer these questions. </v>
      </c>
      <c r="F64" s="348"/>
      <c r="G64" s="348"/>
      <c r="H64" s="348"/>
      <c r="I64" s="285"/>
    </row>
    <row r="65" spans="3:9" ht="27" hidden="1" customHeight="1" outlineLevel="1" x14ac:dyDescent="0.3">
      <c r="C65" s="558"/>
      <c r="D65" s="161" t="str">
        <f>_xlfn.CONCAT(_xlfn.XLOOKUP("[S13_AnyOtherIssues][59][QuestionnaireSubQuestion]",Submission!$O:$O,Submission!$H:$N,""))</f>
        <v>Question 8.15</v>
      </c>
      <c r="E65" s="348" t="str">
        <f>_xlfn.CONCAT(_xlfn.XLOOKUP("[S13_AnyOtherIssues][59][OtherInformationOrIssues]",Submission!$O:$O,Submission!$H:$N,""))</f>
        <v xml:space="preserve">We have just finalized our work with NIM changes (BDR) and approval of ALC reports for 2019/2020, and have therefore not started processing ALC reports for 2021. At the MRAV/RegRev meeting on 18 May 2022, there was confusion about what ALC report (2019/2020 or 2021) was to be answered in this report. To our understanding, the conclusion was that it was the ALC reports for 2019/2020, and it was therefore surprising that when the Article 21 reporting for 2021 was opened for reporting on 16 June 2022, it was stated that it should include the results from ALC reports for 2021. 
Due to the limited time between the opening of the Article 21 report and the reporting deadline, we have therefore not been able to process aggregate data for the ALC reports for 2021 to answer these questions. </v>
      </c>
      <c r="F65" s="348"/>
      <c r="G65" s="348"/>
      <c r="H65" s="348"/>
      <c r="I65" s="285"/>
    </row>
    <row r="66" spans="3:9" ht="27" hidden="1" customHeight="1" outlineLevel="1" x14ac:dyDescent="0.3">
      <c r="C66" s="558"/>
      <c r="D66" s="161" t="str">
        <f>_xlfn.CONCAT(_xlfn.XLOOKUP("[S13_AnyOtherIssues][60][QuestionnaireSubQuestion]",Submission!$O:$O,Submission!$H:$N,""))</f>
        <v>Question 8.16</v>
      </c>
      <c r="E66" s="348" t="str">
        <f>_xlfn.CONCAT(_xlfn.XLOOKUP("[S13_AnyOtherIssues][60][OtherInformationOrIssues]",Submission!$O:$O,Submission!$H:$N,""))</f>
        <v xml:space="preserve">We have just finalized our work with NIM changes (BDR) and approval of ALC reports for 2019/2020, and have therefore not started processing ALC reports for 2021. At the MRAV/RegRev meeting on 18 May 2022, there was confusion about what ALC report (2019/2020 or 2021) was to be answered in this report. To our understanding, the conclusion was that it was the ALC reports for 2019/2020, and it was therefore surprising that when the Article 21 reporting for 2021 was opened for reporting on 16 June 2022, it was stated that it should include the results from ALC reports for 2021. 
Due to the limited time between the opening of the Article 21 report and the reporting deadline, we have therefore not been able to process aggregate data for the ALC reports for 2021 to answer these questions. </v>
      </c>
      <c r="F66" s="348"/>
      <c r="G66" s="348"/>
      <c r="H66" s="348"/>
      <c r="I66" s="285"/>
    </row>
    <row r="67" spans="3:9" ht="27" hidden="1" customHeight="1" outlineLevel="1" x14ac:dyDescent="0.3">
      <c r="C67" s="558"/>
      <c r="D67" s="161" t="str">
        <f>_xlfn.CONCAT(_xlfn.XLOOKUP("[S13_AnyOtherIssues][61][QuestionnaireSubQuestion]",Submission!$O:$O,Submission!$H:$N,""))</f>
        <v>Question 8.18</v>
      </c>
      <c r="E67" s="348" t="str">
        <f>_xlfn.CONCAT(_xlfn.XLOOKUP("[S13_AnyOtherIssues][61][OtherInformationOrIssues]",Submission!$O:$O,Submission!$H:$N,""))</f>
        <v xml:space="preserve">We have just finalized our work with NIM changes (BDR) and approval of ALC reports for 2019/2020, and have therefore not started processing ALC reports for 2021. At the MRAV/RegRev meeting on 18 May 2022, there was confusion about what ALC report (2019/2020 or 2021) was to be answered in this report. To our understanding, the conclusion was that it was the ALC reports for 2019/2020, and it was therefore surprising that when the Article 21 reporting for 2021 was opened for reporting on 16 June 2022, it was stated that it should include the results from ALC reports for 2021. 
Due to the limited time between the opening of the Article 21 report and the reporting deadline, we have therefore not been able to process aggregate data for the ALC reports for 2021 to answer these questions.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Question 9.1</v>
      </c>
      <c r="E74" s="348" t="str">
        <f>_xlfn.CONCAT(_xlfn.XLOOKUP("[S13_AnyOtherIssues][68][OtherInformationOrIssues]",Submission!$O:$O,Submission!$H:$N,""))</f>
        <v>fees for new entrant reserve application: we have stated 0 here, since such applications are covered by fees stated under Q8.2.</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
      </c>
      <c r="E77" s="348" t="str">
        <f>_xlfn.CONCAT(_xlfn.XLOOKUP("[S13_AnyOtherIssues][71][OtherInformationOrIssues]",Submission!$O:$O,Submission!$H:$N,""))</f>
        <v/>
      </c>
      <c r="F77" s="348"/>
      <c r="G77" s="348"/>
      <c r="H77" s="348"/>
      <c r="I77" s="285"/>
    </row>
    <row r="78" spans="3:9" ht="27" customHeight="1" x14ac:dyDescent="0.3">
      <c r="C78" s="558"/>
      <c r="D78" s="161" t="str">
        <f>_xlfn.CONCAT(_xlfn.XLOOKUP("[S13_AnyOtherIssues][72][QuestionnaireSubQuestion]",Submission!$O:$O,Submission!$H:$N,""))</f>
        <v/>
      </c>
      <c r="E78" s="348" t="str">
        <f>_xlfn.CONCAT(_xlfn.XLOOKUP("[S13_AnyOtherIssues][72][OtherInformationOrIssues]",Submission!$O:$O,Submission!$H:$N,""))</f>
        <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Yes</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NEA</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KLD</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
      </c>
      <c r="AL15" t="str">
        <f>'Q 10'!D158</f>
        <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Norwegian Environment Agency (NEA)</v>
      </c>
      <c r="F5" s="241"/>
      <c r="G5" s="241"/>
      <c r="H5" s="241"/>
      <c r="I5" s="242"/>
    </row>
    <row r="6" spans="1:9" s="69" customFormat="1" ht="14.4" x14ac:dyDescent="0.3">
      <c r="A6" s="68"/>
      <c r="C6" s="238" t="s">
        <v>654</v>
      </c>
      <c r="D6" s="239"/>
      <c r="E6" s="240" t="str">
        <f>_xlfn.CONCAT(_xlfn.XLOOKUP("[S01_InstitutionDetails][0][ContactPersonName]",Submission!$O:$O,Submission!$H:$N,""))</f>
        <v>Silje Aksnes Bratland</v>
      </c>
      <c r="F6" s="241"/>
      <c r="G6" s="241"/>
      <c r="H6" s="241"/>
      <c r="I6" s="242"/>
    </row>
    <row r="7" spans="1:9" s="69" customFormat="1" ht="14.4" x14ac:dyDescent="0.3">
      <c r="A7" s="68"/>
      <c r="C7" s="238" t="s">
        <v>655</v>
      </c>
      <c r="D7" s="239"/>
      <c r="E7" s="240" t="str">
        <f>_xlfn.CONCAT(_xlfn.XLOOKUP("[S01_InstitutionDetails][0][ContactPersonJobTitle]",Submission!$O:$O,Submission!$H:$N,""))</f>
        <v>Head of section</v>
      </c>
      <c r="F7" s="241"/>
      <c r="G7" s="241"/>
      <c r="H7" s="241"/>
      <c r="I7" s="242"/>
    </row>
    <row r="8" spans="1:9" s="69" customFormat="1" ht="14.4" x14ac:dyDescent="0.3">
      <c r="A8" s="68"/>
      <c r="C8" s="238" t="s">
        <v>656</v>
      </c>
      <c r="D8" s="239"/>
      <c r="E8" s="240" t="str">
        <f>_xlfn.CONCAT(_xlfn.XLOOKUP("[S01_InstitutionDetails][0][Address]",Submission!$O:$O,Submission!$H:$N,""))</f>
        <v>Postboks 5672, Torgarden</v>
      </c>
      <c r="F8" s="241"/>
      <c r="G8" s="241"/>
      <c r="H8" s="241"/>
      <c r="I8" s="242"/>
    </row>
    <row r="9" spans="1:9" s="69" customFormat="1" ht="14.4" x14ac:dyDescent="0.3">
      <c r="A9" s="68"/>
      <c r="C9" s="238" t="s">
        <v>657</v>
      </c>
      <c r="D9" s="239"/>
      <c r="E9" s="243" t="str">
        <f>_xlfn.CONCAT(_xlfn.XLOOKUP("[S01_InstitutionDetails][0][InternationalTelephoneNumber]",Submission!$O:$O,Submission!$H:$N,""))</f>
        <v>4741616527</v>
      </c>
      <c r="F9" s="244"/>
      <c r="G9" s="244"/>
      <c r="H9" s="244"/>
      <c r="I9" s="245"/>
    </row>
    <row r="10" spans="1:9" s="69" customFormat="1" ht="14.4" x14ac:dyDescent="0.3">
      <c r="A10" s="68"/>
      <c r="C10" s="238" t="s">
        <v>658</v>
      </c>
      <c r="D10" s="239"/>
      <c r="E10" s="247" t="str">
        <f>_xlfn.CONCAT(_xlfn.XLOOKUP("[S01_InstitutionDetails][0][EMail]",Submission!$O:$O,Submission!$H:$N,""))</f>
        <v>silje.aksnes.bratland@miljodir.no</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Norwegian Environment Agency</v>
      </c>
      <c r="D7" s="72" t="str">
        <f>_xlfn.CONCAT(_xlfn.XLOOKUP("[S02_CompetentAuthority][1][CAAbbreviation]",Submission!$O:$O,Submission!$H:$N,""))</f>
        <v>NEA</v>
      </c>
      <c r="E7" s="72" t="str">
        <f>_xlfn.CONCAT(_xlfn.XLOOKUP("[S02_CompetentAuthority][1][CAType]",Submission!$O:$O,Submission!$H:$N,""))</f>
        <v>Central competent authority</v>
      </c>
      <c r="F7" s="105" t="str">
        <f>_xlfn.CONCAT(_xlfn.XLOOKUP("[S02_CompetentAuthority][1][CANumber]",Submission!$O:$O,Submission!$H:$N,""))</f>
        <v>1</v>
      </c>
      <c r="G7" s="172" t="str">
        <f>_xlfn.CONCAT(_xlfn.XLOOKUP("[S02_CompetentAuthority][1][CATelephone]",Submission!$O:$O,Submission!$H:$N,""))</f>
        <v>4773580500</v>
      </c>
      <c r="H7" s="83" t="str">
        <f>_xlfn.CONCAT(_xlfn.XLOOKUP("[S02_CompetentAuthority][1][CAEmail]",Submission!$O:$O,Submission!$H:$N,""))</f>
        <v>post@miljodir.no</v>
      </c>
      <c r="I7" s="72" t="str">
        <f>_xlfn.CONCAT(_xlfn.XLOOKUP("[S02_CompetentAuthority][1][CAWebsite]",Submission!$O:$O,Submission!$H:$N,""))</f>
        <v>www.miljodirektoratet.no</v>
      </c>
      <c r="J7" s="79"/>
    </row>
    <row r="8" spans="1:11" s="58" customFormat="1" ht="15.9" customHeight="1" x14ac:dyDescent="0.3">
      <c r="B8" s="79"/>
      <c r="C8" s="71" t="str">
        <f>_xlfn.CONCAT(_xlfn.XLOOKUP("[S02_CompetentAuthority][2][CAName]",Submission!$O:$O,Submission!$H:$N,""))</f>
        <v xml:space="preserve">Ministry of Climate and Environment </v>
      </c>
      <c r="D8" s="72" t="str">
        <f>_xlfn.CONCAT(_xlfn.XLOOKUP("[S02_CompetentAuthority][2][CAAbbreviation]",Submission!$O:$O,Submission!$H:$N,""))</f>
        <v>KLD</v>
      </c>
      <c r="E8" s="72" t="str">
        <f>_xlfn.CONCAT(_xlfn.XLOOKUP("[S02_CompetentAuthority][2][CAType]",Submission!$O:$O,Submission!$H:$N,""))</f>
        <v>Central competent authority</v>
      </c>
      <c r="F8" s="105" t="str">
        <f>_xlfn.CONCAT(_xlfn.XLOOKUP("[S02_CompetentAuthority][2][CANumber]",Submission!$O:$O,Submission!$H:$N,""))</f>
        <v>1</v>
      </c>
      <c r="G8" s="172" t="str">
        <f>_xlfn.CONCAT(_xlfn.XLOOKUP("[S02_CompetentAuthority][2][CATelephone]",Submission!$O:$O,Submission!$H:$N,""))</f>
        <v>4722249090</v>
      </c>
      <c r="H8" s="83" t="str">
        <f>_xlfn.CONCAT(_xlfn.XLOOKUP("[S02_CompetentAuthority][2][CAEmail]",Submission!$O:$O,Submission!$H:$N,""))</f>
        <v>postmottak@kld.dep.no</v>
      </c>
      <c r="I8" s="72" t="str">
        <f>_xlfn.CONCAT(_xlfn.XLOOKUP("[S02_CompetentAuthority][2][CAWebsite]",Submission!$O:$O,Submission!$H:$N,""))</f>
        <v>https://www.regjeringen.no/en/dep/kld/id668/</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2"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Norwegian Accreditation</v>
      </c>
      <c r="D39" s="268"/>
      <c r="E39" s="72" t="str">
        <f>_xlfn.CONCAT(_xlfn.XLOOKUP("[S02_AccreditationBody][1][AccBodyAbbreviation]",Submission!$O:$O,Submission!$H:$N,""))</f>
        <v>NA</v>
      </c>
      <c r="F39" s="172" t="str">
        <f>_xlfn.CONCAT(_xlfn.XLOOKUP("[S02_AccreditationBody][1][AccBodyTelephone]",Submission!$O:$O,Submission!$H:$N,""))</f>
        <v>4764848600</v>
      </c>
      <c r="G39" s="77" t="str">
        <f>_xlfn.CONCAT(_xlfn.XLOOKUP("[S02_AccreditationBody][1][AccBodyEmail]",Submission!$O:$O,Submission!$H:$N,""))</f>
        <v>akkreditert@akkreditert.no</v>
      </c>
      <c r="H39" s="255" t="str">
        <f>_xlfn.CONCAT(_xlfn.XLOOKUP("[S02_AccreditationBody][1][AccBodyWebsite]",Submission!$O:$O,Submission!$H:$N,""))</f>
        <v>http://www.akkreditert.no/en/</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Norwegian Envronment Agency</v>
      </c>
      <c r="D49" s="268"/>
      <c r="E49" s="72" t="str">
        <f>_xlfn.CONCAT(_xlfn.XLOOKUP("[S02_RegistryAdministrator][1][RegAdminAbbreviation]",Submission!$O:$O,Submission!$H:$N,""))</f>
        <v>NEA</v>
      </c>
      <c r="F49" s="172" t="str">
        <f>_xlfn.CONCAT(_xlfn.XLOOKUP("[S02_RegistryAdministrator][1][RegAdminTelephone]",Submission!$O:$O,Submission!$H:$N,""))</f>
        <v/>
      </c>
      <c r="G49" s="77" t="str">
        <f>_xlfn.CONCAT(_xlfn.XLOOKUP("[S02_RegistryAdministrator][1][RegAdminEmail]",Submission!$O:$O,Submission!$H:$N,""))</f>
        <v>kvoteregister@miljodir.no</v>
      </c>
      <c r="H49" s="255" t="str">
        <f>_xlfn.CONCAT(_xlfn.XLOOKUP("[S02_RegistryAdministrator][1][RegAdminWebsite]",Submission!$O:$O,Submission!$H:$N,""))</f>
        <v>https://www.miljodirektoratet.no/ansvarsomrader/klima/klimakvoter/klimakvoteregisteret/</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NEA</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NEA</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NEA</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NEA</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NEA</v>
      </c>
      <c r="I58" s="252"/>
    </row>
    <row r="59" spans="1:9" s="79" customFormat="1" ht="28.95" customHeight="1" x14ac:dyDescent="0.3">
      <c r="A59" s="78"/>
      <c r="C59" s="238" t="s">
        <v>691</v>
      </c>
      <c r="D59" s="263"/>
      <c r="E59" s="264"/>
      <c r="F59" s="251" t="str">
        <f>_xlfn.CONCAT(_xlfn.XLOOKUP("[S02_CompetentAuthorityRoles][6][CAForInstallationTask]",Submission!$O:$O,Submission!$H:$N,""))</f>
        <v>KLD</v>
      </c>
      <c r="G59" s="252"/>
      <c r="H59" s="251" t="str">
        <f>_xlfn.CONCAT(_xlfn.XLOOKUP("[S02_CompetentAuthorityRoles][6][CAForAviationTask]",Submission!$O:$O,Submission!$H:$N,""))</f>
        <v>KLD</v>
      </c>
      <c r="I59" s="252"/>
    </row>
    <row r="60" spans="1:9" s="79" customFormat="1" ht="28.95" customHeight="1" x14ac:dyDescent="0.3">
      <c r="A60" s="78"/>
      <c r="C60" s="238" t="s">
        <v>42</v>
      </c>
      <c r="D60" s="263"/>
      <c r="E60" s="264"/>
      <c r="F60" s="251" t="str">
        <f>_xlfn.CONCAT(_xlfn.XLOOKUP("[S02_CompetentAuthorityRoles][7][CAForInstallationTask]",Submission!$O:$O,Submission!$H:$N,""))</f>
        <v>NEA</v>
      </c>
      <c r="G60" s="252"/>
      <c r="H60" s="251" t="str">
        <f>_xlfn.CONCAT(_xlfn.XLOOKUP("[S02_CompetentAuthorityRoles][7][CAForAviationTask]",Submission!$O:$O,Submission!$H:$N,""))</f>
        <v>NEA</v>
      </c>
      <c r="I60" s="252"/>
    </row>
    <row r="61" spans="1:9" s="79" customFormat="1" ht="28.95" customHeight="1" x14ac:dyDescent="0.3">
      <c r="A61" s="78"/>
      <c r="C61" s="238" t="s">
        <v>692</v>
      </c>
      <c r="D61" s="263"/>
      <c r="E61" s="264"/>
      <c r="F61" s="251" t="str">
        <f>_xlfn.CONCAT(_xlfn.XLOOKUP("[S02_CompetentAuthorityRoles][8][CAForInstallationTask]",Submission!$O:$O,Submission!$H:$N,""))</f>
        <v>NEA</v>
      </c>
      <c r="G61" s="252"/>
      <c r="H61" s="251" t="str">
        <f>_xlfn.CONCAT(_xlfn.XLOOKUP("[S02_CompetentAuthorityRoles][8][CAForAviationTask]",Submission!$O:$O,Submission!$H:$N,""))</f>
        <v>NEA</v>
      </c>
      <c r="I61" s="252"/>
    </row>
    <row r="62" spans="1:9" s="79" customFormat="1" ht="28.95" customHeight="1" x14ac:dyDescent="0.3">
      <c r="A62" s="78"/>
      <c r="C62" s="238" t="s">
        <v>693</v>
      </c>
      <c r="D62" s="263"/>
      <c r="E62" s="264"/>
      <c r="F62" s="251" t="str">
        <f>_xlfn.CONCAT(_xlfn.XLOOKUP("[S02_CompetentAuthorityRoles][9][CAForInstallationTask]",Submission!$O:$O,Submission!$H:$N,""))</f>
        <v>NEA</v>
      </c>
      <c r="G62" s="252"/>
      <c r="H62" s="251" t="str">
        <f>_xlfn.CONCAT(_xlfn.XLOOKUP("[S02_CompetentAuthorityRoles][9][CAForAviationTask]",Submission!$O:$O,Submission!$H:$N,""))</f>
        <v>NEA</v>
      </c>
      <c r="I62" s="252"/>
    </row>
    <row r="63" spans="1:9" s="79" customFormat="1" ht="28.95" customHeight="1" x14ac:dyDescent="0.3">
      <c r="A63" s="78"/>
      <c r="C63" s="238" t="s">
        <v>694</v>
      </c>
      <c r="D63" s="263"/>
      <c r="E63" s="264"/>
      <c r="F63" s="251" t="str">
        <f>_xlfn.CONCAT(_xlfn.XLOOKUP("[S02_CompetentAuthorityRoles][10][CAForInstallationTask]",Submission!$O:$O,Submission!$H:$N,""))</f>
        <v>NEA</v>
      </c>
      <c r="G63" s="252"/>
      <c r="H63" s="251" t="str">
        <f>_xlfn.CONCAT(_xlfn.XLOOKUP("[S02_CompetentAuthorityRoles][10][CAForAviationTask]",Submission!$O:$O,Submission!$H:$N,""))</f>
        <v>NEA</v>
      </c>
      <c r="I63" s="252"/>
    </row>
    <row r="64" spans="1:9" s="79" customFormat="1" ht="28.95" customHeight="1" x14ac:dyDescent="0.3">
      <c r="A64" s="78"/>
      <c r="C64" s="238" t="s">
        <v>46</v>
      </c>
      <c r="D64" s="263"/>
      <c r="E64" s="264"/>
      <c r="F64" s="251" t="str">
        <f>_xlfn.CONCAT(_xlfn.XLOOKUP("[S02_CompetentAuthorityRoles][11][CAForInstallationTask]",Submission!$O:$O,Submission!$H:$N,""))</f>
        <v>NEA</v>
      </c>
      <c r="G64" s="252"/>
      <c r="H64" s="251" t="str">
        <f>_xlfn.CONCAT(_xlfn.XLOOKUP("[S02_CompetentAuthorityRoles][11][CAForAviationTask]",Submission!$O:$O,Submission!$H:$N,""))</f>
        <v>NEA</v>
      </c>
      <c r="I64" s="252"/>
    </row>
    <row r="65" spans="1:9" s="79" customFormat="1" ht="28.95" customHeight="1" x14ac:dyDescent="0.3">
      <c r="A65" s="78"/>
      <c r="C65" s="238" t="s">
        <v>695</v>
      </c>
      <c r="D65" s="263"/>
      <c r="E65" s="264"/>
      <c r="F65" s="251" t="str">
        <f>_xlfn.CONCAT(_xlfn.XLOOKUP("[S02_CompetentAuthorityRoles][12][CAForInstallationTask]",Submission!$O:$O,Submission!$H:$N,""))</f>
        <v>KLD</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Not applicable</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
      </c>
      <c r="D82" s="286"/>
      <c r="E82" s="286"/>
      <c r="F82" s="286"/>
      <c r="G82" s="286" t="str">
        <f>_xlfn.CONCAT(_xlfn.XLOOKUP("[S02_CAFocalPoint][0][CAArt70Abbrev]",Submission!$O:$O,Submission!$H:$N,""))</f>
        <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
      </c>
      <c r="H86" s="284" t="str">
        <f>_xlfn.CONCAT(_xlfn.XLOOKUP("[S02_CompetentAuthorityCoordination][1][CACoordinationComment]",Submission!$O:$O,Submission!$H:$N,""))</f>
        <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
      </c>
      <c r="H87" s="284" t="str">
        <f>_xlfn.CONCAT(_xlfn.XLOOKUP("[S02_CompetentAuthorityCoordination][2][CACoordinationComment]",Submission!$O:$O,Submission!$H:$N,""))</f>
        <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
      </c>
      <c r="H88" s="284" t="str">
        <f>_xlfn.CONCAT(_xlfn.XLOOKUP("[S02_CompetentAuthorityCoordination][3][CACoordinationComment]",Submission!$O:$O,Submission!$H:$N,""))</f>
        <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
      </c>
      <c r="H89" s="284" t="str">
        <f>_xlfn.CONCAT(_xlfn.XLOOKUP("[S02_CompetentAuthorityCoordination][4][CACoordinationComment]",Submission!$O:$O,Submission!$H:$N,""))</f>
        <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
      </c>
      <c r="H90" s="284" t="str">
        <f>_xlfn.CONCAT(_xlfn.XLOOKUP("[S02_CompetentAuthorityCoordination][5][CACoordinationComment]",Submission!$O:$O,Submission!$H:$N,""))</f>
        <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
      </c>
      <c r="H91" s="284" t="str">
        <f>_xlfn.CONCAT(_xlfn.XLOOKUP("[S02_CompetentAuthorityCoordination][6][CACoordinationComment]",Submission!$O:$O,Submission!$H:$N,""))</f>
        <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Yes</v>
      </c>
      <c r="H100" s="281" t="str">
        <f>_xlfn.CONCAT(_xlfn.XLOOKUP("[S02_InformationExchangeAccBodyAndCA][1][InfoExchangeComment]",Submission!$O:$O,Submission!$H:$N,""))</f>
        <v>There is a consecutive dialogue/information exchange per email and phone between the NAB and the CA, and meetings are arranged when needed.</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No</v>
      </c>
      <c r="H101" s="281" t="str">
        <f>_xlfn.CONCAT(_xlfn.XLOOKUP("[S02_InformationExchangeAccBodyAndCA][2][InfoExchangeComment]",Submission!$O:$O,Submission!$H:$N,""))</f>
        <v>No working group, but we arrange annual dialogue meetings with all three parties.</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Yes</v>
      </c>
      <c r="H102" s="281" t="str">
        <f>_xlfn.CONCAT(_xlfn.XLOOKUP("[S02_InformationExchangeAccBodyAndCA][3][InfoExchangeComment]",Submission!$O:$O,Submission!$H:$N,""))</f>
        <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144</v>
      </c>
      <c r="H7" s="334"/>
      <c r="I7" s="335"/>
    </row>
    <row r="8" spans="1:9" s="7" customFormat="1" ht="15" customHeight="1" x14ac:dyDescent="0.3">
      <c r="A8" s="8"/>
      <c r="C8" s="320" t="s">
        <v>727</v>
      </c>
      <c r="D8" s="331"/>
      <c r="E8" s="331"/>
      <c r="F8" s="332"/>
      <c r="G8" s="333" t="str">
        <f>_xlfn.CONCAT(_xlfn.XLOOKUP("[S03_EmittingInstallations][2][NumberOfInstallations]",Submission!$O:$O,Submission!$H:$N,""))</f>
        <v>66</v>
      </c>
      <c r="H8" s="334"/>
      <c r="I8" s="335"/>
    </row>
    <row r="9" spans="1:9" s="7" customFormat="1" ht="15" customHeight="1" x14ac:dyDescent="0.3">
      <c r="A9" s="8"/>
      <c r="C9" s="320" t="s">
        <v>728</v>
      </c>
      <c r="D9" s="331"/>
      <c r="E9" s="331"/>
      <c r="F9" s="332"/>
      <c r="G9" s="333" t="str">
        <f>_xlfn.CONCAT(_xlfn.XLOOKUP("[S03_EmittingInstallations][3][NumberOfInstallations]",Submission!$O:$O,Submission!$H:$N,""))</f>
        <v>64</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14</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53</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Yes</v>
      </c>
      <c r="I16" s="297"/>
    </row>
    <row r="17" spans="3:9" s="11" customFormat="1" ht="14.4" x14ac:dyDescent="0.3">
      <c r="C17" s="300" t="s">
        <v>735</v>
      </c>
      <c r="D17" s="301"/>
      <c r="E17" s="301"/>
      <c r="F17" s="301"/>
      <c r="G17" s="302"/>
      <c r="H17" s="296" t="str">
        <f>_xlfn.CONCAT(_xlfn.XLOOKUP("[S03_ActivityPermits][3][ActivityPermitsIssued]",Submission!$O:$O,Submission!$H:$N,""))</f>
        <v>No</v>
      </c>
      <c r="I17" s="297"/>
    </row>
    <row r="18" spans="3:9" s="11" customFormat="1" ht="14.4" x14ac:dyDescent="0.3">
      <c r="C18" s="300" t="s">
        <v>736</v>
      </c>
      <c r="D18" s="301"/>
      <c r="E18" s="301"/>
      <c r="F18" s="301"/>
      <c r="G18" s="302"/>
      <c r="H18" s="296" t="str">
        <f>_xlfn.CONCAT(_xlfn.XLOOKUP("[S03_ActivityPermits][4][ActivityPermitsIssued]",Submission!$O:$O,Submission!$H:$N,""))</f>
        <v>Yes</v>
      </c>
      <c r="I18" s="297"/>
    </row>
    <row r="19" spans="3:9" s="11" customFormat="1" ht="14.4" x14ac:dyDescent="0.3">
      <c r="C19" s="300" t="s">
        <v>737</v>
      </c>
      <c r="D19" s="301"/>
      <c r="E19" s="301"/>
      <c r="F19" s="301"/>
      <c r="G19" s="302"/>
      <c r="H19" s="296" t="str">
        <f>_xlfn.CONCAT(_xlfn.XLOOKUP("[S03_ActivityPermits][5][ActivityPermitsIssued]",Submission!$O:$O,Submission!$H:$N,""))</f>
        <v>Yes</v>
      </c>
      <c r="I19" s="297"/>
    </row>
    <row r="20" spans="3:9" s="11" customFormat="1" ht="14.4" x14ac:dyDescent="0.3">
      <c r="C20" s="300" t="s">
        <v>738</v>
      </c>
      <c r="D20" s="301"/>
      <c r="E20" s="301"/>
      <c r="F20" s="301"/>
      <c r="G20" s="302"/>
      <c r="H20" s="296" t="str">
        <f>_xlfn.CONCAT(_xlfn.XLOOKUP("[S03_ActivityPermits][6][ActivityPermitsIssued]",Submission!$O:$O,Submission!$H:$N,""))</f>
        <v>Yes</v>
      </c>
      <c r="I20" s="297"/>
    </row>
    <row r="21" spans="3:9" s="11" customFormat="1" ht="14.4" x14ac:dyDescent="0.3">
      <c r="C21" s="300" t="s">
        <v>739</v>
      </c>
      <c r="D21" s="301"/>
      <c r="E21" s="301"/>
      <c r="F21" s="301"/>
      <c r="G21" s="302"/>
      <c r="H21" s="296" t="str">
        <f>_xlfn.CONCAT(_xlfn.XLOOKUP("[S03_ActivityPermits][7][ActivityPermitsIssued]",Submission!$O:$O,Submission!$H:$N,""))</f>
        <v>Yes</v>
      </c>
      <c r="I21" s="297"/>
    </row>
    <row r="22" spans="3:9" s="11" customFormat="1" ht="14.4" x14ac:dyDescent="0.3">
      <c r="C22" s="300" t="s">
        <v>740</v>
      </c>
      <c r="D22" s="301"/>
      <c r="E22" s="301"/>
      <c r="F22" s="301"/>
      <c r="G22" s="302"/>
      <c r="H22" s="296" t="str">
        <f>_xlfn.CONCAT(_xlfn.XLOOKUP("[S03_ActivityPermits][8][ActivityPermitsIssued]",Submission!$O:$O,Submission!$H:$N,""))</f>
        <v>Yes</v>
      </c>
      <c r="I22" s="297"/>
    </row>
    <row r="23" spans="3:9" s="11" customFormat="1" ht="14.4" x14ac:dyDescent="0.3">
      <c r="C23" s="300" t="s">
        <v>741</v>
      </c>
      <c r="D23" s="301"/>
      <c r="E23" s="301"/>
      <c r="F23" s="301"/>
      <c r="G23" s="302"/>
      <c r="H23" s="296" t="str">
        <f>_xlfn.CONCAT(_xlfn.XLOOKUP("[S03_ActivityPermits][9][ActivityPermitsIssued]",Submission!$O:$O,Submission!$H:$N,""))</f>
        <v>Yes</v>
      </c>
      <c r="I23" s="297"/>
    </row>
    <row r="24" spans="3:9" s="11" customFormat="1" ht="14.4" x14ac:dyDescent="0.3">
      <c r="C24" s="300" t="s">
        <v>742</v>
      </c>
      <c r="D24" s="301"/>
      <c r="E24" s="301"/>
      <c r="F24" s="301"/>
      <c r="G24" s="302"/>
      <c r="H24" s="296" t="str">
        <f>_xlfn.CONCAT(_xlfn.XLOOKUP("[S03_ActivityPermits][10][ActivityPermitsIssued]",Submission!$O:$O,Submission!$H:$N,""))</f>
        <v>Yes</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Yes</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Yes</v>
      </c>
      <c r="I28" s="297"/>
    </row>
    <row r="29" spans="3:9" s="11" customFormat="1" ht="14.4" x14ac:dyDescent="0.3">
      <c r="C29" s="300" t="s">
        <v>747</v>
      </c>
      <c r="D29" s="301"/>
      <c r="E29" s="301"/>
      <c r="F29" s="301"/>
      <c r="G29" s="302"/>
      <c r="H29" s="296" t="str">
        <f>_xlfn.CONCAT(_xlfn.XLOOKUP("[S03_ActivityPermits][15][ActivityPermitsIssued]",Submission!$O:$O,Submission!$H:$N,""))</f>
        <v>Yes</v>
      </c>
      <c r="I29" s="297"/>
    </row>
    <row r="30" spans="3:9" s="11" customFormat="1" ht="14.4" x14ac:dyDescent="0.3">
      <c r="C30" s="300" t="s">
        <v>748</v>
      </c>
      <c r="D30" s="301"/>
      <c r="E30" s="301"/>
      <c r="F30" s="301"/>
      <c r="G30" s="302"/>
      <c r="H30" s="296" t="str">
        <f>_xlfn.CONCAT(_xlfn.XLOOKUP("[S03_ActivityPermits][16][ActivityPermitsIssued]",Submission!$O:$O,Submission!$H:$N,""))</f>
        <v>Yes</v>
      </c>
      <c r="I30" s="297"/>
    </row>
    <row r="31" spans="3:9" s="11" customFormat="1" ht="14.4" x14ac:dyDescent="0.3">
      <c r="C31" s="300" t="s">
        <v>749</v>
      </c>
      <c r="D31" s="301"/>
      <c r="E31" s="301"/>
      <c r="F31" s="301"/>
      <c r="G31" s="302"/>
      <c r="H31" s="296" t="str">
        <f>_xlfn.CONCAT(_xlfn.XLOOKUP("[S03_ActivityPermits][17][ActivityPermitsIssued]",Submission!$O:$O,Submission!$H:$N,""))</f>
        <v>Yes</v>
      </c>
      <c r="I31" s="297"/>
    </row>
    <row r="32" spans="3:9" s="11" customFormat="1" ht="14.4" x14ac:dyDescent="0.3">
      <c r="C32" s="300" t="s">
        <v>750</v>
      </c>
      <c r="D32" s="301"/>
      <c r="E32" s="301"/>
      <c r="F32" s="301"/>
      <c r="G32" s="302"/>
      <c r="H32" s="296" t="str">
        <f>_xlfn.CONCAT(_xlfn.XLOOKUP("[S03_ActivityPermits][18][ActivityPermitsIssued]",Submission!$O:$O,Submission!$H:$N,""))</f>
        <v>No</v>
      </c>
      <c r="I32" s="297"/>
    </row>
    <row r="33" spans="1:9" s="11" customFormat="1" ht="14.4" x14ac:dyDescent="0.3">
      <c r="C33" s="300" t="s">
        <v>751</v>
      </c>
      <c r="D33" s="301"/>
      <c r="E33" s="301"/>
      <c r="F33" s="301"/>
      <c r="G33" s="302"/>
      <c r="H33" s="296" t="str">
        <f>_xlfn.CONCAT(_xlfn.XLOOKUP("[S03_ActivityPermits][19][ActivityPermitsIssued]",Submission!$O:$O,Submission!$H:$N,""))</f>
        <v>Yes</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Yes</v>
      </c>
      <c r="I36" s="297"/>
    </row>
    <row r="37" spans="1:9" s="11" customFormat="1" ht="14.4" x14ac:dyDescent="0.3">
      <c r="C37" s="300" t="s">
        <v>755</v>
      </c>
      <c r="D37" s="301"/>
      <c r="E37" s="301"/>
      <c r="F37" s="301"/>
      <c r="G37" s="302"/>
      <c r="H37" s="296" t="str">
        <f>_xlfn.CONCAT(_xlfn.XLOOKUP("[S03_ActivityPermits][23][ActivityPermitsIssued]",Submission!$O:$O,Submission!$H:$N,""))</f>
        <v>Yes</v>
      </c>
      <c r="I37" s="297"/>
    </row>
    <row r="38" spans="1:9" s="11" customFormat="1" ht="15" x14ac:dyDescent="0.3">
      <c r="C38" s="300" t="s">
        <v>756</v>
      </c>
      <c r="D38" s="301"/>
      <c r="E38" s="301"/>
      <c r="F38" s="301"/>
      <c r="G38" s="302"/>
      <c r="H38" s="296" t="str">
        <f>_xlfn.CONCAT(_xlfn.XLOOKUP("[S03_ActivityPermits][24][ActivityPermitsIssued]",Submission!$O:$O,Submission!$H:$N,""))</f>
        <v>No</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Yes</v>
      </c>
      <c r="I40" s="297"/>
    </row>
    <row r="41" spans="1:9" s="11" customFormat="1" ht="14.4" x14ac:dyDescent="0.3">
      <c r="C41" s="300" t="s">
        <v>759</v>
      </c>
      <c r="D41" s="301"/>
      <c r="E41" s="301"/>
      <c r="F41" s="301"/>
      <c r="G41" s="302"/>
      <c r="H41" s="296" t="str">
        <f>_xlfn.CONCAT(_xlfn.XLOOKUP("[S03_ActivityPermits][27][ActivityPermitsIssued]",Submission!$O:$O,Submission!$H:$N,""))</f>
        <v>Yes</v>
      </c>
      <c r="I41" s="297"/>
    </row>
    <row r="42" spans="1:9" s="11" customFormat="1" ht="14.4" x14ac:dyDescent="0.3">
      <c r="C42" s="300" t="s">
        <v>760</v>
      </c>
      <c r="D42" s="301"/>
      <c r="E42" s="301"/>
      <c r="F42" s="301"/>
      <c r="G42" s="302"/>
      <c r="H42" s="296" t="str">
        <f>_xlfn.CONCAT(_xlfn.XLOOKUP("[S03_ActivityPermits][28][ActivityPermitsIssued]",Submission!$O:$O,Submission!$H:$N,""))</f>
        <v>Yes</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No</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
      </c>
      <c r="D51" s="298"/>
      <c r="E51" s="299"/>
      <c r="F51" s="306" t="str">
        <f>_xlfn.CONCAT(_xlfn.XLOOKUP("[S03_InstallationsExcludedArt27Detail][1][InstallationsExcludedEmissions]",Submission!$O:$O,Submission!$H:$N,""))</f>
        <v/>
      </c>
      <c r="G51" s="307"/>
      <c r="H51" s="308" t="str">
        <f>_xlfn.CONCAT(_xlfn.XLOOKUP("[S03_InstallationsExcludedArt27Detail][1][InstallationsExceededThreshold]",Submission!$O:$O,Submission!$H:$N,""))</f>
        <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5</v>
      </c>
      <c r="H64" s="132" t="str">
        <f>_xlfn.CONCAT(_xlfn.XLOOKUP("[S03_AircraftAnnex1Activities][1][NumberNonCommercialOperators]",Submission!$O:$O,Submission!$H:$N,""))</f>
        <v>0</v>
      </c>
      <c r="I64" s="132" t="str">
        <f>_xlfn.CONCAT(_xlfn.XLOOKUP("[S03_AircraftAnnex1Activities][1][NumberTotalOperators]",Submission!$O:$O,Submission!$H:$N,""))</f>
        <v>5</v>
      </c>
    </row>
    <row r="65" spans="3:9" ht="15.9" customHeight="1" x14ac:dyDescent="0.3">
      <c r="C65" s="311" t="s">
        <v>782</v>
      </c>
      <c r="D65" s="312"/>
      <c r="E65" s="312"/>
      <c r="F65" s="313"/>
      <c r="G65" s="132" t="str">
        <f>_xlfn.CONCAT(_xlfn.XLOOKUP("[S03_AircraftAnnex1Activities][2][NumberCommercialOperators]",Submission!$O:$O,Submission!$H:$N,""))</f>
        <v>0</v>
      </c>
      <c r="H65" s="132" t="str">
        <f>_xlfn.CONCAT(_xlfn.XLOOKUP("[S03_AircraftAnnex1Activities][2][NumberNonCommercialOperators]",Submission!$O:$O,Submission!$H:$N,""))</f>
        <v>0</v>
      </c>
      <c r="I65" s="132" t="str">
        <f>_xlfn.CONCAT(_xlfn.XLOOKUP("[S03_AircraftAnnex1Activities][2][NumberTotalOperators]",Submission!$O:$O,Submission!$H:$N,""))</f>
        <v>0</v>
      </c>
    </row>
    <row r="66" spans="3:9" ht="15.9" customHeight="1" x14ac:dyDescent="0.3">
      <c r="C66" s="311" t="s">
        <v>780</v>
      </c>
      <c r="D66" s="312"/>
      <c r="E66" s="312"/>
      <c r="F66" s="313"/>
      <c r="G66" s="132" t="str">
        <f>_xlfn.CONCAT(_xlfn.XLOOKUP("[S03_AircraftAnnex1Activities][3][NumberCommercialOperators]",Submission!$O:$O,Submission!$H:$N,""))</f>
        <v>5</v>
      </c>
      <c r="H66" s="132" t="str">
        <f>_xlfn.CONCAT(_xlfn.XLOOKUP("[S03_AircraftAnnex1Activities][3][NumberNonCommercialOperators]",Submission!$O:$O,Submission!$H:$N,""))</f>
        <v>0</v>
      </c>
      <c r="I66" s="132" t="str">
        <f>_xlfn.CONCAT(_xlfn.XLOOKUP("[S03_AircraftAnnex1Activities][3][NumberTotalOperators]",Submission!$O:$O,Submission!$H:$N,""))</f>
        <v>5</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No</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No</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Yes</v>
      </c>
      <c r="H10" s="284" t="str">
        <f>_xlfn.CONCAT(_xlfn.XLOOKUP("[S04_IEDProcedureRequirementsIntegratedYes][3][IntegrationComments]",Submission!$O:$O,Submission!$H:$N,""))</f>
        <v>The IED regulators are also part of the NEA,but work in other sections. The IED regulators contact the Section for Emission Trading when they receive applications for IED permits or other information about installations that will perform activities covered by EU ETS and vice versa.</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No</v>
      </c>
      <c r="H11" s="284" t="str">
        <f>_xlfn.CONCAT(_xlfn.XLOOKUP("[S04_IEDProcedureRequirementsIntegratedYes][4][IntegrationComments]",Submission!$O:$O,Submission!$H:$N,""))</f>
        <v>This is done by the Section for Emission Trading.</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Partially</v>
      </c>
      <c r="H12" s="284" t="str">
        <f>_xlfn.CONCAT(_xlfn.XLOOKUP("[S04_IEDProcedureRequirementsIntegratedYes][5][IntegrationComments]",Submission!$O:$O,Submission!$H:$N,""))</f>
        <v xml:space="preserve">Inspections are performed by case handlers in inspection sections in the NEA, in cooperation with case handlers in the Section for Emission Trading. </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Permits can be withdrawn by the CA if an installation no longer is included in the EU ETS, according to the Pollution Control Act article 11. The permit is only applicable for as long as the operator surrenders sufficient allowances. According to article 18 of the Pollution Control Act, the permit can also be withdrawn or modified by the CA 10 years after it has been issued.</v>
      </c>
      <c r="H19" s="345"/>
      <c r="I19" s="346"/>
    </row>
    <row r="20" spans="1:9" ht="15.9" customHeight="1" x14ac:dyDescent="0.3">
      <c r="C20" s="320" t="s">
        <v>797</v>
      </c>
      <c r="D20" s="321"/>
      <c r="E20" s="321"/>
      <c r="F20" s="343"/>
      <c r="G20" s="344" t="str">
        <f>_xlfn.CONCAT(_xlfn.XLOOKUP("[S04_NationalLawPermitUpdate][2][PermitUpdateNationalLawDetail]",Submission!$O:$O,Submission!$H:$N,""))</f>
        <v>No. However, according to the Pollution Control Act article 20, an operator who wants to restart an installation that has ceased operations for more than two years shall give notice to the CA. The CA can decide that the operator needs to apply for a new permit before restarting the installation.</v>
      </c>
      <c r="H20" s="345"/>
      <c r="I20" s="346"/>
    </row>
    <row r="21" spans="1:9" ht="15.9" customHeight="1" x14ac:dyDescent="0.3">
      <c r="C21" s="320" t="s">
        <v>134</v>
      </c>
      <c r="D21" s="321"/>
      <c r="E21" s="321"/>
      <c r="F21" s="343"/>
      <c r="G21" s="344" t="str">
        <f>_xlfn.CONCAT(_xlfn.XLOOKUP("[S04_NationalLawPermitUpdate][3][PermitUpdateNationalLawDetail]",Submission!$O:$O,Submission!$H:$N,""))</f>
        <v>When increased capacity causes changes in installation category or source stream category or new source streams are introduced.</v>
      </c>
      <c r="H21" s="345"/>
      <c r="I21" s="346"/>
    </row>
    <row r="22" spans="1:9" ht="15.9" customHeight="1" x14ac:dyDescent="0.3">
      <c r="C22" s="320" t="s">
        <v>136</v>
      </c>
      <c r="D22" s="321"/>
      <c r="E22" s="321"/>
      <c r="F22" s="343"/>
      <c r="G22" s="344" t="str">
        <f>_xlfn.CONCAT(_xlfn.XLOOKUP("[S04_NationalLawPermitUpdate][4][PermitUpdateNationalLawDetail]",Submission!$O:$O,Submission!$H:$N,""))</f>
        <v>When decreased capacity causes changes in installation category or source stream category or if source streams are no longer used.</v>
      </c>
      <c r="H22" s="345"/>
      <c r="I22" s="346"/>
    </row>
    <row r="23" spans="1:9" ht="15.9" customHeight="1" x14ac:dyDescent="0.3">
      <c r="C23" s="320" t="s">
        <v>138</v>
      </c>
      <c r="D23" s="321"/>
      <c r="E23" s="321"/>
      <c r="F23" s="343"/>
      <c r="G23" s="344" t="str">
        <f>_xlfn.CONCAT(_xlfn.XLOOKUP("[S04_NationalLawPermitUpdate][5][PermitUpdateNationalLawDetail]",Submission!$O:$O,Submission!$H:$N,""))</f>
        <v>The monitoring plan is part of the permit according to the Pollution Control Act article 11, so the permit will therefore be changed accordingly.</v>
      </c>
      <c r="H23" s="345"/>
      <c r="I23" s="346"/>
    </row>
    <row r="24" spans="1:9" ht="15.9" customHeight="1" x14ac:dyDescent="0.3">
      <c r="C24" s="320" t="s">
        <v>798</v>
      </c>
      <c r="D24" s="321"/>
      <c r="E24" s="321"/>
      <c r="F24" s="343"/>
      <c r="G24" s="344" t="str">
        <f>_xlfn.CONCAT(_xlfn.XLOOKUP("[S04_NationalLawPermitUpdate][6][PermitUpdateNationalLawDetail]",Submission!$O:$O,Submission!$H:$N,""))</f>
        <v>In addition to changes in the monitoring plan (see previous question), the permit is also changed/updated when there are changes in ownership/new operator/name of installation/activity in accordance with Annex I of the directive.</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63</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Yes</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Reporting deadline 31 March for AER reporting
Application deadline 30 November for site visit waiver for AER verification</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Yes</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The CA developed an electronic template for monitoring plan and permit application for installations for phase 3, in line with the requirements of regulation (EU) no 601/2012. The template has been updated to be in line with the requirements of implementing regulation (EU)2018/2066.
The template is an active template and is adapted to the specific installation as the relevant activities are prefilled by the CA. Furthermore, when the operator answers some questions on the first page of the template, only the pages relevant for his/her specific installation is activated. In the template it is also given instructions to the operator what to fill in, with reference and link to the relevant articles in the MRR. The CA also developed an electronic template for emissions reporting for phase 3, in line with the requirements of regulation (EU) no 601/2012. This template has also been updated to be in line with the requirements of implementing regulation (EU)2018/2066. The reporting template is even more installation specific than the template for permit/mp. Relevant source streams, tiers and so on from the installation's monitoring plan are prefilled in reporting template.</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Yes</v>
      </c>
      <c r="H16" s="407" t="str">
        <f>_xlfn.CONCAT(_xlfn.XLOOKUP("[MeasuresStreamline][1][MeasuresStreamlineComments]",Submission!$O:$O,Submission!$H:$N,""))</f>
        <v/>
      </c>
      <c r="I16" s="407"/>
    </row>
    <row r="17" spans="1:9" s="58" customFormat="1" ht="32.4" customHeight="1" x14ac:dyDescent="0.3">
      <c r="C17" s="354" t="s">
        <v>816</v>
      </c>
      <c r="D17" s="354"/>
      <c r="E17" s="354"/>
      <c r="F17" s="354"/>
      <c r="G17" s="47" t="str">
        <f>_xlfn.CONCAT(_xlfn.XLOOKUP("[MeasuresStreamline][2][MeasuresStreamlineYesNo]",Submission!$O:$O,Submission!$H:$N,""))</f>
        <v>Yes</v>
      </c>
      <c r="H17" s="407" t="str">
        <f>_xlfn.CONCAT(_xlfn.XLOOKUP("[MeasuresStreamline][2][MeasuresStreamlineComments]",Submission!$O:$O,Submission!$H:$N,""))</f>
        <v/>
      </c>
      <c r="I17" s="407"/>
    </row>
    <row r="18" spans="1:9" s="58" customFormat="1" ht="32.4" customHeight="1" x14ac:dyDescent="0.3">
      <c r="C18" s="354" t="s">
        <v>817</v>
      </c>
      <c r="D18" s="354"/>
      <c r="E18" s="354"/>
      <c r="F18" s="354"/>
      <c r="G18" s="47" t="str">
        <f>_xlfn.CONCAT(_xlfn.XLOOKUP("[MeasuresStreamline][3][MeasuresStreamlineYesNo]",Submission!$O:$O,Submission!$H:$N,""))</f>
        <v>Yes</v>
      </c>
      <c r="H18" s="407" t="str">
        <f>_xlfn.CONCAT(_xlfn.XLOOKUP("[MeasuresStreamline][3][MeasuresStreamlineComments]",Submission!$O:$O,Submission!$H:$N,""))</f>
        <v xml:space="preserve">EU ETS emission reporting and E-PRTR reports are both reported to the NEA, but to different sections (IED case handlers work in a different section than ETS case handlers). However, plausbility checks of the reports and internal follow up/dialogue between the different sections are performed.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
      </c>
      <c r="I19" s="407"/>
    </row>
    <row r="20" spans="1:9" s="58" customFormat="1" ht="32.4" customHeight="1" x14ac:dyDescent="0.3">
      <c r="C20" s="354" t="s">
        <v>819</v>
      </c>
      <c r="D20" s="354"/>
      <c r="E20" s="354"/>
      <c r="F20" s="354"/>
      <c r="G20" s="47" t="str">
        <f>_xlfn.CONCAT(_xlfn.XLOOKUP("[MeasuresStreamline][5][MeasuresStreamlineYesNo]",Submission!$O:$O,Submission!$H:$N,""))</f>
        <v>Yes</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Yes</v>
      </c>
      <c r="H21" s="407" t="str">
        <f>_xlfn.CONCAT(_xlfn.XLOOKUP("[MeasuresStreamline][6][MeasuresStreamlineComments]",Submission!$O:$O,Submission!$H:$N,""))</f>
        <v/>
      </c>
      <c r="I21" s="407"/>
    </row>
    <row r="22" spans="1:9" s="58" customFormat="1" ht="32.4" customHeight="1" x14ac:dyDescent="0.3">
      <c r="A22" s="75"/>
      <c r="C22" s="246" t="s">
        <v>821</v>
      </c>
      <c r="D22" s="263"/>
      <c r="E22" s="263"/>
      <c r="F22" s="264"/>
      <c r="G22" s="47" t="str">
        <f>_xlfn.CONCAT(_xlfn.XLOOKUP("[MeasuresStreamline][7][MeasuresStreamlineYesNo]",Submission!$O:$O,Submission!$H:$N,""))</f>
        <v>No</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No</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Member State specific template</v>
      </c>
      <c r="G28" s="347"/>
      <c r="H28" s="397" t="str">
        <f>_xlfn.CONCAT(_xlfn.XLOOKUP("[S05_MSCustomisedTemplatesMRR1][1][HowTemplateSpecific]",Submission!$O:$O,Submission!$H:$N,""))</f>
        <v>See explanation/specifications below the table</v>
      </c>
      <c r="I28" s="397"/>
    </row>
    <row r="29" spans="1:9" ht="15.9" customHeight="1" x14ac:dyDescent="0.3">
      <c r="C29" s="238" t="s">
        <v>828</v>
      </c>
      <c r="D29" s="283"/>
      <c r="E29" s="239"/>
      <c r="F29" s="281" t="str">
        <f>_xlfn.CONCAT(_xlfn.XLOOKUP("[S05_MSCustomisedTemplatesMRR1][2][SpecificTemplateOrFileFormat]",Submission!$O:$O,Submission!$H:$N,""))</f>
        <v>Member State specific template</v>
      </c>
      <c r="G29" s="347"/>
      <c r="H29" s="397" t="str">
        <f>_xlfn.CONCAT(_xlfn.XLOOKUP("[S05_MSCustomisedTemplatesMRR1][2][HowTemplateSpecific]",Submission!$O:$O,Submission!$H:$N,""))</f>
        <v>See explanation/specifications below the table</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We have used the Commission's template (i.e. not Member State specific)</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We have used the Commission's template (i.e. not Member State specific)</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We have used the Commission's template (i.e. not Member State specific)</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We have used the Commission's template (i.e. not Member State specific)</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We have used the Commission's template (i.e. not Member State specific)</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We have used the Commission's template (i.e. not Member State specific)</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For installations, we have developed a web application where the operator registers and submits monitoring plans and changes to these plans, and registers and submits annual emissions reports. The verification report is uploaded by the operator. The application uses the official Norwegian system for identification, authentication and authorization (http://eid.difi.en/id-porten and https://www.altinn.no/en/). There is no need for any exchange format, since the operator enters the data into our database (named "Forurensning"). The web application is also used by other business sectors. For instance, the operators register and submit annual emissions reports according to E-PRTR. To avoid overwriting, the system is role/status based, i.e. available for filling in information only for one party at a time: for status 1 (prefilling of template) and 3 (processing of application/emissions report), the template is only available for the Competent Authority. For status 2(filling out application/reporting emissions), the template is only available for the operator. The operator has to attach the verification report (i.e. a filled in version of the Commission's template) to the emission report when submitting it for approval through the IT template. Improvement reports (i.e. a filled in version of the Commission's template) are currently not a part of the IT template, and is therefore sent by the operator by e-mail or mail. For aircraft operators, we have not developed Member State specific templates or file formats.</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Yes</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As mentioned under 5.3, we have developed an IT template for monitoring plans and emissions reporting for installations. Although it is not directly comparable with the EU ETS reporting language (i.e. we do not exchange data by using XML), the system complies with the requirements in Art 75; 1a) Since there is no exchange of data by using XML, there is no risk of modification of electronic messages during transmission 1b-c) The operator has to go through a two-step procedure to access the IT template. First, an assigned person for the operator has to log in at Altinn (the Norwegian public reporting portal) by using his personal identification code. Second, he has to choose what organization number he has been assigned to report for, and then he can open the template and fill inn information. This to secure both confidentiality and authenticity of data. 1d) Non-repudiation of data is secured by the status log in our database, in addition the assigned person for the operator receives a confirmation by e-mail when he has sent an application/emissions report through the IT template. 2a) Access control is described in question 5.3. 2b) Availability: Data Is stored in a SQL server 2012 database, together with many other datasets. We control the database. We use a Microsoft reporting tool to retrieve data. 2c) Audit trail: The database stores the official version of the data (monitoring plans and emissions reporting), together with a log file. Former versions of monitoring plans and rejected emissions reports are stored as PDFs in our official archive system.</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22662</v>
      </c>
      <c r="G53" s="392"/>
      <c r="H53" s="393" t="str">
        <f>_xlfn.CONCAT(_xlfn.XLOOKUP("[S05_InstallationFuelConsEmissions][1][FuelAnnualEmissions]",Submission!$O:$O,Submission!$H:$N,""))</f>
        <v>2143862</v>
      </c>
      <c r="I53" s="394"/>
    </row>
    <row r="54" spans="1:9" ht="15.9" customHeight="1" x14ac:dyDescent="0.3">
      <c r="C54" s="238" t="s">
        <v>197</v>
      </c>
      <c r="D54" s="283"/>
      <c r="E54" s="239"/>
      <c r="F54" s="391" t="str">
        <f>_xlfn.CONCAT(_xlfn.XLOOKUP("[S05_InstallationFuelConsEmissions][2][FuelConsumption]",Submission!$O:$O,Submission!$H:$N,""))</f>
        <v/>
      </c>
      <c r="G54" s="392"/>
      <c r="H54" s="393" t="str">
        <f>_xlfn.CONCAT(_xlfn.XLOOKUP("[S05_InstallationFuelConsEmissions][2][FuelAnnualEmissions]",Submission!$O:$O,Submission!$H:$N,""))</f>
        <v/>
      </c>
      <c r="I54" s="394"/>
    </row>
    <row r="55" spans="1:9" ht="15.9" customHeight="1" x14ac:dyDescent="0.3">
      <c r="C55" s="238" t="s">
        <v>199</v>
      </c>
      <c r="D55" s="283"/>
      <c r="E55" s="239"/>
      <c r="F55" s="391" t="str">
        <f>_xlfn.CONCAT(_xlfn.XLOOKUP("[S05_InstallationFuelConsEmissions][3][FuelConsumption]",Submission!$O:$O,Submission!$H:$N,""))</f>
        <v/>
      </c>
      <c r="G55" s="392"/>
      <c r="H55" s="393" t="str">
        <f>_xlfn.CONCAT(_xlfn.XLOOKUP("[S05_InstallationFuelConsEmissions][3][FuelAnnualEmissions]",Submission!$O:$O,Submission!$H:$N,""))</f>
        <v/>
      </c>
      <c r="I55" s="394"/>
    </row>
    <row r="56" spans="1:9" ht="15.9" customHeight="1" x14ac:dyDescent="0.3">
      <c r="C56" s="238" t="s">
        <v>201</v>
      </c>
      <c r="D56" s="283"/>
      <c r="E56" s="239"/>
      <c r="F56" s="391" t="str">
        <f>_xlfn.CONCAT(_xlfn.XLOOKUP("[S05_InstallationFuelConsEmissions][4][FuelConsumption]",Submission!$O:$O,Submission!$H:$N,""))</f>
        <v>10453</v>
      </c>
      <c r="G56" s="392"/>
      <c r="H56" s="393" t="str">
        <f>_xlfn.CONCAT(_xlfn.XLOOKUP("[S05_InstallationFuelConsEmissions][4][FuelAnnualEmissions]",Submission!$O:$O,Submission!$H:$N,""))</f>
        <v>1118481</v>
      </c>
      <c r="I56" s="394"/>
    </row>
    <row r="57" spans="1:9" ht="15.9" customHeight="1" x14ac:dyDescent="0.3">
      <c r="C57" s="238" t="s">
        <v>846</v>
      </c>
      <c r="D57" s="283"/>
      <c r="E57" s="239"/>
      <c r="F57" s="391" t="str">
        <f>_xlfn.CONCAT(_xlfn.XLOOKUP("[S05_InstallationFuelConsEmissions][5][FuelConsumption]",Submission!$O:$O,Submission!$H:$N,""))</f>
        <v>12381</v>
      </c>
      <c r="G57" s="392"/>
      <c r="H57" s="393" t="str">
        <f>_xlfn.CONCAT(_xlfn.XLOOKUP("[S05_InstallationFuelConsEmissions][5][FuelAnnualEmissions]",Submission!$O:$O,Submission!$H:$N,""))</f>
        <v>694573</v>
      </c>
      <c r="I57" s="394"/>
    </row>
    <row r="58" spans="1:9" ht="15.9" customHeight="1" x14ac:dyDescent="0.3">
      <c r="C58" s="238" t="s">
        <v>847</v>
      </c>
      <c r="D58" s="283"/>
      <c r="E58" s="239"/>
      <c r="F58" s="391" t="str">
        <f>_xlfn.CONCAT(_xlfn.XLOOKUP("[S05_InstallationFuelConsEmissions][6][FuelConsumption]",Submission!$O:$O,Submission!$H:$N,""))</f>
        <v/>
      </c>
      <c r="G58" s="392"/>
      <c r="H58" s="393" t="str">
        <f>_xlfn.CONCAT(_xlfn.XLOOKUP("[S05_InstallationFuelConsEmissions][6][FuelAnnualEmissions]",Submission!$O:$O,Submission!$H:$N,""))</f>
        <v/>
      </c>
      <c r="I58" s="394"/>
    </row>
    <row r="59" spans="1:9" ht="15.9" customHeight="1" x14ac:dyDescent="0.3">
      <c r="C59" s="238" t="s">
        <v>848</v>
      </c>
      <c r="D59" s="283"/>
      <c r="E59" s="239"/>
      <c r="F59" s="391" t="str">
        <f>_xlfn.CONCAT(_xlfn.XLOOKUP("[S05_InstallationFuelConsEmissions][7][FuelConsumption]",Submission!$O:$O,Submission!$H:$N,""))</f>
        <v/>
      </c>
      <c r="G59" s="392"/>
      <c r="H59" s="393" t="str">
        <f>_xlfn.CONCAT(_xlfn.XLOOKUP("[S05_InstallationFuelConsEmissions][7][FuelAnnualEmissions]",Submission!$O:$O,Submission!$H:$N,""))</f>
        <v/>
      </c>
      <c r="I59" s="394"/>
    </row>
    <row r="60" spans="1:9" ht="15.9" customHeight="1" x14ac:dyDescent="0.3">
      <c r="C60" s="238" t="s">
        <v>207</v>
      </c>
      <c r="D60" s="283"/>
      <c r="E60" s="239"/>
      <c r="F60" s="391" t="str">
        <f>_xlfn.CONCAT(_xlfn.XLOOKUP("[S05_InstallationFuelConsEmissions][8][FuelConsumption]",Submission!$O:$O,Submission!$H:$N,""))</f>
        <v>223092</v>
      </c>
      <c r="G60" s="392"/>
      <c r="H60" s="393" t="str">
        <f>_xlfn.CONCAT(_xlfn.XLOOKUP("[S05_InstallationFuelConsEmissions][8][FuelAnnualEmissions]",Submission!$O:$O,Submission!$H:$N,""))</f>
        <v>12850088</v>
      </c>
      <c r="I60" s="394"/>
    </row>
    <row r="61" spans="1:9" ht="15.9" customHeight="1" x14ac:dyDescent="0.3">
      <c r="C61" s="238" t="s">
        <v>849</v>
      </c>
      <c r="D61" s="283"/>
      <c r="E61" s="239"/>
      <c r="F61" s="391" t="str">
        <f>_xlfn.CONCAT(_xlfn.XLOOKUP("[S05_InstallationFuelConsEmissions][9][FuelConsumption]",Submission!$O:$O,Submission!$H:$N,""))</f>
        <v>1164</v>
      </c>
      <c r="G61" s="392"/>
      <c r="H61" s="393" t="str">
        <f>_xlfn.CONCAT(_xlfn.XLOOKUP("[S05_InstallationFuelConsEmissions][9][FuelAnnualEmissions]",Submission!$O:$O,Submission!$H:$N,""))</f>
        <v>91960</v>
      </c>
      <c r="I61" s="394"/>
    </row>
    <row r="62" spans="1:9" ht="15.9" customHeight="1" x14ac:dyDescent="0.3">
      <c r="C62" s="238" t="s">
        <v>211</v>
      </c>
      <c r="D62" s="283"/>
      <c r="E62" s="239"/>
      <c r="F62" s="391" t="str">
        <f>_xlfn.CONCAT(_xlfn.XLOOKUP("[S05_InstallationFuelConsEmissions][10][FuelConsumption]",Submission!$O:$O,Submission!$H:$N,""))</f>
        <v>1965</v>
      </c>
      <c r="G62" s="392"/>
      <c r="H62" s="393" t="str">
        <f>_xlfn.CONCAT(_xlfn.XLOOKUP("[S05_InstallationFuelConsEmissions][10][FuelAnnualEmissions]",Submission!$O:$O,Submission!$H:$N,""))</f>
        <v>124102</v>
      </c>
      <c r="I62" s="394"/>
    </row>
    <row r="63" spans="1:9" ht="15.9" customHeight="1" x14ac:dyDescent="0.3">
      <c r="C63" s="238" t="s">
        <v>212</v>
      </c>
      <c r="D63" s="283"/>
      <c r="E63" s="239"/>
      <c r="F63" s="391" t="str">
        <f>_xlfn.CONCAT(_xlfn.XLOOKUP("[S05_InstallationFuelConsEmissions][11][FuelConsumption]",Submission!$O:$O,Submission!$H:$N,""))</f>
        <v>9294</v>
      </c>
      <c r="G63" s="392"/>
      <c r="H63" s="393" t="str">
        <f>_xlfn.CONCAT(_xlfn.XLOOKUP("[S05_InstallationFuelConsEmissions][11][FuelAnnualEmissions]",Submission!$O:$O,Submission!$H:$N,""))</f>
        <v>906147</v>
      </c>
      <c r="I63" s="394"/>
    </row>
    <row r="64" spans="1:9" ht="15.9" customHeight="1" x14ac:dyDescent="0.3">
      <c r="C64" s="238" t="s">
        <v>850</v>
      </c>
      <c r="D64" s="283"/>
      <c r="E64" s="239"/>
      <c r="F64" s="391" t="str">
        <f>_xlfn.CONCAT(_xlfn.XLOOKUP("[S05_InstallationFuelConsEmissions][12][FuelConsumption]",Submission!$O:$O,Submission!$H:$N,""))</f>
        <v>15760</v>
      </c>
      <c r="G64" s="392"/>
      <c r="H64" s="393" t="str">
        <f>_xlfn.CONCAT(_xlfn.XLOOKUP("[S05_InstallationFuelConsEmissions][12][FuelAnnualEmissions]",Submission!$O:$O,Submission!$H:$N,""))</f>
        <v>1155229</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1A1a - Energy - Public Electricity and Heat Production</v>
      </c>
      <c r="D69" s="388"/>
      <c r="E69" s="387" t="str">
        <f>_xlfn.CONCAT(_xlfn.XLOOKUP("[S05_AggregateTotalEmissionsByCRF][1][CRFCategory2]",Submission!$O:$O,Submission!$H:$N,""))</f>
        <v/>
      </c>
      <c r="F69" s="388"/>
      <c r="G69" s="126" t="str">
        <f>_xlfn.CONCAT(_xlfn.XLOOKUP("[S05_AggregateTotalEmissionsByCRF][1][TotalEmissionsTCo2e]",Submission!$O:$O,Submission!$H:$N,""))</f>
        <v>185269</v>
      </c>
      <c r="H69" s="126" t="str">
        <f>_xlfn.CONCAT(_xlfn.XLOOKUP("[S05_AggregateTotalEmissionsByCRF][1][TotalCombustionEmissionsTCo2e]",Submission!$O:$O,Submission!$H:$N,""))</f>
        <v>185269</v>
      </c>
      <c r="I69" s="126" t="str">
        <f>_xlfn.CONCAT(_xlfn.XLOOKUP("[S05_AggregateTotalEmissionsByCRF][1][TotalProcessEmissionsTCo2e]",Submission!$O:$O,Submission!$H:$N,""))</f>
        <v/>
      </c>
    </row>
    <row r="70" spans="1:14" ht="16.2" customHeight="1" x14ac:dyDescent="0.3">
      <c r="C70" s="387" t="str">
        <f>_xlfn.CONCAT(_xlfn.XLOOKUP("[S05_AggregateTotalEmissionsByCRF][2][CRFCategory1]",Submission!$O:$O,Submission!$H:$N,""))</f>
        <v>1A1b - Energy - Petroleum Refining</v>
      </c>
      <c r="D70" s="388"/>
      <c r="E70" s="389" t="str">
        <f>_xlfn.CONCAT(_xlfn.XLOOKUP("[S05_AggregateTotalEmissionsByCRF][2][CRFCategory2]",Submission!$O:$O,Submission!$H:$N,""))</f>
        <v/>
      </c>
      <c r="F70" s="390"/>
      <c r="G70" s="126" t="str">
        <f>_xlfn.CONCAT(_xlfn.XLOOKUP("[S05_AggregateTotalEmissionsByCRF][2][TotalEmissionsTCo2e]",Submission!$O:$O,Submission!$H:$N,""))</f>
        <v>2164716</v>
      </c>
      <c r="H70" s="126" t="str">
        <f>_xlfn.CONCAT(_xlfn.XLOOKUP("[S05_AggregateTotalEmissionsByCRF][2][TotalCombustionEmissionsTCo2e]",Submission!$O:$O,Submission!$H:$N,""))</f>
        <v>2164716</v>
      </c>
      <c r="I70" s="126" t="str">
        <f>_xlfn.CONCAT(_xlfn.XLOOKUP("[S05_AggregateTotalEmissionsByCRF][2][TotalProcessEmissionsTCo2e]",Submission!$O:$O,Submission!$H:$N,""))</f>
        <v/>
      </c>
    </row>
    <row r="71" spans="1:14" ht="16.2" customHeight="1" x14ac:dyDescent="0.3">
      <c r="C71" s="387" t="str">
        <f>_xlfn.CONCAT(_xlfn.XLOOKUP("[S05_AggregateTotalEmissionsByCRF][3][CRFCategory1]",Submission!$O:$O,Submission!$H:$N,""))</f>
        <v>1A1c - Energy - Manufacture of Solid Fuels and Other Energy Industries</v>
      </c>
      <c r="D71" s="388"/>
      <c r="E71" s="389" t="str">
        <f>_xlfn.CONCAT(_xlfn.XLOOKUP("[S05_AggregateTotalEmissionsByCRF][3][CRFCategory2]",Submission!$O:$O,Submission!$H:$N,""))</f>
        <v/>
      </c>
      <c r="F71" s="390"/>
      <c r="G71" s="126" t="str">
        <f>_xlfn.CONCAT(_xlfn.XLOOKUP("[S05_AggregateTotalEmissionsByCRF][3][TotalEmissionsTCo2e]",Submission!$O:$O,Submission!$H:$N,""))</f>
        <v>11310642</v>
      </c>
      <c r="H71" s="126" t="str">
        <f>_xlfn.CONCAT(_xlfn.XLOOKUP("[S05_AggregateTotalEmissionsByCRF][3][TotalCombustionEmissionsTCo2e]",Submission!$O:$O,Submission!$H:$N,""))</f>
        <v>11310642</v>
      </c>
      <c r="I71" s="126" t="str">
        <f>_xlfn.CONCAT(_xlfn.XLOOKUP("[S05_AggregateTotalEmissionsByCRF][3][TotalProcessEmissionsTCo2e]",Submission!$O:$O,Submission!$H:$N,""))</f>
        <v/>
      </c>
    </row>
    <row r="72" spans="1:14" ht="16.2" customHeight="1" x14ac:dyDescent="0.3">
      <c r="C72" s="387" t="str">
        <f>_xlfn.CONCAT(_xlfn.XLOOKUP("[S05_AggregateTotalEmissionsByCRF][4][CRFCategory1]",Submission!$O:$O,Submission!$H:$N,""))</f>
        <v>1A2a - Energy - Iron and Steel</v>
      </c>
      <c r="D72" s="388"/>
      <c r="E72" s="389" t="str">
        <f>_xlfn.CONCAT(_xlfn.XLOOKUP("[S05_AggregateTotalEmissionsByCRF][4][CRFCategory2]",Submission!$O:$O,Submission!$H:$N,""))</f>
        <v>2C1 - Process - Iron and Steel Production</v>
      </c>
      <c r="F72" s="390"/>
      <c r="G72" s="126" t="str">
        <f>_xlfn.CONCAT(_xlfn.XLOOKUP("[S05_AggregateTotalEmissionsByCRF][4][TotalEmissionsTCo2e]",Submission!$O:$O,Submission!$H:$N,""))</f>
        <v>87094</v>
      </c>
      <c r="H72" s="126" t="str">
        <f>_xlfn.CONCAT(_xlfn.XLOOKUP("[S05_AggregateTotalEmissionsByCRF][4][TotalCombustionEmissionsTCo2e]",Submission!$O:$O,Submission!$H:$N,""))</f>
        <v>54500</v>
      </c>
      <c r="I72" s="126" t="str">
        <f>_xlfn.CONCAT(_xlfn.XLOOKUP("[S05_AggregateTotalEmissionsByCRF][4][TotalProcessEmissionsTCo2e]",Submission!$O:$O,Submission!$H:$N,""))</f>
        <v>32594</v>
      </c>
    </row>
    <row r="73" spans="1:14" ht="16.2" customHeight="1" x14ac:dyDescent="0.3">
      <c r="C73" s="387" t="str">
        <f>_xlfn.CONCAT(_xlfn.XLOOKUP("[S05_AggregateTotalEmissionsByCRF][5][CRFCategory1]",Submission!$O:$O,Submission!$H:$N,""))</f>
        <v>1A2b - Energy - Non-Ferrous Metals</v>
      </c>
      <c r="D73" s="388"/>
      <c r="E73" s="389" t="str">
        <f>_xlfn.CONCAT(_xlfn.XLOOKUP("[S05_AggregateTotalEmissionsByCRF][5][CRFCategory2]",Submission!$O:$O,Submission!$H:$N,""))</f>
        <v/>
      </c>
      <c r="F73" s="390"/>
      <c r="G73" s="126" t="str">
        <f>_xlfn.CONCAT(_xlfn.XLOOKUP("[S05_AggregateTotalEmissionsByCRF][5][TotalEmissionsTCo2e]",Submission!$O:$O,Submission!$H:$N,""))</f>
        <v>4857167</v>
      </c>
      <c r="H73" s="126" t="str">
        <f>_xlfn.CONCAT(_xlfn.XLOOKUP("[S05_AggregateTotalEmissionsByCRF][5][TotalCombustionEmissionsTCo2e]",Submission!$O:$O,Submission!$H:$N,""))</f>
        <v>160772</v>
      </c>
      <c r="I73" s="126" t="str">
        <f>_xlfn.CONCAT(_xlfn.XLOOKUP("[S05_AggregateTotalEmissionsByCRF][5][TotalProcessEmissionsTCo2e]",Submission!$O:$O,Submission!$H:$N,""))</f>
        <v>4696395</v>
      </c>
    </row>
    <row r="74" spans="1:14" ht="16.2" customHeight="1" x14ac:dyDescent="0.3">
      <c r="C74" s="387" t="str">
        <f>_xlfn.CONCAT(_xlfn.XLOOKUP("[S05_AggregateTotalEmissionsByCRF][6][CRFCategory1]",Submission!$O:$O,Submission!$H:$N,""))</f>
        <v>1A2c - Energy - Chemicals</v>
      </c>
      <c r="D74" s="388"/>
      <c r="E74" s="389" t="str">
        <f>_xlfn.CONCAT(_xlfn.XLOOKUP("[S05_AggregateTotalEmissionsByCRF][6][CRFCategory2]",Submission!$O:$O,Submission!$H:$N,""))</f>
        <v/>
      </c>
      <c r="F74" s="390"/>
      <c r="G74" s="126" t="str">
        <f>_xlfn.CONCAT(_xlfn.XLOOKUP("[S05_AggregateTotalEmissionsByCRF][6][TotalEmissionsTCo2e]",Submission!$O:$O,Submission!$H:$N,""))</f>
        <v>1874026</v>
      </c>
      <c r="H74" s="126" t="str">
        <f>_xlfn.CONCAT(_xlfn.XLOOKUP("[S05_AggregateTotalEmissionsByCRF][6][TotalCombustionEmissionsTCo2e]",Submission!$O:$O,Submission!$H:$N,""))</f>
        <v>116059</v>
      </c>
      <c r="I74" s="126" t="str">
        <f>_xlfn.CONCAT(_xlfn.XLOOKUP("[S05_AggregateTotalEmissionsByCRF][6][TotalProcessEmissionsTCo2e]",Submission!$O:$O,Submission!$H:$N,""))</f>
        <v>1757967</v>
      </c>
    </row>
    <row r="75" spans="1:14" ht="16.2" customHeight="1" x14ac:dyDescent="0.3">
      <c r="C75" s="387" t="str">
        <f>_xlfn.CONCAT(_xlfn.XLOOKUP("[S05_AggregateTotalEmissionsByCRF][7][CRFCategory1]",Submission!$O:$O,Submission!$H:$N,""))</f>
        <v>1A2d - Energy - Pulp, Paper and Print</v>
      </c>
      <c r="D75" s="388"/>
      <c r="E75" s="389" t="str">
        <f>_xlfn.CONCAT(_xlfn.XLOOKUP("[S05_AggregateTotalEmissionsByCRF][7][CRFCategory2]",Submission!$O:$O,Submission!$H:$N,""))</f>
        <v>2H - Process - Other Industrial Process and Product Use</v>
      </c>
      <c r="F75" s="390"/>
      <c r="G75" s="126" t="str">
        <f>_xlfn.CONCAT(_xlfn.XLOOKUP("[S05_AggregateTotalEmissionsByCRF][7][TotalEmissionsTCo2e]",Submission!$O:$O,Submission!$H:$N,""))</f>
        <v>112005</v>
      </c>
      <c r="H75" s="126" t="str">
        <f>_xlfn.CONCAT(_xlfn.XLOOKUP("[S05_AggregateTotalEmissionsByCRF][7][TotalCombustionEmissionsTCo2e]",Submission!$O:$O,Submission!$H:$N,""))</f>
        <v>102841</v>
      </c>
      <c r="I75" s="126" t="str">
        <f>_xlfn.CONCAT(_xlfn.XLOOKUP("[S05_AggregateTotalEmissionsByCRF][7][TotalProcessEmissionsTCo2e]",Submission!$O:$O,Submission!$H:$N,""))</f>
        <v>9163</v>
      </c>
    </row>
    <row r="76" spans="1:14" ht="16.2" customHeight="1" x14ac:dyDescent="0.3">
      <c r="C76" s="387" t="str">
        <f>_xlfn.CONCAT(_xlfn.XLOOKUP("[S05_AggregateTotalEmissionsByCRF][8][CRFCategory1]",Submission!$O:$O,Submission!$H:$N,""))</f>
        <v>1A2e - Energy - Food Processing, Beverages and Tobacco</v>
      </c>
      <c r="D76" s="388"/>
      <c r="E76" s="389" t="str">
        <f>_xlfn.CONCAT(_xlfn.XLOOKUP("[S05_AggregateTotalEmissionsByCRF][8][CRFCategory2]",Submission!$O:$O,Submission!$H:$N,""))</f>
        <v/>
      </c>
      <c r="F76" s="390"/>
      <c r="G76" s="126" t="str">
        <f>_xlfn.CONCAT(_xlfn.XLOOKUP("[S05_AggregateTotalEmissionsByCRF][8][TotalEmissionsTCo2e]",Submission!$O:$O,Submission!$H:$N,""))</f>
        <v>72917</v>
      </c>
      <c r="H76" s="126" t="str">
        <f>_xlfn.CONCAT(_xlfn.XLOOKUP("[S05_AggregateTotalEmissionsByCRF][8][TotalCombustionEmissionsTCo2e]",Submission!$O:$O,Submission!$H:$N,""))</f>
        <v>72917</v>
      </c>
      <c r="I76" s="126" t="str">
        <f>_xlfn.CONCAT(_xlfn.XLOOKUP("[S05_AggregateTotalEmissionsByCRF][8][TotalProcessEmissionsTCo2e]",Submission!$O:$O,Submission!$H:$N,""))</f>
        <v/>
      </c>
    </row>
    <row r="77" spans="1:14" ht="16.2" customHeight="1" x14ac:dyDescent="0.3">
      <c r="C77" s="387" t="str">
        <f>_xlfn.CONCAT(_xlfn.XLOOKUP("[S05_AggregateTotalEmissionsByCRF][9][CRFCategory1]",Submission!$O:$O,Submission!$H:$N,""))</f>
        <v>1A2f - Energy - Non-metallic minerals</v>
      </c>
      <c r="D77" s="388"/>
      <c r="E77" s="389" t="str">
        <f>_xlfn.CONCAT(_xlfn.XLOOKUP("[S05_AggregateTotalEmissionsByCRF][9][CRFCategory2]",Submission!$O:$O,Submission!$H:$N,""))</f>
        <v/>
      </c>
      <c r="F77" s="390"/>
      <c r="G77" s="126" t="str">
        <f>_xlfn.CONCAT(_xlfn.XLOOKUP("[S05_AggregateTotalEmissionsByCRF][9][TotalEmissionsTCo2e]",Submission!$O:$O,Submission!$H:$N,""))</f>
        <v>1519215</v>
      </c>
      <c r="H77" s="126" t="str">
        <f>_xlfn.CONCAT(_xlfn.XLOOKUP("[S05_AggregateTotalEmissionsByCRF][9][TotalCombustionEmissionsTCo2e]",Submission!$O:$O,Submission!$H:$N,""))</f>
        <v>588209</v>
      </c>
      <c r="I77" s="126" t="str">
        <f>_xlfn.CONCAT(_xlfn.XLOOKUP("[S05_AggregateTotalEmissionsByCRF][9][TotalProcessEmissionsTCo2e]",Submission!$O:$O,Submission!$H:$N,""))</f>
        <v>931006</v>
      </c>
    </row>
    <row r="78" spans="1:14" ht="16.2" customHeight="1" x14ac:dyDescent="0.3">
      <c r="C78" s="387" t="str">
        <f>_xlfn.CONCAT(_xlfn.XLOOKUP("[S05_AggregateTotalEmissionsByCRF][10][CRFCategory1]",Submission!$O:$O,Submission!$H:$N,""))</f>
        <v>1A2g - Energy - Other Manufacturing Industries and Construction</v>
      </c>
      <c r="D78" s="388"/>
      <c r="E78" s="389" t="str">
        <f>_xlfn.CONCAT(_xlfn.XLOOKUP("[S05_AggregateTotalEmissionsByCRF][10][CRFCategory2]",Submission!$O:$O,Submission!$H:$N,""))</f>
        <v/>
      </c>
      <c r="F78" s="390"/>
      <c r="G78" s="126" t="str">
        <f>_xlfn.CONCAT(_xlfn.XLOOKUP("[S05_AggregateTotalEmissionsByCRF][10][TotalEmissionsTCo2e]",Submission!$O:$O,Submission!$H:$N,""))</f>
        <v>4363</v>
      </c>
      <c r="H78" s="126" t="str">
        <f>_xlfn.CONCAT(_xlfn.XLOOKUP("[S05_AggregateTotalEmissionsByCRF][10][TotalCombustionEmissionsTCo2e]",Submission!$O:$O,Submission!$H:$N,""))</f>
        <v>4363</v>
      </c>
      <c r="I78" s="126" t="str">
        <f>_xlfn.CONCAT(_xlfn.XLOOKUP("[S05_AggregateTotalEmissionsByCRF][10][TotalProcessEmissionsTCo2e]",Submission!$O:$O,Submission!$H:$N,""))</f>
        <v/>
      </c>
    </row>
    <row r="79" spans="1:14" ht="16.2" customHeight="1" x14ac:dyDescent="0.3">
      <c r="C79" s="387" t="str">
        <f>_xlfn.CONCAT(_xlfn.XLOOKUP("[S05_AggregateTotalEmissionsByCRF][11][CRFCategory1]",Submission!$O:$O,Submission!$H:$N,""))</f>
        <v>1C2 - Energy - Injection and storage</v>
      </c>
      <c r="D79" s="388"/>
      <c r="E79" s="389" t="str">
        <f>_xlfn.CONCAT(_xlfn.XLOOKUP("[S05_AggregateTotalEmissionsByCRF][11][CRFCategory2]",Submission!$O:$O,Submission!$H:$N,""))</f>
        <v/>
      </c>
      <c r="F79" s="390"/>
      <c r="G79" s="126" t="str">
        <f>_xlfn.CONCAT(_xlfn.XLOOKUP("[S05_AggregateTotalEmissionsByCRF][11][TotalEmissionsTCo2e]",Submission!$O:$O,Submission!$H:$N,""))</f>
        <v>3074</v>
      </c>
      <c r="H79" s="126" t="str">
        <f>_xlfn.CONCAT(_xlfn.XLOOKUP("[S05_AggregateTotalEmissionsByCRF][11][TotalCombustionEmissionsTCo2e]",Submission!$O:$O,Submission!$H:$N,""))</f>
        <v>3074</v>
      </c>
      <c r="I79" s="126" t="str">
        <f>_xlfn.CONCAT(_xlfn.XLOOKUP("[S05_AggregateTotalEmissionsByCRF][11][TotalProcessEmissionsTCo2e]",Submission!$O:$O,Submission!$H:$N,""))</f>
        <v/>
      </c>
    </row>
    <row r="80" spans="1:14" ht="16.2" customHeight="1" x14ac:dyDescent="0.3">
      <c r="C80" s="387" t="str">
        <f>_xlfn.CONCAT(_xlfn.XLOOKUP("[S05_AggregateTotalEmissionsByCRF][12][CRFCategory1]",Submission!$O:$O,Submission!$H:$N,""))</f>
        <v/>
      </c>
      <c r="D80" s="388"/>
      <c r="E80" s="389" t="str">
        <f>_xlfn.CONCAT(_xlfn.XLOOKUP("[S05_AggregateTotalEmissionsByCRF][12][CRFCategory2]",Submission!$O:$O,Submission!$H:$N,""))</f>
        <v/>
      </c>
      <c r="F80" s="390"/>
      <c r="G80" s="126" t="str">
        <f>_xlfn.CONCAT(_xlfn.XLOOKUP("[S05_AggregateTotalEmissionsByCRF][12][TotalEmissionsTCo2e]",Submission!$O:$O,Submission!$H:$N,""))</f>
        <v/>
      </c>
      <c r="H80" s="126" t="str">
        <f>_xlfn.CONCAT(_xlfn.XLOOKUP("[S05_AggregateTotalEmissionsByCRF][12][TotalCombustionEmissionsTCo2e]",Submission!$O:$O,Submission!$H:$N,""))</f>
        <v/>
      </c>
      <c r="I80" s="126" t="str">
        <f>_xlfn.CONCAT(_xlfn.XLOOKUP("[S05_AggregateTotalEmissionsByCRF][12][TotalProcessEmissionsTCo2e]",Submission!$O:$O,Submission!$H:$N,""))</f>
        <v/>
      </c>
    </row>
    <row r="81" spans="3:9" ht="16.2" customHeight="1" x14ac:dyDescent="0.3">
      <c r="C81" s="387" t="str">
        <f>_xlfn.CONCAT(_xlfn.XLOOKUP("[S05_AggregateTotalEmissionsByCRF][13][CRFCategory1]",Submission!$O:$O,Submission!$H:$N,""))</f>
        <v/>
      </c>
      <c r="D81" s="388"/>
      <c r="E81" s="389" t="str">
        <f>_xlfn.CONCAT(_xlfn.XLOOKUP("[S05_AggregateTotalEmissionsByCRF][13][CRFCategory2]",Submission!$O:$O,Submission!$H:$N,""))</f>
        <v/>
      </c>
      <c r="F81" s="390"/>
      <c r="G81" s="126" t="str">
        <f>_xlfn.CONCAT(_xlfn.XLOOKUP("[S05_AggregateTotalEmissionsByCRF][13][TotalEmissionsTCo2e]",Submission!$O:$O,Submission!$H:$N,""))</f>
        <v/>
      </c>
      <c r="H81" s="126" t="str">
        <f>_xlfn.CONCAT(_xlfn.XLOOKUP("[S05_AggregateTotalEmissionsByCRF][13][TotalCombustionEmissionsTCo2e]",Submission!$O:$O,Submission!$H:$N,""))</f>
        <v/>
      </c>
      <c r="I81" s="126" t="str">
        <f>_xlfn.CONCAT(_xlfn.XLOOKUP("[S05_AggregateTotalEmissionsByCRF][13][TotalProcessEmissionsTCo2e]",Submission!$O:$O,Submission!$H:$N,""))</f>
        <v/>
      </c>
    </row>
    <row r="82" spans="3:9" ht="16.2" customHeight="1" x14ac:dyDescent="0.3">
      <c r="C82" s="387" t="str">
        <f>_xlfn.CONCAT(_xlfn.XLOOKUP("[S05_AggregateTotalEmissionsByCRF][14][CRFCategory1]",Submission!$O:$O,Submission!$H:$N,""))</f>
        <v/>
      </c>
      <c r="D82" s="388"/>
      <c r="E82" s="389" t="str">
        <f>_xlfn.CONCAT(_xlfn.XLOOKUP("[S05_AggregateTotalEmissionsByCRF][14][CRFCategory2]",Submission!$O:$O,Submission!$H:$N,""))</f>
        <v/>
      </c>
      <c r="F82" s="390"/>
      <c r="G82" s="126" t="str">
        <f>_xlfn.CONCAT(_xlfn.XLOOKUP("[S05_AggregateTotalEmissionsByCRF][14][TotalEmissionsTCo2e]",Submission!$O:$O,Submission!$H:$N,""))</f>
        <v/>
      </c>
      <c r="H82" s="126" t="str">
        <f>_xlfn.CONCAT(_xlfn.XLOOKUP("[S05_AggregateTotalEmissionsByCRF][14][TotalCombustionEmissionsTCo2e]",Submission!$O:$O,Submission!$H:$N,""))</f>
        <v/>
      </c>
      <c r="I82" s="126" t="str">
        <f>_xlfn.CONCAT(_xlfn.XLOOKUP("[S05_AggregateTotalEmissionsByCRF][14][TotalProcessEmissionsTCo2e]",Submission!$O:$O,Submission!$H:$N,""))</f>
        <v/>
      </c>
    </row>
    <row r="83" spans="3:9" ht="16.2" customHeight="1" x14ac:dyDescent="0.3">
      <c r="C83" s="387" t="str">
        <f>_xlfn.CONCAT(_xlfn.XLOOKUP("[S05_AggregateTotalEmissionsByCRF][15][CRFCategory1]",Submission!$O:$O,Submission!$H:$N,""))</f>
        <v/>
      </c>
      <c r="D83" s="388"/>
      <c r="E83" s="389" t="str">
        <f>_xlfn.CONCAT(_xlfn.XLOOKUP("[S05_AggregateTotalEmissionsByCRF][15][CRFCategory2]",Submission!$O:$O,Submission!$H:$N,""))</f>
        <v/>
      </c>
      <c r="F83" s="390"/>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87" t="str">
        <f>_xlfn.CONCAT(_xlfn.XLOOKUP("[S05_AggregateTotalEmissionsByCRF][16][CRFCategory1]",Submission!$O:$O,Submission!$H:$N,""))</f>
        <v/>
      </c>
      <c r="D84" s="388"/>
      <c r="E84" s="389" t="str">
        <f>_xlfn.CONCAT(_xlfn.XLOOKUP("[S05_AggregateTotalEmissionsByCRF][16][CRFCategory2]",Submission!$O:$O,Submission!$H:$N,""))</f>
        <v/>
      </c>
      <c r="F84" s="390"/>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87" t="str">
        <f>_xlfn.CONCAT(_xlfn.XLOOKUP("[S05_AggregateTotalEmissionsByCRF][17][CRFCategory1]",Submission!$O:$O,Submission!$H:$N,""))</f>
        <v/>
      </c>
      <c r="D85" s="388"/>
      <c r="E85" s="389" t="str">
        <f>_xlfn.CONCAT(_xlfn.XLOOKUP("[S05_AggregateTotalEmissionsByCRF][17][CRFCategory2]",Submission!$O:$O,Submission!$H:$N,""))</f>
        <v/>
      </c>
      <c r="F85" s="390"/>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87" t="str">
        <f>_xlfn.CONCAT(_xlfn.XLOOKUP("[S05_AggregateTotalEmissionsByCRF][18][CRFCategory1]",Submission!$O:$O,Submission!$H:$N,""))</f>
        <v/>
      </c>
      <c r="D86" s="388"/>
      <c r="E86" s="389" t="str">
        <f>_xlfn.CONCAT(_xlfn.XLOOKUP("[S05_AggregateTotalEmissionsByCRF][18][CRFCategory2]",Submission!$O:$O,Submission!$H:$N,""))</f>
        <v/>
      </c>
      <c r="F86" s="390"/>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
      </c>
      <c r="F87" s="390"/>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c>
      <c r="F88" s="390"/>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
      </c>
      <c r="F89" s="390"/>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
      </c>
      <c r="F90" s="390"/>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
      </c>
      <c r="F91" s="390"/>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
      </c>
      <c r="F92" s="390"/>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
      </c>
      <c r="F93" s="390"/>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Category A installation</v>
      </c>
      <c r="D203" s="350"/>
      <c r="E203" s="350"/>
      <c r="F203" s="350"/>
      <c r="G203" s="347"/>
      <c r="H203" s="123" t="str">
        <f>_xlfn.CONCAT(_xlfn.XLOOKUP("[S05_DefaultValues][1][FuelMaterialType]",Submission!$O:$O,Submission!$H:$N,""))</f>
        <v>Natural gas (from LNG)</v>
      </c>
      <c r="I203" s="106" t="str">
        <f>_xlfn.CONCAT(_xlfn.XLOOKUP("[S05_DefaultValues][1][InstallationNumber]",Submission!$O:$O,Submission!$H:$N,""))</f>
        <v>1</v>
      </c>
    </row>
    <row r="204" spans="1:9" ht="15.9" customHeight="1" x14ac:dyDescent="0.3">
      <c r="A204" s="13"/>
      <c r="B204" s="34"/>
      <c r="C204" s="281" t="str">
        <f>_xlfn.CONCAT(_xlfn.XLOOKUP("[S05_DefaultValues][2][InstallationCategory]",Submission!$O:$O,Submission!$H:$N,""))</f>
        <v>Category B installation</v>
      </c>
      <c r="D204" s="350"/>
      <c r="E204" s="350"/>
      <c r="F204" s="350"/>
      <c r="G204" s="347"/>
      <c r="H204" s="123" t="str">
        <f>_xlfn.CONCAT(_xlfn.XLOOKUP("[S05_DefaultValues][2][FuelMaterialType]",Submission!$O:$O,Submission!$H:$N,""))</f>
        <v>Acetylen</v>
      </c>
      <c r="I204" s="106" t="str">
        <f>_xlfn.CONCAT(_xlfn.XLOOKUP("[S05_DefaultValues][2][InstallationNumber]",Submission!$O:$O,Submission!$H:$N,""))</f>
        <v>9</v>
      </c>
    </row>
    <row r="205" spans="1:9" ht="15.9" customHeight="1" x14ac:dyDescent="0.3">
      <c r="A205" s="13"/>
      <c r="B205" s="34"/>
      <c r="C205" s="281" t="str">
        <f>_xlfn.CONCAT(_xlfn.XLOOKUP("[S05_DefaultValues][3][InstallationCategory]",Submission!$O:$O,Submission!$H:$N,""))</f>
        <v>Category B installation</v>
      </c>
      <c r="D205" s="350"/>
      <c r="E205" s="350"/>
      <c r="F205" s="350"/>
      <c r="G205" s="347"/>
      <c r="H205" s="123" t="str">
        <f>_xlfn.CONCAT(_xlfn.XLOOKUP("[S05_DefaultValues][3][FuelMaterialType]",Submission!$O:$O,Submission!$H:$N,""))</f>
        <v>Clay</v>
      </c>
      <c r="I205" s="106" t="str">
        <f>_xlfn.CONCAT(_xlfn.XLOOKUP("[S05_DefaultValues][3][InstallationNumber]",Submission!$O:$O,Submission!$H:$N,""))</f>
        <v>7</v>
      </c>
    </row>
    <row r="206" spans="1:9" ht="15.9" customHeight="1" x14ac:dyDescent="0.3">
      <c r="A206" s="13"/>
      <c r="B206" s="34"/>
      <c r="C206" s="281" t="str">
        <f>_xlfn.CONCAT(_xlfn.XLOOKUP("[S05_DefaultValues][4][InstallationCategory]",Submission!$O:$O,Submission!$H:$N,""))</f>
        <v>Category B installation</v>
      </c>
      <c r="D206" s="350"/>
      <c r="E206" s="350"/>
      <c r="F206" s="350"/>
      <c r="G206" s="347"/>
      <c r="H206" s="123" t="str">
        <f>_xlfn.CONCAT(_xlfn.XLOOKUP("[S05_DefaultValues][4][FuelMaterialType]",Submission!$O:$O,Submission!$H:$N,""))</f>
        <v>Coal</v>
      </c>
      <c r="I206" s="106" t="str">
        <f>_xlfn.CONCAT(_xlfn.XLOOKUP("[S05_DefaultValues][4][InstallationNumber]",Submission!$O:$O,Submission!$H:$N,""))</f>
        <v>1</v>
      </c>
    </row>
    <row r="207" spans="1:9" ht="15.9" customHeight="1" x14ac:dyDescent="0.3">
      <c r="A207" s="13"/>
      <c r="B207" s="34"/>
      <c r="C207" s="281" t="str">
        <f>_xlfn.CONCAT(_xlfn.XLOOKUP("[S05_DefaultValues][5][InstallationCategory]",Submission!$O:$O,Submission!$H:$N,""))</f>
        <v>Category B installation</v>
      </c>
      <c r="D207" s="350"/>
      <c r="E207" s="350"/>
      <c r="F207" s="350"/>
      <c r="G207" s="347"/>
      <c r="H207" s="123" t="str">
        <f>_xlfn.CONCAT(_xlfn.XLOOKUP("[S05_DefaultValues][5][FuelMaterialType]",Submission!$O:$O,Submission!$H:$N,""))</f>
        <v>Coke</v>
      </c>
      <c r="I207" s="106" t="str">
        <f>_xlfn.CONCAT(_xlfn.XLOOKUP("[S05_DefaultValues][5][InstallationNumber]",Submission!$O:$O,Submission!$H:$N,""))</f>
        <v>1</v>
      </c>
    </row>
    <row r="208" spans="1:9" ht="15.9" customHeight="1" x14ac:dyDescent="0.3">
      <c r="A208" s="13"/>
      <c r="B208" s="34"/>
      <c r="C208" s="281" t="str">
        <f>_xlfn.CONCAT(_xlfn.XLOOKUP("[S05_DefaultValues][6][InstallationCategory]",Submission!$O:$O,Submission!$H:$N,""))</f>
        <v>Category B installation</v>
      </c>
      <c r="D208" s="350"/>
      <c r="E208" s="350"/>
      <c r="F208" s="350"/>
      <c r="G208" s="347"/>
      <c r="H208" s="123" t="str">
        <f>_xlfn.CONCAT(_xlfn.XLOOKUP("[S05_DefaultValues][6][FuelMaterialType]",Submission!$O:$O,Submission!$H:$N,""))</f>
        <v>Cover gas</v>
      </c>
      <c r="I208" s="106" t="str">
        <f>_xlfn.CONCAT(_xlfn.XLOOKUP("[S05_DefaultValues][6][InstallationNumber]",Submission!$O:$O,Submission!$H:$N,""))</f>
        <v>1</v>
      </c>
    </row>
    <row r="209" spans="1:9" ht="15.9" customHeight="1" x14ac:dyDescent="0.3">
      <c r="A209" s="13"/>
      <c r="B209" s="34"/>
      <c r="C209" s="281" t="str">
        <f>_xlfn.CONCAT(_xlfn.XLOOKUP("[S05_DefaultValues][7][InstallationCategory]",Submission!$O:$O,Submission!$H:$N,""))</f>
        <v>Category B installation</v>
      </c>
      <c r="D209" s="350"/>
      <c r="E209" s="350"/>
      <c r="F209" s="350"/>
      <c r="G209" s="347"/>
      <c r="H209" s="123" t="str">
        <f>_xlfn.CONCAT(_xlfn.XLOOKUP("[S05_DefaultValues][7][FuelMaterialType]",Submission!$O:$O,Submission!$H:$N,""))</f>
        <v>Diesel</v>
      </c>
      <c r="I209" s="106" t="str">
        <f>_xlfn.CONCAT(_xlfn.XLOOKUP("[S05_DefaultValues][7][InstallationNumber]",Submission!$O:$O,Submission!$H:$N,""))</f>
        <v>40</v>
      </c>
    </row>
    <row r="210" spans="1:9" ht="15.9" customHeight="1" x14ac:dyDescent="0.3">
      <c r="A210" s="13"/>
      <c r="B210" s="34"/>
      <c r="C210" s="281" t="str">
        <f>_xlfn.CONCAT(_xlfn.XLOOKUP("[S05_DefaultValues][8][InstallationCategory]",Submission!$O:$O,Submission!$H:$N,""))</f>
        <v>Category B installation</v>
      </c>
      <c r="D210" s="350"/>
      <c r="E210" s="350"/>
      <c r="F210" s="350"/>
      <c r="G210" s="347"/>
      <c r="H210" s="123" t="str">
        <f>_xlfn.CONCAT(_xlfn.XLOOKUP("[S05_DefaultValues][8][FuelMaterialType]",Submission!$O:$O,Submission!$H:$N,""))</f>
        <v>Electrode mass</v>
      </c>
      <c r="I210" s="106" t="str">
        <f>_xlfn.CONCAT(_xlfn.XLOOKUP("[S05_DefaultValues][8][InstallationNumber]",Submission!$O:$O,Submission!$H:$N,""))</f>
        <v>2</v>
      </c>
    </row>
    <row r="211" spans="1:9" ht="15.9" customHeight="1" x14ac:dyDescent="0.3">
      <c r="A211" s="13"/>
      <c r="B211" s="34"/>
      <c r="C211" s="281" t="str">
        <f>_xlfn.CONCAT(_xlfn.XLOOKUP("[S05_DefaultValues][9][InstallationCategory]",Submission!$O:$O,Submission!$H:$N,""))</f>
        <v>Category B installation</v>
      </c>
      <c r="D211" s="350"/>
      <c r="E211" s="350"/>
      <c r="F211" s="350"/>
      <c r="G211" s="347"/>
      <c r="H211" s="123" t="str">
        <f>_xlfn.CONCAT(_xlfn.XLOOKUP("[S05_DefaultValues][9][FuelMaterialType]",Submission!$O:$O,Submission!$H:$N,""))</f>
        <v>Electrodes</v>
      </c>
      <c r="I211" s="106" t="str">
        <f>_xlfn.CONCAT(_xlfn.XLOOKUP("[S05_DefaultValues][9][InstallationNumber]",Submission!$O:$O,Submission!$H:$N,""))</f>
        <v>8</v>
      </c>
    </row>
    <row r="212" spans="1:9" ht="15.9" customHeight="1" x14ac:dyDescent="0.3">
      <c r="A212" s="13"/>
      <c r="B212" s="34"/>
      <c r="C212" s="281" t="str">
        <f>_xlfn.CONCAT(_xlfn.XLOOKUP("[S05_DefaultValues][10][InstallationCategory]",Submission!$O:$O,Submission!$H:$N,""))</f>
        <v>Category B installation</v>
      </c>
      <c r="D212" s="350"/>
      <c r="E212" s="350"/>
      <c r="F212" s="350"/>
      <c r="G212" s="347"/>
      <c r="H212" s="123" t="str">
        <f>_xlfn.CONCAT(_xlfn.XLOOKUP("[S05_DefaultValues][10][FuelMaterialType]",Submission!$O:$O,Submission!$H:$N,""))</f>
        <v>Ethane</v>
      </c>
      <c r="I212" s="106" t="str">
        <f>_xlfn.CONCAT(_xlfn.XLOOKUP("[S05_DefaultValues][10][InstallationNumber]",Submission!$O:$O,Submission!$H:$N,""))</f>
        <v>2</v>
      </c>
    </row>
    <row r="213" spans="1:9" ht="15.9" customHeight="1" x14ac:dyDescent="0.3">
      <c r="A213" s="13"/>
      <c r="B213" s="34"/>
      <c r="C213" s="281" t="str">
        <f>_xlfn.CONCAT(_xlfn.XLOOKUP("[S05_DefaultValues][11][InstallationCategory]",Submission!$O:$O,Submission!$H:$N,""))</f>
        <v>Category B installation</v>
      </c>
      <c r="D213" s="350"/>
      <c r="E213" s="350"/>
      <c r="F213" s="350"/>
      <c r="G213" s="347"/>
      <c r="H213" s="123" t="str">
        <f>_xlfn.CONCAT(_xlfn.XLOOKUP("[S05_DefaultValues][11][FuelMaterialType]",Submission!$O:$O,Submission!$H:$N,""))</f>
        <v>Ferro manganese</v>
      </c>
      <c r="I213" s="106" t="str">
        <f>_xlfn.CONCAT(_xlfn.XLOOKUP("[S05_DefaultValues][11][InstallationNumber]",Submission!$O:$O,Submission!$H:$N,""))</f>
        <v>1</v>
      </c>
    </row>
    <row r="214" spans="1:9" ht="15.9" customHeight="1" x14ac:dyDescent="0.3">
      <c r="A214" s="13"/>
      <c r="B214" s="34"/>
      <c r="C214" s="281" t="str">
        <f>_xlfn.CONCAT(_xlfn.XLOOKUP("[S05_DefaultValues][12][InstallationCategory]",Submission!$O:$O,Submission!$H:$N,""))</f>
        <v>Category B installation</v>
      </c>
      <c r="D214" s="350"/>
      <c r="E214" s="350"/>
      <c r="F214" s="350"/>
      <c r="G214" s="347"/>
      <c r="H214" s="123" t="str">
        <f>_xlfn.CONCAT(_xlfn.XLOOKUP("[S05_DefaultValues][12][FuelMaterialType]",Submission!$O:$O,Submission!$H:$N,""))</f>
        <v>Ferrosilicon</v>
      </c>
      <c r="I214" s="106" t="str">
        <f>_xlfn.CONCAT(_xlfn.XLOOKUP("[S05_DefaultValues][12][InstallationNumber]",Submission!$O:$O,Submission!$H:$N,""))</f>
        <v>3</v>
      </c>
    </row>
    <row r="215" spans="1:9" ht="15.9" customHeight="1" x14ac:dyDescent="0.3">
      <c r="A215" s="13"/>
      <c r="B215" s="34"/>
      <c r="C215" s="281" t="str">
        <f>_xlfn.CONCAT(_xlfn.XLOOKUP("[S05_DefaultValues][13][InstallationCategory]",Submission!$O:$O,Submission!$H:$N,""))</f>
        <v>Category B installation</v>
      </c>
      <c r="D215" s="350"/>
      <c r="E215" s="350"/>
      <c r="F215" s="350"/>
      <c r="G215" s="347"/>
      <c r="H215" s="123" t="str">
        <f>_xlfn.CONCAT(_xlfn.XLOOKUP("[S05_DefaultValues][13][FuelMaterialType]",Submission!$O:$O,Submission!$H:$N,""))</f>
        <v>Flare gas</v>
      </c>
      <c r="I215" s="106" t="str">
        <f>_xlfn.CONCAT(_xlfn.XLOOKUP("[S05_DefaultValues][13][InstallationNumber]",Submission!$O:$O,Submission!$H:$N,""))</f>
        <v>22</v>
      </c>
    </row>
    <row r="216" spans="1:9" ht="15.9" customHeight="1" x14ac:dyDescent="0.3">
      <c r="A216" s="13"/>
      <c r="B216" s="34"/>
      <c r="C216" s="281" t="str">
        <f>_xlfn.CONCAT(_xlfn.XLOOKUP("[S05_DefaultValues][14][InstallationCategory]",Submission!$O:$O,Submission!$H:$N,""))</f>
        <v>Category B installation</v>
      </c>
      <c r="D216" s="350"/>
      <c r="E216" s="350"/>
      <c r="F216" s="350"/>
      <c r="G216" s="347"/>
      <c r="H216" s="123" t="str">
        <f>_xlfn.CONCAT(_xlfn.XLOOKUP("[S05_DefaultValues][14][FuelMaterialType]",Submission!$O:$O,Submission!$H:$N,""))</f>
        <v>Heavy fuel oil</v>
      </c>
      <c r="I216" s="106" t="str">
        <f>_xlfn.CONCAT(_xlfn.XLOOKUP("[S05_DefaultValues][14][InstallationNumber]",Submission!$O:$O,Submission!$H:$N,""))</f>
        <v>4</v>
      </c>
    </row>
    <row r="217" spans="1:9" ht="15.9" customHeight="1" x14ac:dyDescent="0.3">
      <c r="A217" s="13"/>
      <c r="B217" s="34"/>
      <c r="C217" s="281" t="str">
        <f>_xlfn.CONCAT(_xlfn.XLOOKUP("[S05_DefaultValues][15][InstallationCategory]",Submission!$O:$O,Submission!$H:$N,""))</f>
        <v>Category B installation</v>
      </c>
      <c r="D217" s="350"/>
      <c r="E217" s="350"/>
      <c r="F217" s="350"/>
      <c r="G217" s="347"/>
      <c r="H217" s="123" t="str">
        <f>_xlfn.CONCAT(_xlfn.XLOOKUP("[S05_DefaultValues][15][FuelMaterialType]",Submission!$O:$O,Submission!$H:$N,""))</f>
        <v>Iron</v>
      </c>
      <c r="I217" s="106" t="str">
        <f>_xlfn.CONCAT(_xlfn.XLOOKUP("[S05_DefaultValues][15][InstallationNumber]",Submission!$O:$O,Submission!$H:$N,""))</f>
        <v>1</v>
      </c>
    </row>
    <row r="218" spans="1:9" ht="15.9" customHeight="1" x14ac:dyDescent="0.3">
      <c r="A218" s="13"/>
      <c r="B218" s="34"/>
      <c r="C218" s="281" t="str">
        <f>_xlfn.CONCAT(_xlfn.XLOOKUP("[S05_DefaultValues][16][InstallationCategory]",Submission!$O:$O,Submission!$H:$N,""))</f>
        <v>Category B installation</v>
      </c>
      <c r="D218" s="350"/>
      <c r="E218" s="350"/>
      <c r="F218" s="350"/>
      <c r="G218" s="347"/>
      <c r="H218" s="123" t="str">
        <f>_xlfn.CONCAT(_xlfn.XLOOKUP("[S05_DefaultValues][16][FuelMaterialType]",Submission!$O:$O,Submission!$H:$N,""))</f>
        <v>Light fuel oil</v>
      </c>
      <c r="I218" s="106" t="str">
        <f>_xlfn.CONCAT(_xlfn.XLOOKUP("[S05_DefaultValues][16][InstallationNumber]",Submission!$O:$O,Submission!$H:$N,""))</f>
        <v>4</v>
      </c>
    </row>
    <row r="219" spans="1:9" ht="15.9" customHeight="1" x14ac:dyDescent="0.3">
      <c r="A219" s="13"/>
      <c r="B219" s="34"/>
      <c r="C219" s="281" t="str">
        <f>_xlfn.CONCAT(_xlfn.XLOOKUP("[S05_DefaultValues][17][InstallationCategory]",Submission!$O:$O,Submission!$H:$N,""))</f>
        <v>Category B installation</v>
      </c>
      <c r="D219" s="350"/>
      <c r="E219" s="350"/>
      <c r="F219" s="350"/>
      <c r="G219" s="347"/>
      <c r="H219" s="123" t="str">
        <f>_xlfn.CONCAT(_xlfn.XLOOKUP("[S05_DefaultValues][17][FuelMaterialType]",Submission!$O:$O,Submission!$H:$N,""))</f>
        <v>LVN (liquid virgin naphtha)</v>
      </c>
      <c r="I219" s="106" t="str">
        <f>_xlfn.CONCAT(_xlfn.XLOOKUP("[S05_DefaultValues][17][InstallationNumber]",Submission!$O:$O,Submission!$H:$N,""))</f>
        <v>1</v>
      </c>
    </row>
    <row r="220" spans="1:9" ht="15.9" customHeight="1" x14ac:dyDescent="0.3">
      <c r="A220" s="13"/>
      <c r="B220" s="34"/>
      <c r="C220" s="281" t="str">
        <f>_xlfn.CONCAT(_xlfn.XLOOKUP("[S05_DefaultValues][18][InstallationCategory]",Submission!$O:$O,Submission!$H:$N,""))</f>
        <v>Category B installation</v>
      </c>
      <c r="D220" s="350"/>
      <c r="E220" s="350"/>
      <c r="F220" s="350"/>
      <c r="G220" s="347"/>
      <c r="H220" s="123" t="str">
        <f>_xlfn.CONCAT(_xlfn.XLOOKUP("[S05_DefaultValues][18][FuelMaterialType]",Submission!$O:$O,Submission!$H:$N,""))</f>
        <v>Microsilica</v>
      </c>
      <c r="I220" s="106" t="str">
        <f>_xlfn.CONCAT(_xlfn.XLOOKUP("[S05_DefaultValues][18][InstallationNumber]",Submission!$O:$O,Submission!$H:$N,""))</f>
        <v>1</v>
      </c>
    </row>
    <row r="221" spans="1:9" ht="15.9" customHeight="1" x14ac:dyDescent="0.3">
      <c r="A221" s="13"/>
      <c r="B221" s="34"/>
      <c r="C221" s="281" t="str">
        <f>_xlfn.CONCAT(_xlfn.XLOOKUP("[S05_DefaultValues][19][InstallationCategory]",Submission!$O:$O,Submission!$H:$N,""))</f>
        <v>Category B installation</v>
      </c>
      <c r="D221" s="350"/>
      <c r="E221" s="350"/>
      <c r="F221" s="350"/>
      <c r="G221" s="347"/>
      <c r="H221" s="123" t="str">
        <f>_xlfn.CONCAT(_xlfn.XLOOKUP("[S05_DefaultValues][19][FuelMaterialType]",Submission!$O:$O,Submission!$H:$N,""))</f>
        <v>Natural gas (dry gas)</v>
      </c>
      <c r="I221" s="106" t="str">
        <f>_xlfn.CONCAT(_xlfn.XLOOKUP("[S05_DefaultValues][19][InstallationNumber]",Submission!$O:$O,Submission!$H:$N,""))</f>
        <v>1</v>
      </c>
    </row>
    <row r="222" spans="1:9" ht="15.9" customHeight="1" x14ac:dyDescent="0.3">
      <c r="A222" s="13"/>
      <c r="B222" s="34"/>
      <c r="C222" s="281" t="str">
        <f>_xlfn.CONCAT(_xlfn.XLOOKUP("[S05_DefaultValues][20][InstallationCategory]",Submission!$O:$O,Submission!$H:$N,""))</f>
        <v>Category B installation</v>
      </c>
      <c r="D222" s="350"/>
      <c r="E222" s="350"/>
      <c r="F222" s="350"/>
      <c r="G222" s="347"/>
      <c r="H222" s="123" t="str">
        <f>_xlfn.CONCAT(_xlfn.XLOOKUP("[S05_DefaultValues][20][FuelMaterialType]",Submission!$O:$O,Submission!$H:$N,""))</f>
        <v>Natural gas (from LNG)</v>
      </c>
      <c r="I222" s="106" t="str">
        <f>_xlfn.CONCAT(_xlfn.XLOOKUP("[S05_DefaultValues][20][InstallationNumber]",Submission!$O:$O,Submission!$H:$N,""))</f>
        <v>7</v>
      </c>
    </row>
    <row r="223" spans="1:9" ht="15.9" customHeight="1" x14ac:dyDescent="0.3">
      <c r="A223" s="13"/>
      <c r="B223" s="34"/>
      <c r="C223" s="281" t="str">
        <f>_xlfn.CONCAT(_xlfn.XLOOKUP("[S05_DefaultValues][21][InstallationCategory]",Submission!$O:$O,Submission!$H:$N,""))</f>
        <v>Category B installation</v>
      </c>
      <c r="D223" s="350"/>
      <c r="E223" s="350"/>
      <c r="F223" s="350"/>
      <c r="G223" s="347"/>
      <c r="H223" s="123" t="str">
        <f>_xlfn.CONCAT(_xlfn.XLOOKUP("[S05_DefaultValues][21][FuelMaterialType]",Submission!$O:$O,Submission!$H:$N,""))</f>
        <v>Ore</v>
      </c>
      <c r="I223" s="106" t="str">
        <f>_xlfn.CONCAT(_xlfn.XLOOKUP("[S05_DefaultValues][21][InstallationNumber]",Submission!$O:$O,Submission!$H:$N,""))</f>
        <v>4</v>
      </c>
    </row>
    <row r="224" spans="1:9" ht="15.9" customHeight="1" x14ac:dyDescent="0.3">
      <c r="A224" s="13"/>
      <c r="B224" s="34"/>
      <c r="C224" s="281" t="str">
        <f>_xlfn.CONCAT(_xlfn.XLOOKUP("[S05_DefaultValues][22][InstallationCategory]",Submission!$O:$O,Submission!$H:$N,""))</f>
        <v>Category B installation</v>
      </c>
      <c r="D224" s="350"/>
      <c r="E224" s="350"/>
      <c r="F224" s="350"/>
      <c r="G224" s="347"/>
      <c r="H224" s="123" t="str">
        <f>_xlfn.CONCAT(_xlfn.XLOOKUP("[S05_DefaultValues][22][FuelMaterialType]",Submission!$O:$O,Submission!$H:$N,""))</f>
        <v>Other carbonates</v>
      </c>
      <c r="I224" s="106" t="str">
        <f>_xlfn.CONCAT(_xlfn.XLOOKUP("[S05_DefaultValues][22][InstallationNumber]",Submission!$O:$O,Submission!$H:$N,""))</f>
        <v>1</v>
      </c>
    </row>
    <row r="225" spans="1:9" ht="15.9" customHeight="1" x14ac:dyDescent="0.3">
      <c r="A225" s="13"/>
      <c r="B225" s="34"/>
      <c r="C225" s="281" t="str">
        <f>_xlfn.CONCAT(_xlfn.XLOOKUP("[S05_DefaultValues][23][InstallationCategory]",Submission!$O:$O,Submission!$H:$N,""))</f>
        <v>Category B installation</v>
      </c>
      <c r="D225" s="350"/>
      <c r="E225" s="350"/>
      <c r="F225" s="350"/>
      <c r="G225" s="347"/>
      <c r="H225" s="123" t="str">
        <f>_xlfn.CONCAT(_xlfn.XLOOKUP("[S05_DefaultValues][23][FuelMaterialType]",Submission!$O:$O,Submission!$H:$N,""))</f>
        <v>Paraffin</v>
      </c>
      <c r="I225" s="106" t="str">
        <f>_xlfn.CONCAT(_xlfn.XLOOKUP("[S05_DefaultValues][23][InstallationNumber]",Submission!$O:$O,Submission!$H:$N,""))</f>
        <v>1</v>
      </c>
    </row>
    <row r="226" spans="1:9" ht="15.9" customHeight="1" x14ac:dyDescent="0.3">
      <c r="A226" s="13"/>
      <c r="B226" s="34"/>
      <c r="C226" s="281" t="str">
        <f>_xlfn.CONCAT(_xlfn.XLOOKUP("[S05_DefaultValues][24][InstallationCategory]",Submission!$O:$O,Submission!$H:$N,""))</f>
        <v>Category B installation</v>
      </c>
      <c r="D226" s="350"/>
      <c r="E226" s="350"/>
      <c r="F226" s="350"/>
      <c r="G226" s="347"/>
      <c r="H226" s="123" t="str">
        <f>_xlfn.CONCAT(_xlfn.XLOOKUP("[S05_DefaultValues][24][FuelMaterialType]",Submission!$O:$O,Submission!$H:$N,""))</f>
        <v>Pellets</v>
      </c>
      <c r="I226" s="106" t="str">
        <f>_xlfn.CONCAT(_xlfn.XLOOKUP("[S05_DefaultValues][24][InstallationNumber]",Submission!$O:$O,Submission!$H:$N,""))</f>
        <v>1</v>
      </c>
    </row>
    <row r="227" spans="1:9" ht="15.9" customHeight="1" x14ac:dyDescent="0.3">
      <c r="A227" s="13"/>
      <c r="B227" s="34"/>
      <c r="C227" s="281" t="str">
        <f>_xlfn.CONCAT(_xlfn.XLOOKUP("[S05_DefaultValues][25][InstallationCategory]",Submission!$O:$O,Submission!$H:$N,""))</f>
        <v>Category B installation</v>
      </c>
      <c r="D227" s="350"/>
      <c r="E227" s="350"/>
      <c r="F227" s="350"/>
      <c r="G227" s="347"/>
      <c r="H227" s="123" t="str">
        <f>_xlfn.CONCAT(_xlfn.XLOOKUP("[S05_DefaultValues][25][FuelMaterialType]",Submission!$O:$O,Submission!$H:$N,""))</f>
        <v>Plastic</v>
      </c>
      <c r="I227" s="106" t="str">
        <f>_xlfn.CONCAT(_xlfn.XLOOKUP("[S05_DefaultValues][25][InstallationNumber]",Submission!$O:$O,Submission!$H:$N,""))</f>
        <v>2</v>
      </c>
    </row>
    <row r="228" spans="1:9" ht="15.9" customHeight="1" x14ac:dyDescent="0.3">
      <c r="A228" s="13"/>
      <c r="B228" s="34"/>
      <c r="C228" s="281" t="str">
        <f>_xlfn.CONCAT(_xlfn.XLOOKUP("[S05_DefaultValues][26][InstallationCategory]",Submission!$O:$O,Submission!$H:$N,""))</f>
        <v>Category B installation</v>
      </c>
      <c r="D228" s="350"/>
      <c r="E228" s="350"/>
      <c r="F228" s="350"/>
      <c r="G228" s="347"/>
      <c r="H228" s="123" t="str">
        <f>_xlfn.CONCAT(_xlfn.XLOOKUP("[S05_DefaultValues][26][FuelMaterialType]",Submission!$O:$O,Submission!$H:$N,""))</f>
        <v>Propane</v>
      </c>
      <c r="I228" s="106" t="str">
        <f>_xlfn.CONCAT(_xlfn.XLOOKUP("[S05_DefaultValues][26][InstallationNumber]",Submission!$O:$O,Submission!$H:$N,""))</f>
        <v>6</v>
      </c>
    </row>
    <row r="229" spans="1:9" ht="15.9" customHeight="1" x14ac:dyDescent="0.3">
      <c r="A229" s="13"/>
      <c r="B229" s="34"/>
      <c r="C229" s="281" t="str">
        <f>_xlfn.CONCAT(_xlfn.XLOOKUP("[S05_DefaultValues][27][InstallationCategory]",Submission!$O:$O,Submission!$H:$N,""))</f>
        <v>Category B installation</v>
      </c>
      <c r="D229" s="350"/>
      <c r="E229" s="350"/>
      <c r="F229" s="350"/>
      <c r="G229" s="347"/>
      <c r="H229" s="123" t="str">
        <f>_xlfn.CONCAT(_xlfn.XLOOKUP("[S05_DefaultValues][27][FuelMaterialType]",Submission!$O:$O,Submission!$H:$N,""))</f>
        <v>Scrap aluminium</v>
      </c>
      <c r="I229" s="106" t="str">
        <f>_xlfn.CONCAT(_xlfn.XLOOKUP("[S05_DefaultValues][27][InstallationNumber]",Submission!$O:$O,Submission!$H:$N,""))</f>
        <v>1</v>
      </c>
    </row>
    <row r="230" spans="1:9" ht="15.9" customHeight="1" x14ac:dyDescent="0.3">
      <c r="A230" s="13"/>
      <c r="B230" s="34"/>
      <c r="C230" s="281" t="str">
        <f>_xlfn.CONCAT(_xlfn.XLOOKUP("[S05_DefaultValues][28][InstallationCategory]",Submission!$O:$O,Submission!$H:$N,""))</f>
        <v>Category B installation</v>
      </c>
      <c r="D230" s="350"/>
      <c r="E230" s="350"/>
      <c r="F230" s="350"/>
      <c r="G230" s="347"/>
      <c r="H230" s="123" t="str">
        <f>_xlfn.CONCAT(_xlfn.XLOOKUP("[S05_DefaultValues][28][FuelMaterialType]",Submission!$O:$O,Submission!$H:$N,""))</f>
        <v>Silicon</v>
      </c>
      <c r="I230" s="106" t="str">
        <f>_xlfn.CONCAT(_xlfn.XLOOKUP("[S05_DefaultValues][28][InstallationNumber]",Submission!$O:$O,Submission!$H:$N,""))</f>
        <v>2</v>
      </c>
    </row>
    <row r="231" spans="1:9" ht="15.9" customHeight="1" x14ac:dyDescent="0.3">
      <c r="A231" s="13"/>
      <c r="B231" s="34"/>
      <c r="C231" s="281" t="str">
        <f>_xlfn.CONCAT(_xlfn.XLOOKUP("[S05_DefaultValues][29][InstallationCategory]",Submission!$O:$O,Submission!$H:$N,""))</f>
        <v>Category B installation</v>
      </c>
      <c r="D231" s="350"/>
      <c r="E231" s="350"/>
      <c r="F231" s="350"/>
      <c r="G231" s="347"/>
      <c r="H231" s="123" t="str">
        <f>_xlfn.CONCAT(_xlfn.XLOOKUP("[S05_DefaultValues][29][FuelMaterialType]",Submission!$O:$O,Submission!$H:$N,""))</f>
        <v xml:space="preserve">Silicon dioxide </v>
      </c>
      <c r="I231" s="106" t="str">
        <f>_xlfn.CONCAT(_xlfn.XLOOKUP("[S05_DefaultValues][29][InstallationNumber]",Submission!$O:$O,Submission!$H:$N,""))</f>
        <v>2</v>
      </c>
    </row>
    <row r="232" spans="1:9" ht="15.9" customHeight="1" x14ac:dyDescent="0.3">
      <c r="A232" s="13"/>
      <c r="B232" s="34"/>
      <c r="C232" s="281" t="str">
        <f>_xlfn.CONCAT(_xlfn.XLOOKUP("[S05_DefaultValues][30][InstallationCategory]",Submission!$O:$O,Submission!$H:$N,""))</f>
        <v>Category B installation</v>
      </c>
      <c r="D232" s="350"/>
      <c r="E232" s="350"/>
      <c r="F232" s="350"/>
      <c r="G232" s="347"/>
      <c r="H232" s="123" t="str">
        <f>_xlfn.CONCAT(_xlfn.XLOOKUP("[S05_DefaultValues][30][FuelMaterialType]",Submission!$O:$O,Submission!$H:$N,""))</f>
        <v>Silicon manganese</v>
      </c>
      <c r="I232" s="106" t="str">
        <f>_xlfn.CONCAT(_xlfn.XLOOKUP("[S05_DefaultValues][30][InstallationNumber]",Submission!$O:$O,Submission!$H:$N,""))</f>
        <v>1</v>
      </c>
    </row>
    <row r="233" spans="1:9" ht="15.9" customHeight="1" x14ac:dyDescent="0.3">
      <c r="A233" s="13"/>
      <c r="B233" s="34"/>
      <c r="C233" s="281" t="str">
        <f>_xlfn.CONCAT(_xlfn.XLOOKUP("[S05_DefaultValues][31][InstallationCategory]",Submission!$O:$O,Submission!$H:$N,""))</f>
        <v>Category B installation</v>
      </c>
      <c r="D233" s="350"/>
      <c r="E233" s="350"/>
      <c r="F233" s="350"/>
      <c r="G233" s="347"/>
      <c r="H233" s="123" t="str">
        <f>_xlfn.CONCAT(_xlfn.XLOOKUP("[S05_DefaultValues][31][FuelMaterialType]",Submission!$O:$O,Submission!$H:$N,""))</f>
        <v>Slag/sludge</v>
      </c>
      <c r="I233" s="106" t="str">
        <f>_xlfn.CONCAT(_xlfn.XLOOKUP("[S05_DefaultValues][31][InstallationNumber]",Submission!$O:$O,Submission!$H:$N,""))</f>
        <v>4</v>
      </c>
    </row>
    <row r="234" spans="1:9" ht="15.9" customHeight="1" x14ac:dyDescent="0.3">
      <c r="A234" s="13"/>
      <c r="B234" s="34"/>
      <c r="C234" s="281" t="str">
        <f>_xlfn.CONCAT(_xlfn.XLOOKUP("[S05_DefaultValues][32][InstallationCategory]",Submission!$O:$O,Submission!$H:$N,""))</f>
        <v>Category B installation</v>
      </c>
      <c r="D234" s="350"/>
      <c r="E234" s="350"/>
      <c r="F234" s="350"/>
      <c r="G234" s="347"/>
      <c r="H234" s="123" t="str">
        <f>_xlfn.CONCAT(_xlfn.XLOOKUP("[S05_DefaultValues][32][FuelMaterialType]",Submission!$O:$O,Submission!$H:$N,""))</f>
        <v>Soda</v>
      </c>
      <c r="I234" s="106" t="str">
        <f>_xlfn.CONCAT(_xlfn.XLOOKUP("[S05_DefaultValues][32][InstallationNumber]",Submission!$O:$O,Submission!$H:$N,""))</f>
        <v>6</v>
      </c>
    </row>
    <row r="235" spans="1:9" ht="15.9" customHeight="1" x14ac:dyDescent="0.3">
      <c r="A235" s="13"/>
      <c r="B235" s="34"/>
      <c r="C235" s="281" t="str">
        <f>_xlfn.CONCAT(_xlfn.XLOOKUP("[S05_DefaultValues][33][InstallationCategory]",Submission!$O:$O,Submission!$H:$N,""))</f>
        <v>Category B installation</v>
      </c>
      <c r="D235" s="350"/>
      <c r="E235" s="350"/>
      <c r="F235" s="350"/>
      <c r="G235" s="347"/>
      <c r="H235" s="123" t="str">
        <f>_xlfn.CONCAT(_xlfn.XLOOKUP("[S05_DefaultValues][33][FuelMaterialType]",Submission!$O:$O,Submission!$H:$N,""))</f>
        <v>Waste</v>
      </c>
      <c r="I235" s="106" t="str">
        <f>_xlfn.CONCAT(_xlfn.XLOOKUP("[S05_DefaultValues][33][InstallationNumber]",Submission!$O:$O,Submission!$H:$N,""))</f>
        <v>1</v>
      </c>
    </row>
    <row r="236" spans="1:9" ht="15.9" customHeight="1" x14ac:dyDescent="0.3">
      <c r="A236" s="13"/>
      <c r="B236" s="34"/>
      <c r="C236" s="281" t="str">
        <f>_xlfn.CONCAT(_xlfn.XLOOKUP("[S05_DefaultValues][34][InstallationCategory]",Submission!$O:$O,Submission!$H:$N,""))</f>
        <v>Category B installation</v>
      </c>
      <c r="D236" s="350"/>
      <c r="E236" s="350"/>
      <c r="F236" s="350"/>
      <c r="G236" s="347"/>
      <c r="H236" s="123" t="str">
        <f>_xlfn.CONCAT(_xlfn.XLOOKUP("[S05_DefaultValues][34][FuelMaterialType]",Submission!$O:$O,Submission!$H:$N,""))</f>
        <v>Waste oil</v>
      </c>
      <c r="I236" s="106" t="str">
        <f>_xlfn.CONCAT(_xlfn.XLOOKUP("[S05_DefaultValues][34][InstallationNumber]",Submission!$O:$O,Submission!$H:$N,""))</f>
        <v>2</v>
      </c>
    </row>
    <row r="237" spans="1:9" ht="15.9" customHeight="1" x14ac:dyDescent="0.3">
      <c r="A237" s="13"/>
      <c r="B237" s="34"/>
      <c r="C237" s="281" t="str">
        <f>_xlfn.CONCAT(_xlfn.XLOOKUP("[S05_DefaultValues][35][InstallationCategory]",Submission!$O:$O,Submission!$H:$N,""))</f>
        <v>Category B installation</v>
      </c>
      <c r="D237" s="350"/>
      <c r="E237" s="350"/>
      <c r="F237" s="350"/>
      <c r="G237" s="347"/>
      <c r="H237" s="123" t="str">
        <f>_xlfn.CONCAT(_xlfn.XLOOKUP("[S05_DefaultValues][35][FuelMaterialType]",Submission!$O:$O,Submission!$H:$N,""))</f>
        <v>Waste tyres</v>
      </c>
      <c r="I237" s="106" t="str">
        <f>_xlfn.CONCAT(_xlfn.XLOOKUP("[S05_DefaultValues][35][InstallationNumber]",Submission!$O:$O,Submission!$H:$N,""))</f>
        <v>1</v>
      </c>
    </row>
    <row r="238" spans="1:9" ht="15.9" customHeight="1" x14ac:dyDescent="0.3">
      <c r="A238" s="13"/>
      <c r="B238" s="34"/>
      <c r="C238" s="281" t="str">
        <f>_xlfn.CONCAT(_xlfn.XLOOKUP("[S05_DefaultValues][36][InstallationCategory]",Submission!$O:$O,Submission!$H:$N,""))</f>
        <v>Category B installation</v>
      </c>
      <c r="D238" s="350"/>
      <c r="E238" s="350"/>
      <c r="F238" s="350"/>
      <c r="G238" s="347"/>
      <c r="H238" s="123" t="str">
        <f>_xlfn.CONCAT(_xlfn.XLOOKUP("[S05_DefaultValues][36][FuelMaterialType]",Submission!$O:$O,Submission!$H:$N,""))</f>
        <v>Sludge</v>
      </c>
      <c r="I238" s="106" t="str">
        <f>_xlfn.CONCAT(_xlfn.XLOOKUP("[S05_DefaultValues][36][InstallationNumber]",Submission!$O:$O,Submission!$H:$N,""))</f>
        <v>2</v>
      </c>
    </row>
    <row r="239" spans="1:9" ht="15.9" customHeight="1" x14ac:dyDescent="0.3">
      <c r="A239" s="13"/>
      <c r="B239" s="34"/>
      <c r="C239" s="281" t="str">
        <f>_xlfn.CONCAT(_xlfn.XLOOKUP("[S05_DefaultValues][37][InstallationCategory]",Submission!$O:$O,Submission!$H:$N,""))</f>
        <v>Category B installation</v>
      </c>
      <c r="D239" s="350"/>
      <c r="E239" s="350"/>
      <c r="F239" s="350"/>
      <c r="G239" s="347"/>
      <c r="H239" s="123" t="str">
        <f>_xlfn.CONCAT(_xlfn.XLOOKUP("[S05_DefaultValues][37][FuelMaterialType]",Submission!$O:$O,Submission!$H:$N,""))</f>
        <v>Bio diesel</v>
      </c>
      <c r="I239" s="106" t="str">
        <f>_xlfn.CONCAT(_xlfn.XLOOKUP("[S05_DefaultValues][37][InstallationNumber]",Submission!$O:$O,Submission!$H:$N,""))</f>
        <v>4</v>
      </c>
    </row>
    <row r="240" spans="1:9" ht="15.9" customHeight="1" x14ac:dyDescent="0.3">
      <c r="A240" s="13"/>
      <c r="B240" s="34"/>
      <c r="C240" s="281" t="str">
        <f>_xlfn.CONCAT(_xlfn.XLOOKUP("[S05_DefaultValues][38][InstallationCategory]",Submission!$O:$O,Submission!$H:$N,""))</f>
        <v>Category B installation</v>
      </c>
      <c r="D240" s="350"/>
      <c r="E240" s="350"/>
      <c r="F240" s="350"/>
      <c r="G240" s="347"/>
      <c r="H240" s="123" t="str">
        <f>_xlfn.CONCAT(_xlfn.XLOOKUP("[S05_DefaultValues][38][FuelMaterialType]",Submission!$O:$O,Submission!$H:$N,""))</f>
        <v>Sealant</v>
      </c>
      <c r="I240" s="106" t="str">
        <f>_xlfn.CONCAT(_xlfn.XLOOKUP("[S05_DefaultValues][38][InstallationNumber]",Submission!$O:$O,Submission!$H:$N,""))</f>
        <v>1</v>
      </c>
    </row>
    <row r="241" spans="1:9" ht="15.9" customHeight="1" x14ac:dyDescent="0.3">
      <c r="A241" s="13"/>
      <c r="B241" s="34"/>
      <c r="C241" s="281" t="str">
        <f>_xlfn.CONCAT(_xlfn.XLOOKUP("[S05_DefaultValues][39][InstallationCategory]",Submission!$O:$O,Submission!$H:$N,""))</f>
        <v>Category B installation</v>
      </c>
      <c r="D241" s="350"/>
      <c r="E241" s="350"/>
      <c r="F241" s="350"/>
      <c r="G241" s="347"/>
      <c r="H241" s="123" t="str">
        <f>_xlfn.CONCAT(_xlfn.XLOOKUP("[S05_DefaultValues][39][FuelMaterialType]",Submission!$O:$O,Submission!$H:$N,""))</f>
        <v xml:space="preserve">Oilfield and gasfield gas </v>
      </c>
      <c r="I241" s="106" t="str">
        <f>_xlfn.CONCAT(_xlfn.XLOOKUP("[S05_DefaultValues][39][InstallationNumber]",Submission!$O:$O,Submission!$H:$N,""))</f>
        <v>2</v>
      </c>
    </row>
    <row r="242" spans="1:9" ht="15.9" customHeight="1" x14ac:dyDescent="0.3">
      <c r="A242" s="13"/>
      <c r="B242" s="34"/>
      <c r="C242" s="281" t="str">
        <f>_xlfn.CONCAT(_xlfn.XLOOKUP("[S05_DefaultValues][40][InstallationCategory]",Submission!$O:$O,Submission!$H:$N,""))</f>
        <v>Category B installation</v>
      </c>
      <c r="D242" s="350"/>
      <c r="E242" s="350"/>
      <c r="F242" s="350"/>
      <c r="G242" s="347"/>
      <c r="H242" s="123" t="str">
        <f>_xlfn.CONCAT(_xlfn.XLOOKUP("[S05_DefaultValues][40][FuelMaterialType]",Submission!$O:$O,Submission!$H:$N,""))</f>
        <v>Lime</v>
      </c>
      <c r="I242" s="106" t="str">
        <f>_xlfn.CONCAT(_xlfn.XLOOKUP("[S05_DefaultValues][40][InstallationNumber]",Submission!$O:$O,Submission!$H:$N,""))</f>
        <v>7</v>
      </c>
    </row>
    <row r="243" spans="1:9" ht="15.9" hidden="1" customHeight="1" outlineLevel="1" x14ac:dyDescent="0.3">
      <c r="A243" s="13"/>
      <c r="B243" s="34"/>
      <c r="C243" s="281" t="str">
        <f>_xlfn.CONCAT(_xlfn.XLOOKUP("[S05_DefaultValues][41][InstallationCategory]",Submission!$O:$O,Submission!$H:$N,""))</f>
        <v>Category B installation</v>
      </c>
      <c r="D243" s="350"/>
      <c r="E243" s="350"/>
      <c r="F243" s="350"/>
      <c r="G243" s="347"/>
      <c r="H243" s="123" t="str">
        <f>_xlfn.CONCAT(_xlfn.XLOOKUP("[S05_DefaultValues][41][FuelMaterialType]",Submission!$O:$O,Submission!$H:$N,""))</f>
        <v>Refractories</v>
      </c>
      <c r="I243" s="106" t="str">
        <f>_xlfn.CONCAT(_xlfn.XLOOKUP("[S05_DefaultValues][41][InstallationNumber]",Submission!$O:$O,Submission!$H:$N,""))</f>
        <v>2</v>
      </c>
    </row>
    <row r="244" spans="1:9" ht="15.9" hidden="1" customHeight="1" outlineLevel="1" x14ac:dyDescent="0.3">
      <c r="A244" s="13"/>
      <c r="B244" s="34"/>
      <c r="C244" s="281" t="str">
        <f>_xlfn.CONCAT(_xlfn.XLOOKUP("[S05_DefaultValues][42][InstallationCategory]",Submission!$O:$O,Submission!$H:$N,""))</f>
        <v>Category C installation</v>
      </c>
      <c r="D244" s="350"/>
      <c r="E244" s="350"/>
      <c r="F244" s="350"/>
      <c r="G244" s="347"/>
      <c r="H244" s="123" t="str">
        <f>_xlfn.CONCAT(_xlfn.XLOOKUP("[S05_DefaultValues][42][FuelMaterialType]",Submission!$O:$O,Submission!$H:$N,""))</f>
        <v>Acetylen</v>
      </c>
      <c r="I244" s="106" t="str">
        <f>_xlfn.CONCAT(_xlfn.XLOOKUP("[S05_DefaultValues][42][InstallationNumber]",Submission!$O:$O,Submission!$H:$N,""))</f>
        <v>1</v>
      </c>
    </row>
    <row r="245" spans="1:9" ht="15.9" hidden="1" customHeight="1" outlineLevel="1" x14ac:dyDescent="0.3">
      <c r="A245" s="13"/>
      <c r="B245" s="34"/>
      <c r="C245" s="281" t="str">
        <f>_xlfn.CONCAT(_xlfn.XLOOKUP("[S05_DefaultValues][43][InstallationCategory]",Submission!$O:$O,Submission!$H:$N,""))</f>
        <v>Category C installation</v>
      </c>
      <c r="D245" s="350"/>
      <c r="E245" s="350"/>
      <c r="F245" s="350"/>
      <c r="G245" s="347"/>
      <c r="H245" s="123" t="str">
        <f>_xlfn.CONCAT(_xlfn.XLOOKUP("[S05_DefaultValues][43][FuelMaterialType]",Submission!$O:$O,Submission!$H:$N,""))</f>
        <v>Diesel</v>
      </c>
      <c r="I245" s="106" t="str">
        <f>_xlfn.CONCAT(_xlfn.XLOOKUP("[S05_DefaultValues][43][InstallationNumber]",Submission!$O:$O,Submission!$H:$N,""))</f>
        <v>15</v>
      </c>
    </row>
    <row r="246" spans="1:9" ht="15.9" hidden="1" customHeight="1" outlineLevel="1" x14ac:dyDescent="0.3">
      <c r="A246" s="13"/>
      <c r="B246" s="34"/>
      <c r="C246" s="281" t="str">
        <f>_xlfn.CONCAT(_xlfn.XLOOKUP("[S05_DefaultValues][44][InstallationCategory]",Submission!$O:$O,Submission!$H:$N,""))</f>
        <v>Category C installation</v>
      </c>
      <c r="D246" s="350"/>
      <c r="E246" s="350"/>
      <c r="F246" s="350"/>
      <c r="G246" s="347"/>
      <c r="H246" s="123" t="str">
        <f>_xlfn.CONCAT(_xlfn.XLOOKUP("[S05_DefaultValues][44][FuelMaterialType]",Submission!$O:$O,Submission!$H:$N,""))</f>
        <v>Flare gas</v>
      </c>
      <c r="I246" s="106" t="str">
        <f>_xlfn.CONCAT(_xlfn.XLOOKUP("[S05_DefaultValues][44][InstallationNumber]",Submission!$O:$O,Submission!$H:$N,""))</f>
        <v>22</v>
      </c>
    </row>
    <row r="247" spans="1:9" ht="15.9" hidden="1" customHeight="1" outlineLevel="1" x14ac:dyDescent="0.3">
      <c r="A247" s="13"/>
      <c r="B247" s="34"/>
      <c r="C247" s="281" t="str">
        <f>_xlfn.CONCAT(_xlfn.XLOOKUP("[S05_DefaultValues][45][InstallationCategory]",Submission!$O:$O,Submission!$H:$N,""))</f>
        <v>Category C installation</v>
      </c>
      <c r="D247" s="350"/>
      <c r="E247" s="350"/>
      <c r="F247" s="350"/>
      <c r="G247" s="347"/>
      <c r="H247" s="123" t="str">
        <f>_xlfn.CONCAT(_xlfn.XLOOKUP("[S05_DefaultValues][45][FuelMaterialType]",Submission!$O:$O,Submission!$H:$N,""))</f>
        <v>Heavy fuel oil</v>
      </c>
      <c r="I247" s="106" t="str">
        <f>_xlfn.CONCAT(_xlfn.XLOOKUP("[S05_DefaultValues][45][InstallationNumber]",Submission!$O:$O,Submission!$H:$N,""))</f>
        <v>3</v>
      </c>
    </row>
    <row r="248" spans="1:9" ht="15.9" hidden="1" customHeight="1" outlineLevel="1" x14ac:dyDescent="0.3">
      <c r="A248" s="13"/>
      <c r="B248" s="34"/>
      <c r="C248" s="281" t="str">
        <f>_xlfn.CONCAT(_xlfn.XLOOKUP("[S05_DefaultValues][46][InstallationCategory]",Submission!$O:$O,Submission!$H:$N,""))</f>
        <v>Category C installation</v>
      </c>
      <c r="D248" s="350"/>
      <c r="E248" s="350"/>
      <c r="F248" s="350"/>
      <c r="G248" s="347"/>
      <c r="H248" s="123" t="str">
        <f>_xlfn.CONCAT(_xlfn.XLOOKUP("[S05_DefaultValues][46][FuelMaterialType]",Submission!$O:$O,Submission!$H:$N,""))</f>
        <v>Light fuel oil</v>
      </c>
      <c r="I248" s="106" t="str">
        <f>_xlfn.CONCAT(_xlfn.XLOOKUP("[S05_DefaultValues][46][InstallationNumber]",Submission!$O:$O,Submission!$H:$N,""))</f>
        <v>1</v>
      </c>
    </row>
    <row r="249" spans="1:9" ht="15.9" hidden="1" customHeight="1" outlineLevel="1" x14ac:dyDescent="0.3">
      <c r="A249" s="13"/>
      <c r="B249" s="34"/>
      <c r="C249" s="281" t="str">
        <f>_xlfn.CONCAT(_xlfn.XLOOKUP("[S05_DefaultValues][47][InstallationCategory]",Submission!$O:$O,Submission!$H:$N,""))</f>
        <v>Category C installation</v>
      </c>
      <c r="D249" s="350"/>
      <c r="E249" s="350"/>
      <c r="F249" s="350"/>
      <c r="G249" s="347"/>
      <c r="H249" s="123" t="str">
        <f>_xlfn.CONCAT(_xlfn.XLOOKUP("[S05_DefaultValues][47][FuelMaterialType]",Submission!$O:$O,Submission!$H:$N,""))</f>
        <v>Natural gas (from LNG)</v>
      </c>
      <c r="I249" s="106" t="str">
        <f>_xlfn.CONCAT(_xlfn.XLOOKUP("[S05_DefaultValues][47][InstallationNumber]",Submission!$O:$O,Submission!$H:$N,""))</f>
        <v>1</v>
      </c>
    </row>
    <row r="250" spans="1:9" ht="15.9" hidden="1" customHeight="1" outlineLevel="1" x14ac:dyDescent="0.3">
      <c r="A250" s="13"/>
      <c r="B250" s="34"/>
      <c r="C250" s="281" t="str">
        <f>_xlfn.CONCAT(_xlfn.XLOOKUP("[S05_DefaultValues][48][InstallationCategory]",Submission!$O:$O,Submission!$H:$N,""))</f>
        <v>Category C installation</v>
      </c>
      <c r="D250" s="350"/>
      <c r="E250" s="350"/>
      <c r="F250" s="350"/>
      <c r="G250" s="347"/>
      <c r="H250" s="123" t="str">
        <f>_xlfn.CONCAT(_xlfn.XLOOKUP("[S05_DefaultValues][48][FuelMaterialType]",Submission!$O:$O,Submission!$H:$N,""))</f>
        <v>Propane</v>
      </c>
      <c r="I250" s="106" t="str">
        <f>_xlfn.CONCAT(_xlfn.XLOOKUP("[S05_DefaultValues][48][InstallationNumber]",Submission!$O:$O,Submission!$H:$N,""))</f>
        <v>1</v>
      </c>
    </row>
    <row r="251" spans="1:9" ht="15.9" hidden="1" customHeight="1" outlineLevel="1" x14ac:dyDescent="0.3">
      <c r="A251" s="13"/>
      <c r="B251" s="34"/>
      <c r="C251" s="281" t="str">
        <f>_xlfn.CONCAT(_xlfn.XLOOKUP("[S05_DefaultValues][49][InstallationCategory]",Submission!$O:$O,Submission!$H:$N,""))</f>
        <v>Category C installation</v>
      </c>
      <c r="D251" s="350"/>
      <c r="E251" s="350"/>
      <c r="F251" s="350"/>
      <c r="G251" s="347"/>
      <c r="H251" s="123" t="str">
        <f>_xlfn.CONCAT(_xlfn.XLOOKUP("[S05_DefaultValues][49][FuelMaterialType]",Submission!$O:$O,Submission!$H:$N,""))</f>
        <v>Soda</v>
      </c>
      <c r="I251" s="106" t="str">
        <f>_xlfn.CONCAT(_xlfn.XLOOKUP("[S05_DefaultValues][49][InstallationNumber]",Submission!$O:$O,Submission!$H:$N,""))</f>
        <v>1</v>
      </c>
    </row>
    <row r="252" spans="1:9" ht="15.9" hidden="1" customHeight="1" outlineLevel="1" x14ac:dyDescent="0.3">
      <c r="A252" s="13"/>
      <c r="B252" s="34"/>
      <c r="C252" s="281" t="str">
        <f>_xlfn.CONCAT(_xlfn.XLOOKUP("[S05_DefaultValues][50][InstallationCategory]",Submission!$O:$O,Submission!$H:$N,""))</f>
        <v>Category C installation</v>
      </c>
      <c r="D252" s="350"/>
      <c r="E252" s="350"/>
      <c r="F252" s="350"/>
      <c r="G252" s="347"/>
      <c r="H252" s="123" t="str">
        <f>_xlfn.CONCAT(_xlfn.XLOOKUP("[S05_DefaultValues][50][FuelMaterialType]",Submission!$O:$O,Submission!$H:$N,""))</f>
        <v>Tar</v>
      </c>
      <c r="I252" s="106" t="str">
        <f>_xlfn.CONCAT(_xlfn.XLOOKUP("[S05_DefaultValues][50][InstallationNumber]",Submission!$O:$O,Submission!$H:$N,""))</f>
        <v>1</v>
      </c>
    </row>
    <row r="253" spans="1:9" ht="15.9" hidden="1" customHeight="1" outlineLevel="1" x14ac:dyDescent="0.3">
      <c r="A253" s="13"/>
      <c r="B253" s="34"/>
      <c r="C253" s="281" t="str">
        <f>_xlfn.CONCAT(_xlfn.XLOOKUP("[S05_DefaultValues][51][InstallationCategory]",Submission!$O:$O,Submission!$H:$N,""))</f>
        <v>Category C installation</v>
      </c>
      <c r="D253" s="350"/>
      <c r="E253" s="350"/>
      <c r="F253" s="350"/>
      <c r="G253" s="347"/>
      <c r="H253" s="123" t="str">
        <f>_xlfn.CONCAT(_xlfn.XLOOKUP("[S05_DefaultValues][51][FuelMaterialType]",Submission!$O:$O,Submission!$H:$N,""))</f>
        <v>VOC-gas</v>
      </c>
      <c r="I253" s="106" t="str">
        <f>_xlfn.CONCAT(_xlfn.XLOOKUP("[S05_DefaultValues][51][InstallationNumber]",Submission!$O:$O,Submission!$H:$N,""))</f>
        <v>1</v>
      </c>
    </row>
    <row r="254" spans="1:9" ht="15.9" hidden="1" customHeight="1" outlineLevel="1" x14ac:dyDescent="0.3">
      <c r="A254" s="13"/>
      <c r="B254" s="34"/>
      <c r="C254" s="281" t="str">
        <f>_xlfn.CONCAT(_xlfn.XLOOKUP("[S05_DefaultValues][52][InstallationCategory]",Submission!$O:$O,Submission!$H:$N,""))</f>
        <v>Category C installation</v>
      </c>
      <c r="D254" s="350"/>
      <c r="E254" s="350"/>
      <c r="F254" s="350"/>
      <c r="G254" s="347"/>
      <c r="H254" s="123" t="str">
        <f>_xlfn.CONCAT(_xlfn.XLOOKUP("[S05_DefaultValues][52][FuelMaterialType]",Submission!$O:$O,Submission!$H:$N,""))</f>
        <v>Waste oil</v>
      </c>
      <c r="I254" s="106" t="str">
        <f>_xlfn.CONCAT(_xlfn.XLOOKUP("[S05_DefaultValues][52][InstallationNumber]",Submission!$O:$O,Submission!$H:$N,""))</f>
        <v>1</v>
      </c>
    </row>
    <row r="255" spans="1:9" ht="15.9" hidden="1" customHeight="1" outlineLevel="1" x14ac:dyDescent="0.3">
      <c r="A255" s="13"/>
      <c r="B255" s="34"/>
      <c r="C255" s="281" t="str">
        <f>_xlfn.CONCAT(_xlfn.XLOOKUP("[S05_DefaultValues][53][InstallationCategory]",Submission!$O:$O,Submission!$H:$N,""))</f>
        <v>Category C installation</v>
      </c>
      <c r="D255" s="350"/>
      <c r="E255" s="350"/>
      <c r="F255" s="350"/>
      <c r="G255" s="347"/>
      <c r="H255" s="123" t="str">
        <f>_xlfn.CONCAT(_xlfn.XLOOKUP("[S05_DefaultValues][53][FuelMaterialType]",Submission!$O:$O,Submission!$H:$N,""))</f>
        <v>Liquid waste</v>
      </c>
      <c r="I255" s="106" t="str">
        <f>_xlfn.CONCAT(_xlfn.XLOOKUP("[S05_DefaultValues][53][InstallationNumber]",Submission!$O:$O,Submission!$H:$N,""))</f>
        <v>1</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Oilfield and gasfield gas</v>
      </c>
      <c r="D1008" s="285"/>
      <c r="E1008" s="105" t="str">
        <f>_xlfn.CONCAT(_xlfn.XLOOKUP("[S05_InstallationDifferentSamplingFrequency][1][CountInstallationsDiffFrequency]",Submission!$O:$O,Submission!$H:$N,""))</f>
        <v>4</v>
      </c>
      <c r="F1008" s="105" t="str">
        <f>_xlfn.CONCAT(_xlfn.XLOOKUP("[S05_InstallationDifferentSamplingFrequency][1][MajorSourceStreams]",Submission!$O:$O,Submission!$H:$N,""))</f>
        <v>4</v>
      </c>
      <c r="G1008" s="47" t="str">
        <f>_xlfn.CONCAT(_xlfn.XLOOKUP("[S05_InstallationDifferentSamplingFrequency][1][SamplingPlanDocumented]",Submission!$O:$O,Submission!$H:$N,""))</f>
        <v>Yes</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92</v>
      </c>
      <c r="D1037" s="72" t="str">
        <f>_xlfn.CONCAT(_xlfn.XLOOKUP("[S05_CategoryCHighestTierNotApplied][1][SourceStreamAffected]",Submission!$O:$O,Submission!$H:$N,""))</f>
        <v/>
      </c>
      <c r="E1037" s="72" t="str">
        <f>_xlfn.CONCAT(_xlfn.XLOOKUP("[S05_CategoryCHighestTierNotApplied][1][EmissionSourceAffected]",Submission!$O:$O,Submission!$H:$N,""))</f>
        <v>CO2 from the burning of coke in regenerating the catalytic cracker</v>
      </c>
      <c r="F1037" s="72" t="str">
        <f>_xlfn.CONCAT(_xlfn.XLOOKUP("[S05_CategoryCHighestTierNotApplied][1][MonitoringParameterAffected]",Submission!$O:$O,Submission!$H:$N,""))</f>
        <v>Annual average hourly emissions in kg/h from the source</v>
      </c>
      <c r="G1037" s="89" t="str">
        <f>_xlfn.CONCAT(_xlfn.XLOOKUP("[S05_CategoryCHighestTierNotApplied][1][HighestTierRequired]",Submission!$O:$O,Submission!$H:$N,""))</f>
        <v>Tier 4</v>
      </c>
      <c r="H1037" s="240" t="str">
        <f>_xlfn.CONCAT(_xlfn.XLOOKUP("[S05_CategoryCHighestTierNotApplied][1][TierInPractice]",Submission!$O:$O,Submission!$H:$N,""))</f>
        <v>Tier 2</v>
      </c>
      <c r="I1037" s="242"/>
    </row>
    <row r="1038" spans="1:9" ht="24.6" customHeight="1" x14ac:dyDescent="0.3">
      <c r="B1038" s="34"/>
      <c r="C1038" s="72" t="str">
        <f>_xlfn.CONCAT(_xlfn.XLOOKUP("[S05_CategoryCHighestTierNotApplied][2][InstallationID]",Submission!$O:$O,Submission!$H:$N,""))</f>
        <v>8</v>
      </c>
      <c r="D1038" s="72" t="str">
        <f>_xlfn.CONCAT(_xlfn.XLOOKUP("[S05_CategoryCHighestTierNotApplied][2][SourceStreamAffected]",Submission!$O:$O,Submission!$H:$N,""))</f>
        <v>Flare gas</v>
      </c>
      <c r="E1038" s="72" t="str">
        <f>_xlfn.CONCAT(_xlfn.XLOOKUP("[S05_CategoryCHighestTierNotApplied][2][EmissionSourceAffected]",Submission!$O:$O,Submission!$H:$N,""))</f>
        <v/>
      </c>
      <c r="F1038" s="72" t="str">
        <f>_xlfn.CONCAT(_xlfn.XLOOKUP("[S05_CategoryCHighestTierNotApplied][2][MonitoringParameterAffected]",Submission!$O:$O,Submission!$H:$N,""))</f>
        <v>Emission factor</v>
      </c>
      <c r="G1038" s="89" t="str">
        <f>_xlfn.CONCAT(_xlfn.XLOOKUP("[S05_CategoryCHighestTierNotApplied][2][HighestTierRequired]",Submission!$O:$O,Submission!$H:$N,""))</f>
        <v>Tier 3</v>
      </c>
      <c r="H1038" s="240" t="str">
        <f>_xlfn.CONCAT(_xlfn.XLOOKUP("[S05_CategoryCHighestTierNotApplied][2][TierInPractice]",Submission!$O:$O,Submission!$H:$N,""))</f>
        <v>Tier 2a</v>
      </c>
      <c r="I1038" s="242"/>
    </row>
    <row r="1039" spans="1:9" ht="24.6" customHeight="1" x14ac:dyDescent="0.3">
      <c r="A1039" s="13"/>
      <c r="B1039" s="34"/>
      <c r="C1039" s="72" t="str">
        <f>_xlfn.CONCAT(_xlfn.XLOOKUP("[S05_CategoryCHighestTierNotApplied][3][InstallationID]",Submission!$O:$O,Submission!$H:$N,""))</f>
        <v>8</v>
      </c>
      <c r="D1039" s="72" t="str">
        <f>_xlfn.CONCAT(_xlfn.XLOOKUP("[S05_CategoryCHighestTierNotApplied][3][SourceStreamAffected]",Submission!$O:$O,Submission!$H:$N,""))</f>
        <v>Flare gas</v>
      </c>
      <c r="E1039" s="72" t="str">
        <f>_xlfn.CONCAT(_xlfn.XLOOKUP("[S05_CategoryCHighestTierNotApplied][3][EmissionSourceAffected]",Submission!$O:$O,Submission!$H:$N,""))</f>
        <v/>
      </c>
      <c r="F1039" s="72" t="str">
        <f>_xlfn.CONCAT(_xlfn.XLOOKUP("[S05_CategoryCHighestTierNotApplied][3][MonitoringParameterAffected]",Submission!$O:$O,Submission!$H:$N,""))</f>
        <v>Emission factor</v>
      </c>
      <c r="G1039" s="89" t="str">
        <f>_xlfn.CONCAT(_xlfn.XLOOKUP("[S05_CategoryCHighestTierNotApplied][3][HighestTierRequired]",Submission!$O:$O,Submission!$H:$N,""))</f>
        <v>Tier 3</v>
      </c>
      <c r="H1039" s="240" t="str">
        <f>_xlfn.CONCAT(_xlfn.XLOOKUP("[S05_CategoryCHighestTierNotApplied][3][TierInPractice]",Submission!$O:$O,Submission!$H:$N,""))</f>
        <v>Tier 2b</v>
      </c>
      <c r="I1039" s="242"/>
    </row>
    <row r="1040" spans="1:9" ht="24.6" customHeight="1" x14ac:dyDescent="0.3">
      <c r="B1040" s="34"/>
      <c r="C1040" s="72" t="str">
        <f>_xlfn.CONCAT(_xlfn.XLOOKUP("[S05_CategoryCHighestTierNotApplied][4][InstallationID]",Submission!$O:$O,Submission!$H:$N,""))</f>
        <v>8</v>
      </c>
      <c r="D1040" s="72" t="str">
        <f>_xlfn.CONCAT(_xlfn.XLOOKUP("[S05_CategoryCHighestTierNotApplied][4][SourceStreamAffected]",Submission!$O:$O,Submission!$H:$N,""))</f>
        <v>Flare gas</v>
      </c>
      <c r="E1040" s="72" t="str">
        <f>_xlfn.CONCAT(_xlfn.XLOOKUP("[S05_CategoryCHighestTierNotApplied][4][EmissionSourceAffected]",Submission!$O:$O,Submission!$H:$N,""))</f>
        <v/>
      </c>
      <c r="F1040" s="72" t="str">
        <f>_xlfn.CONCAT(_xlfn.XLOOKUP("[S05_CategoryCHighestTierNotApplied][4][MonitoringParameterAffected]",Submission!$O:$O,Submission!$H:$N,""))</f>
        <v>Net calorific value</v>
      </c>
      <c r="G1040" s="89" t="str">
        <f>_xlfn.CONCAT(_xlfn.XLOOKUP("[S05_CategoryCHighestTierNotApplied][4][HighestTierRequired]",Submission!$O:$O,Submission!$H:$N,""))</f>
        <v>Tier 3</v>
      </c>
      <c r="H1040" s="240" t="str">
        <f>_xlfn.CONCAT(_xlfn.XLOOKUP("[S05_CategoryCHighestTierNotApplied][4][TierInPractice]",Submission!$O:$O,Submission!$H:$N,""))</f>
        <v>Tier 2a</v>
      </c>
      <c r="I1040" s="242"/>
    </row>
    <row r="1041" spans="1:9" ht="24.6" customHeight="1" x14ac:dyDescent="0.3">
      <c r="B1041" s="34"/>
      <c r="C1041" s="72" t="str">
        <f>_xlfn.CONCAT(_xlfn.XLOOKUP("[S05_CategoryCHighestTierNotApplied][5][InstallationID]",Submission!$O:$O,Submission!$H:$N,""))</f>
        <v>8</v>
      </c>
      <c r="D1041" s="72" t="str">
        <f>_xlfn.CONCAT(_xlfn.XLOOKUP("[S05_CategoryCHighestTierNotApplied][5][SourceStreamAffected]",Submission!$O:$O,Submission!$H:$N,""))</f>
        <v>Flare gas</v>
      </c>
      <c r="E1041" s="72" t="str">
        <f>_xlfn.CONCAT(_xlfn.XLOOKUP("[S05_CategoryCHighestTierNotApplied][5][EmissionSourceAffected]",Submission!$O:$O,Submission!$H:$N,""))</f>
        <v/>
      </c>
      <c r="F1041" s="72" t="str">
        <f>_xlfn.CONCAT(_xlfn.XLOOKUP("[S05_CategoryCHighestTierNotApplied][5][MonitoringParameterAffected]",Submission!$O:$O,Submission!$H:$N,""))</f>
        <v>Net calorific value</v>
      </c>
      <c r="G1041" s="89" t="str">
        <f>_xlfn.CONCAT(_xlfn.XLOOKUP("[S05_CategoryCHighestTierNotApplied][5][HighestTierRequired]",Submission!$O:$O,Submission!$H:$N,""))</f>
        <v>Tier 3</v>
      </c>
      <c r="H1041" s="240" t="str">
        <f>_xlfn.CONCAT(_xlfn.XLOOKUP("[S05_CategoryCHighestTierNotApplied][5][TierInPractice]",Submission!$O:$O,Submission!$H:$N,""))</f>
        <v>Tier 2b</v>
      </c>
      <c r="I1041" s="242"/>
    </row>
    <row r="1042" spans="1:9" ht="24.6" customHeight="1" x14ac:dyDescent="0.3">
      <c r="B1042" s="34"/>
      <c r="C1042" s="72" t="str">
        <f>_xlfn.CONCAT(_xlfn.XLOOKUP("[S05_CategoryCHighestTierNotApplied][6][InstallationID]",Submission!$O:$O,Submission!$H:$N,""))</f>
        <v>47</v>
      </c>
      <c r="D1042" s="72" t="str">
        <f>_xlfn.CONCAT(_xlfn.XLOOKUP("[S05_CategoryCHighestTierNotApplied][6][SourceStreamAffected]",Submission!$O:$O,Submission!$H:$N,""))</f>
        <v>Liquid waste</v>
      </c>
      <c r="E1042" s="72" t="str">
        <f>_xlfn.CONCAT(_xlfn.XLOOKUP("[S05_CategoryCHighestTierNotApplied][6][EmissionSourceAffected]",Submission!$O:$O,Submission!$H:$N,""))</f>
        <v/>
      </c>
      <c r="F1042" s="72" t="str">
        <f>_xlfn.CONCAT(_xlfn.XLOOKUP("[S05_CategoryCHighestTierNotApplied][6][MonitoringParameterAffected]",Submission!$O:$O,Submission!$H:$N,""))</f>
        <v>Biomass fraction</v>
      </c>
      <c r="G1042" s="89" t="str">
        <f>_xlfn.CONCAT(_xlfn.XLOOKUP("[S05_CategoryCHighestTierNotApplied][6][HighestTierRequired]",Submission!$O:$O,Submission!$H:$N,""))</f>
        <v>Tier 3</v>
      </c>
      <c r="H1042" s="240" t="str">
        <f>_xlfn.CONCAT(_xlfn.XLOOKUP("[S05_CategoryCHighestTierNotApplied][6][TierInPractice]",Submission!$O:$O,Submission!$H:$N,""))</f>
        <v>Tier 1</v>
      </c>
      <c r="I1042" s="242"/>
    </row>
    <row r="1043" spans="1:9" ht="24.6" customHeight="1" x14ac:dyDescent="0.3">
      <c r="B1043" s="34"/>
      <c r="C1043" s="72" t="str">
        <f>_xlfn.CONCAT(_xlfn.XLOOKUP("[S05_CategoryCHighestTierNotApplied][7][InstallationID]",Submission!$O:$O,Submission!$H:$N,""))</f>
        <v>82</v>
      </c>
      <c r="D1043" s="72" t="str">
        <f>_xlfn.CONCAT(_xlfn.XLOOKUP("[S05_CategoryCHighestTierNotApplied][7][SourceStreamAffected]",Submission!$O:$O,Submission!$H:$N,""))</f>
        <v>Flare gas</v>
      </c>
      <c r="E1043" s="72" t="str">
        <f>_xlfn.CONCAT(_xlfn.XLOOKUP("[S05_CategoryCHighestTierNotApplied][7][EmissionSourceAffected]",Submission!$O:$O,Submission!$H:$N,""))</f>
        <v/>
      </c>
      <c r="F1043" s="72" t="str">
        <f>_xlfn.CONCAT(_xlfn.XLOOKUP("[S05_CategoryCHighestTierNotApplied][7][MonitoringParameterAffected]",Submission!$O:$O,Submission!$H:$N,""))</f>
        <v>Emission factor</v>
      </c>
      <c r="G1043" s="89" t="str">
        <f>_xlfn.CONCAT(_xlfn.XLOOKUP("[S05_CategoryCHighestTierNotApplied][7][HighestTierRequired]",Submission!$O:$O,Submission!$H:$N,""))</f>
        <v>Tier 3</v>
      </c>
      <c r="H1043" s="240" t="str">
        <f>_xlfn.CONCAT(_xlfn.XLOOKUP("[S05_CategoryCHighestTierNotApplied][7][TierInPractice]",Submission!$O:$O,Submission!$H:$N,""))</f>
        <v>Tier 2a</v>
      </c>
      <c r="I1043" s="242"/>
    </row>
    <row r="1044" spans="1:9" ht="24.6" customHeight="1" x14ac:dyDescent="0.3">
      <c r="B1044" s="34"/>
      <c r="C1044" s="72" t="str">
        <f>_xlfn.CONCAT(_xlfn.XLOOKUP("[S05_CategoryCHighestTierNotApplied][8][InstallationID]",Submission!$O:$O,Submission!$H:$N,""))</f>
        <v>82</v>
      </c>
      <c r="D1044" s="72" t="str">
        <f>_xlfn.CONCAT(_xlfn.XLOOKUP("[S05_CategoryCHighestTierNotApplied][8][SourceStreamAffected]",Submission!$O:$O,Submission!$H:$N,""))</f>
        <v>Flare gas</v>
      </c>
      <c r="E1044" s="72" t="str">
        <f>_xlfn.CONCAT(_xlfn.XLOOKUP("[S05_CategoryCHighestTierNotApplied][8][EmissionSourceAffected]",Submission!$O:$O,Submission!$H:$N,""))</f>
        <v/>
      </c>
      <c r="F1044" s="72" t="str">
        <f>_xlfn.CONCAT(_xlfn.XLOOKUP("[S05_CategoryCHighestTierNotApplied][8][MonitoringParameterAffected]",Submission!$O:$O,Submission!$H:$N,""))</f>
        <v>Net calorific value</v>
      </c>
      <c r="G1044" s="89" t="str">
        <f>_xlfn.CONCAT(_xlfn.XLOOKUP("[S05_CategoryCHighestTierNotApplied][8][HighestTierRequired]",Submission!$O:$O,Submission!$H:$N,""))</f>
        <v>Tier 3</v>
      </c>
      <c r="H1044" s="240" t="str">
        <f>_xlfn.CONCAT(_xlfn.XLOOKUP("[S05_CategoryCHighestTierNotApplied][8][TierInPractice]",Submission!$O:$O,Submission!$H:$N,""))</f>
        <v>Tier 2a</v>
      </c>
      <c r="I1044" s="242"/>
    </row>
    <row r="1045" spans="1:9" ht="24.6" customHeight="1" x14ac:dyDescent="0.3">
      <c r="A1045" s="13"/>
      <c r="B1045" s="34"/>
      <c r="C1045" s="72" t="str">
        <f>_xlfn.CONCAT(_xlfn.XLOOKUP("[S05_CategoryCHighestTierNotApplied][9][InstallationID]",Submission!$O:$O,Submission!$H:$N,""))</f>
        <v>82</v>
      </c>
      <c r="D1045" s="72" t="str">
        <f>_xlfn.CONCAT(_xlfn.XLOOKUP("[S05_CategoryCHighestTierNotApplied][9][SourceStreamAffected]",Submission!$O:$O,Submission!$H:$N,""))</f>
        <v>Flare gas</v>
      </c>
      <c r="E1045" s="72" t="str">
        <f>_xlfn.CONCAT(_xlfn.XLOOKUP("[S05_CategoryCHighestTierNotApplied][9][EmissionSourceAffected]",Submission!$O:$O,Submission!$H:$N,""))</f>
        <v/>
      </c>
      <c r="F1045" s="72" t="str">
        <f>_xlfn.CONCAT(_xlfn.XLOOKUP("[S05_CategoryCHighestTierNotApplied][9][MonitoringParameterAffected]",Submission!$O:$O,Submission!$H:$N,""))</f>
        <v>Emission factor</v>
      </c>
      <c r="G1045" s="89" t="str">
        <f>_xlfn.CONCAT(_xlfn.XLOOKUP("[S05_CategoryCHighestTierNotApplied][9][HighestTierRequired]",Submission!$O:$O,Submission!$H:$N,""))</f>
        <v>Tier 3</v>
      </c>
      <c r="H1045" s="240" t="str">
        <f>_xlfn.CONCAT(_xlfn.XLOOKUP("[S05_CategoryCHighestTierNotApplied][9][TierInPractice]",Submission!$O:$O,Submission!$H:$N,""))</f>
        <v>Tier 2b</v>
      </c>
      <c r="I1045" s="242"/>
    </row>
    <row r="1046" spans="1:9" ht="24.6" customHeight="1" x14ac:dyDescent="0.3">
      <c r="A1046" s="13"/>
      <c r="B1046" s="34"/>
      <c r="C1046" s="72" t="str">
        <f>_xlfn.CONCAT(_xlfn.XLOOKUP("[S05_CategoryCHighestTierNotApplied][10][InstallationID]",Submission!$O:$O,Submission!$H:$N,""))</f>
        <v>82</v>
      </c>
      <c r="D1046" s="72" t="str">
        <f>_xlfn.CONCAT(_xlfn.XLOOKUP("[S05_CategoryCHighestTierNotApplied][10][SourceStreamAffected]",Submission!$O:$O,Submission!$H:$N,""))</f>
        <v>Flare gas</v>
      </c>
      <c r="E1046" s="72" t="str">
        <f>_xlfn.CONCAT(_xlfn.XLOOKUP("[S05_CategoryCHighestTierNotApplied][10][EmissionSourceAffected]",Submission!$O:$O,Submission!$H:$N,""))</f>
        <v/>
      </c>
      <c r="F1046" s="72" t="str">
        <f>_xlfn.CONCAT(_xlfn.XLOOKUP("[S05_CategoryCHighestTierNotApplied][10][MonitoringParameterAffected]",Submission!$O:$O,Submission!$H:$N,""))</f>
        <v>Emission factor</v>
      </c>
      <c r="G1046" s="89" t="str">
        <f>_xlfn.CONCAT(_xlfn.XLOOKUP("[S05_CategoryCHighestTierNotApplied][10][HighestTierRequired]",Submission!$O:$O,Submission!$H:$N,""))</f>
        <v>Tier 3</v>
      </c>
      <c r="H1046" s="240" t="str">
        <f>_xlfn.CONCAT(_xlfn.XLOOKUP("[S05_CategoryCHighestTierNotApplied][10][TierInPractice]",Submission!$O:$O,Submission!$H:$N,""))</f>
        <v>Tier 2b</v>
      </c>
      <c r="I1046" s="242"/>
    </row>
    <row r="1047" spans="1:9" ht="24.6" customHeight="1" x14ac:dyDescent="0.3">
      <c r="B1047" s="34"/>
      <c r="C1047" s="72" t="str">
        <f>_xlfn.CONCAT(_xlfn.XLOOKUP("[S05_CategoryCHighestTierNotApplied][11][InstallationID]",Submission!$O:$O,Submission!$H:$N,""))</f>
        <v>82</v>
      </c>
      <c r="D1047" s="72" t="str">
        <f>_xlfn.CONCAT(_xlfn.XLOOKUP("[S05_CategoryCHighestTierNotApplied][11][SourceStreamAffected]",Submission!$O:$O,Submission!$H:$N,""))</f>
        <v>Flare gas</v>
      </c>
      <c r="E1047" s="72" t="str">
        <f>_xlfn.CONCAT(_xlfn.XLOOKUP("[S05_CategoryCHighestTierNotApplied][11][EmissionSourceAffected]",Submission!$O:$O,Submission!$H:$N,""))</f>
        <v/>
      </c>
      <c r="F1047" s="72" t="str">
        <f>_xlfn.CONCAT(_xlfn.XLOOKUP("[S05_CategoryCHighestTierNotApplied][11][MonitoringParameterAffected]",Submission!$O:$O,Submission!$H:$N,""))</f>
        <v>Emission factor</v>
      </c>
      <c r="G1047" s="89" t="str">
        <f>_xlfn.CONCAT(_xlfn.XLOOKUP("[S05_CategoryCHighestTierNotApplied][11][HighestTierRequired]",Submission!$O:$O,Submission!$H:$N,""))</f>
        <v>Tier 3</v>
      </c>
      <c r="H1047" s="240" t="str">
        <f>_xlfn.CONCAT(_xlfn.XLOOKUP("[S05_CategoryCHighestTierNotApplied][11][TierInPractice]",Submission!$O:$O,Submission!$H:$N,""))</f>
        <v>Tier 2b</v>
      </c>
      <c r="I1047" s="242"/>
    </row>
    <row r="1048" spans="1:9" ht="24.6" customHeight="1" x14ac:dyDescent="0.3">
      <c r="A1048" s="13"/>
      <c r="B1048" s="34"/>
      <c r="C1048" s="72" t="str">
        <f>_xlfn.CONCAT(_xlfn.XLOOKUP("[S05_CategoryCHighestTierNotApplied][12][InstallationID]",Submission!$O:$O,Submission!$H:$N,""))</f>
        <v>82</v>
      </c>
      <c r="D1048" s="72" t="str">
        <f>_xlfn.CONCAT(_xlfn.XLOOKUP("[S05_CategoryCHighestTierNotApplied][12][SourceStreamAffected]",Submission!$O:$O,Submission!$H:$N,""))</f>
        <v>Flare gas</v>
      </c>
      <c r="E1048" s="72" t="str">
        <f>_xlfn.CONCAT(_xlfn.XLOOKUP("[S05_CategoryCHighestTierNotApplied][12][EmissionSourceAffected]",Submission!$O:$O,Submission!$H:$N,""))</f>
        <v/>
      </c>
      <c r="F1048" s="72" t="str">
        <f>_xlfn.CONCAT(_xlfn.XLOOKUP("[S05_CategoryCHighestTierNotApplied][12][MonitoringParameterAffected]",Submission!$O:$O,Submission!$H:$N,""))</f>
        <v>Net calorific value</v>
      </c>
      <c r="G1048" s="89" t="str">
        <f>_xlfn.CONCAT(_xlfn.XLOOKUP("[S05_CategoryCHighestTierNotApplied][12][HighestTierRequired]",Submission!$O:$O,Submission!$H:$N,""))</f>
        <v>Tier 3</v>
      </c>
      <c r="H1048" s="240" t="str">
        <f>_xlfn.CONCAT(_xlfn.XLOOKUP("[S05_CategoryCHighestTierNotApplied][12][TierInPractice]",Submission!$O:$O,Submission!$H:$N,""))</f>
        <v>Tier 2b</v>
      </c>
      <c r="I1048" s="242"/>
    </row>
    <row r="1049" spans="1:9" ht="24.6" customHeight="1" x14ac:dyDescent="0.3">
      <c r="A1049" s="13"/>
      <c r="B1049" s="34"/>
      <c r="C1049" s="72" t="str">
        <f>_xlfn.CONCAT(_xlfn.XLOOKUP("[S05_CategoryCHighestTierNotApplied][13][InstallationID]",Submission!$O:$O,Submission!$H:$N,""))</f>
        <v>82</v>
      </c>
      <c r="D1049" s="72" t="str">
        <f>_xlfn.CONCAT(_xlfn.XLOOKUP("[S05_CategoryCHighestTierNotApplied][13][SourceStreamAffected]",Submission!$O:$O,Submission!$H:$N,""))</f>
        <v>Flare gas</v>
      </c>
      <c r="E1049" s="72" t="str">
        <f>_xlfn.CONCAT(_xlfn.XLOOKUP("[S05_CategoryCHighestTierNotApplied][13][EmissionSourceAffected]",Submission!$O:$O,Submission!$H:$N,""))</f>
        <v/>
      </c>
      <c r="F1049" s="72" t="str">
        <f>_xlfn.CONCAT(_xlfn.XLOOKUP("[S05_CategoryCHighestTierNotApplied][13][MonitoringParameterAffected]",Submission!$O:$O,Submission!$H:$N,""))</f>
        <v>Net calorific value</v>
      </c>
      <c r="G1049" s="89" t="str">
        <f>_xlfn.CONCAT(_xlfn.XLOOKUP("[S05_CategoryCHighestTierNotApplied][13][HighestTierRequired]",Submission!$O:$O,Submission!$H:$N,""))</f>
        <v>Tier 3</v>
      </c>
      <c r="H1049" s="240" t="str">
        <f>_xlfn.CONCAT(_xlfn.XLOOKUP("[S05_CategoryCHighestTierNotApplied][13][TierInPractice]",Submission!$O:$O,Submission!$H:$N,""))</f>
        <v>Tier 2b</v>
      </c>
      <c r="I1049" s="242"/>
    </row>
    <row r="1050" spans="1:9" ht="24.6" customHeight="1" x14ac:dyDescent="0.3">
      <c r="A1050" s="13"/>
      <c r="B1050" s="34"/>
      <c r="C1050" s="72" t="str">
        <f>_xlfn.CONCAT(_xlfn.XLOOKUP("[S05_CategoryCHighestTierNotApplied][14][InstallationID]",Submission!$O:$O,Submission!$H:$N,""))</f>
        <v>82</v>
      </c>
      <c r="D1050" s="72" t="str">
        <f>_xlfn.CONCAT(_xlfn.XLOOKUP("[S05_CategoryCHighestTierNotApplied][14][SourceStreamAffected]",Submission!$O:$O,Submission!$H:$N,""))</f>
        <v>Flare gas</v>
      </c>
      <c r="E1050" s="72" t="str">
        <f>_xlfn.CONCAT(_xlfn.XLOOKUP("[S05_CategoryCHighestTierNotApplied][14][EmissionSourceAffected]",Submission!$O:$O,Submission!$H:$N,""))</f>
        <v/>
      </c>
      <c r="F1050" s="72" t="str">
        <f>_xlfn.CONCAT(_xlfn.XLOOKUP("[S05_CategoryCHighestTierNotApplied][14][MonitoringParameterAffected]",Submission!$O:$O,Submission!$H:$N,""))</f>
        <v>Net calorific value</v>
      </c>
      <c r="G1050" s="89" t="str">
        <f>_xlfn.CONCAT(_xlfn.XLOOKUP("[S05_CategoryCHighestTierNotApplied][14][HighestTierRequired]",Submission!$O:$O,Submission!$H:$N,""))</f>
        <v>Tier 3</v>
      </c>
      <c r="H1050" s="240" t="str">
        <f>_xlfn.CONCAT(_xlfn.XLOOKUP("[S05_CategoryCHighestTierNotApplied][14][TierInPractice]",Submission!$O:$O,Submission!$H:$N,""))</f>
        <v>Tier 2b</v>
      </c>
      <c r="I1050" s="242"/>
    </row>
    <row r="1051" spans="1:9" ht="24.6" hidden="1" customHeight="1" outlineLevel="1" x14ac:dyDescent="0.3">
      <c r="A1051" s="13"/>
      <c r="B1051" s="34"/>
      <c r="C1051" s="72" t="str">
        <f>_xlfn.CONCAT(_xlfn.XLOOKUP("[S05_CategoryCHighestTierNotApplied][15][InstallationID]",Submission!$O:$O,Submission!$H:$N,""))</f>
        <v>83</v>
      </c>
      <c r="D1051" s="72" t="str">
        <f>_xlfn.CONCAT(_xlfn.XLOOKUP("[S05_CategoryCHighestTierNotApplied][15][SourceStreamAffected]",Submission!$O:$O,Submission!$H:$N,""))</f>
        <v>Flare gas</v>
      </c>
      <c r="E1051" s="72" t="str">
        <f>_xlfn.CONCAT(_xlfn.XLOOKUP("[S05_CategoryCHighestTierNotApplied][15][EmissionSourceAffected]",Submission!$O:$O,Submission!$H:$N,""))</f>
        <v/>
      </c>
      <c r="F1051" s="72" t="str">
        <f>_xlfn.CONCAT(_xlfn.XLOOKUP("[S05_CategoryCHighestTierNotApplied][15][MonitoringParameterAffected]",Submission!$O:$O,Submission!$H:$N,""))</f>
        <v>Emission factor</v>
      </c>
      <c r="G1051" s="89" t="str">
        <f>_xlfn.CONCAT(_xlfn.XLOOKUP("[S05_CategoryCHighestTierNotApplied][15][HighestTierRequired]",Submission!$O:$O,Submission!$H:$N,""))</f>
        <v>Tier 3</v>
      </c>
      <c r="H1051" s="240" t="str">
        <f>_xlfn.CONCAT(_xlfn.XLOOKUP("[S05_CategoryCHighestTierNotApplied][15][TierInPractice]",Submission!$O:$O,Submission!$H:$N,""))</f>
        <v>Tier 2b</v>
      </c>
      <c r="I1051" s="242"/>
    </row>
    <row r="1052" spans="1:9" ht="24.6" hidden="1" customHeight="1" outlineLevel="1" x14ac:dyDescent="0.3">
      <c r="B1052" s="34"/>
      <c r="C1052" s="72" t="str">
        <f>_xlfn.CONCAT(_xlfn.XLOOKUP("[S05_CategoryCHighestTierNotApplied][16][InstallationID]",Submission!$O:$O,Submission!$H:$N,""))</f>
        <v>83</v>
      </c>
      <c r="D1052" s="72" t="str">
        <f>_xlfn.CONCAT(_xlfn.XLOOKUP("[S05_CategoryCHighestTierNotApplied][16][SourceStreamAffected]",Submission!$O:$O,Submission!$H:$N,""))</f>
        <v>Flare gas</v>
      </c>
      <c r="E1052" s="72" t="str">
        <f>_xlfn.CONCAT(_xlfn.XLOOKUP("[S05_CategoryCHighestTierNotApplied][16][EmissionSourceAffected]",Submission!$O:$O,Submission!$H:$N,""))</f>
        <v/>
      </c>
      <c r="F1052" s="72" t="str">
        <f>_xlfn.CONCAT(_xlfn.XLOOKUP("[S05_CategoryCHighestTierNotApplied][16][MonitoringParameterAffected]",Submission!$O:$O,Submission!$H:$N,""))</f>
        <v>Emission factor</v>
      </c>
      <c r="G1052" s="89" t="str">
        <f>_xlfn.CONCAT(_xlfn.XLOOKUP("[S05_CategoryCHighestTierNotApplied][16][HighestTierRequired]",Submission!$O:$O,Submission!$H:$N,""))</f>
        <v>Tier 3</v>
      </c>
      <c r="H1052" s="240" t="str">
        <f>_xlfn.CONCAT(_xlfn.XLOOKUP("[S05_CategoryCHighestTierNotApplied][16][TierInPractice]",Submission!$O:$O,Submission!$H:$N,""))</f>
        <v>Tier 2b</v>
      </c>
      <c r="I1052" s="242"/>
    </row>
    <row r="1053" spans="1:9" ht="24.6" hidden="1" customHeight="1" outlineLevel="1" x14ac:dyDescent="0.3">
      <c r="B1053" s="34"/>
      <c r="C1053" s="72" t="str">
        <f>_xlfn.CONCAT(_xlfn.XLOOKUP("[S05_CategoryCHighestTierNotApplied][17][InstallationID]",Submission!$O:$O,Submission!$H:$N,""))</f>
        <v>83</v>
      </c>
      <c r="D1053" s="72" t="str">
        <f>_xlfn.CONCAT(_xlfn.XLOOKUP("[S05_CategoryCHighestTierNotApplied][17][SourceStreamAffected]",Submission!$O:$O,Submission!$H:$N,""))</f>
        <v>Flare gas</v>
      </c>
      <c r="E1053" s="72" t="str">
        <f>_xlfn.CONCAT(_xlfn.XLOOKUP("[S05_CategoryCHighestTierNotApplied][17][EmissionSourceAffected]",Submission!$O:$O,Submission!$H:$N,""))</f>
        <v/>
      </c>
      <c r="F1053" s="72" t="str">
        <f>_xlfn.CONCAT(_xlfn.XLOOKUP("[S05_CategoryCHighestTierNotApplied][17][MonitoringParameterAffected]",Submission!$O:$O,Submission!$H:$N,""))</f>
        <v>Emission factor</v>
      </c>
      <c r="G1053" s="89" t="str">
        <f>_xlfn.CONCAT(_xlfn.XLOOKUP("[S05_CategoryCHighestTierNotApplied][17][HighestTierRequired]",Submission!$O:$O,Submission!$H:$N,""))</f>
        <v>Tier 3</v>
      </c>
      <c r="H1053" s="240" t="str">
        <f>_xlfn.CONCAT(_xlfn.XLOOKUP("[S05_CategoryCHighestTierNotApplied][17][TierInPractice]",Submission!$O:$O,Submission!$H:$N,""))</f>
        <v>Tier 2b</v>
      </c>
      <c r="I1053" s="242"/>
    </row>
    <row r="1054" spans="1:9" ht="24.6" hidden="1" customHeight="1" outlineLevel="1" x14ac:dyDescent="0.3">
      <c r="A1054" s="13"/>
      <c r="B1054" s="34"/>
      <c r="C1054" s="72" t="str">
        <f>_xlfn.CONCAT(_xlfn.XLOOKUP("[S05_CategoryCHighestTierNotApplied][18][InstallationID]",Submission!$O:$O,Submission!$H:$N,""))</f>
        <v>83</v>
      </c>
      <c r="D1054" s="72" t="str">
        <f>_xlfn.CONCAT(_xlfn.XLOOKUP("[S05_CategoryCHighestTierNotApplied][18][SourceStreamAffected]",Submission!$O:$O,Submission!$H:$N,""))</f>
        <v>Flare gas</v>
      </c>
      <c r="E1054" s="72" t="str">
        <f>_xlfn.CONCAT(_xlfn.XLOOKUP("[S05_CategoryCHighestTierNotApplied][18][EmissionSourceAffected]",Submission!$O:$O,Submission!$H:$N,""))</f>
        <v/>
      </c>
      <c r="F1054" s="72" t="str">
        <f>_xlfn.CONCAT(_xlfn.XLOOKUP("[S05_CategoryCHighestTierNotApplied][18][MonitoringParameterAffected]",Submission!$O:$O,Submission!$H:$N,""))</f>
        <v>Net calorific value</v>
      </c>
      <c r="G1054" s="89" t="str">
        <f>_xlfn.CONCAT(_xlfn.XLOOKUP("[S05_CategoryCHighestTierNotApplied][18][HighestTierRequired]",Submission!$O:$O,Submission!$H:$N,""))</f>
        <v>Tier 3</v>
      </c>
      <c r="H1054" s="240" t="str">
        <f>_xlfn.CONCAT(_xlfn.XLOOKUP("[S05_CategoryCHighestTierNotApplied][18][TierInPractice]",Submission!$O:$O,Submission!$H:$N,""))</f>
        <v>Tier 2b</v>
      </c>
      <c r="I1054" s="242"/>
    </row>
    <row r="1055" spans="1:9" ht="24.6" hidden="1" customHeight="1" outlineLevel="1" x14ac:dyDescent="0.3">
      <c r="B1055" s="34"/>
      <c r="C1055" s="72" t="str">
        <f>_xlfn.CONCAT(_xlfn.XLOOKUP("[S05_CategoryCHighestTierNotApplied][19][InstallationID]",Submission!$O:$O,Submission!$H:$N,""))</f>
        <v>83</v>
      </c>
      <c r="D1055" s="72" t="str">
        <f>_xlfn.CONCAT(_xlfn.XLOOKUP("[S05_CategoryCHighestTierNotApplied][19][SourceStreamAffected]",Submission!$O:$O,Submission!$H:$N,""))</f>
        <v>Flare gas</v>
      </c>
      <c r="E1055" s="72" t="str">
        <f>_xlfn.CONCAT(_xlfn.XLOOKUP("[S05_CategoryCHighestTierNotApplied][19][EmissionSourceAffected]",Submission!$O:$O,Submission!$H:$N,""))</f>
        <v/>
      </c>
      <c r="F1055" s="72" t="str">
        <f>_xlfn.CONCAT(_xlfn.XLOOKUP("[S05_CategoryCHighestTierNotApplied][19][MonitoringParameterAffected]",Submission!$O:$O,Submission!$H:$N,""))</f>
        <v>Net calorific value</v>
      </c>
      <c r="G1055" s="89" t="str">
        <f>_xlfn.CONCAT(_xlfn.XLOOKUP("[S05_CategoryCHighestTierNotApplied][19][HighestTierRequired]",Submission!$O:$O,Submission!$H:$N,""))</f>
        <v>Tier 3</v>
      </c>
      <c r="H1055" s="240" t="str">
        <f>_xlfn.CONCAT(_xlfn.XLOOKUP("[S05_CategoryCHighestTierNotApplied][19][TierInPractice]",Submission!$O:$O,Submission!$H:$N,""))</f>
        <v>Tier 2b</v>
      </c>
      <c r="I1055" s="242"/>
    </row>
    <row r="1056" spans="1:9" ht="24.6" hidden="1" customHeight="1" outlineLevel="1" x14ac:dyDescent="0.3">
      <c r="B1056" s="34"/>
      <c r="C1056" s="72" t="str">
        <f>_xlfn.CONCAT(_xlfn.XLOOKUP("[S05_CategoryCHighestTierNotApplied][20][InstallationID]",Submission!$O:$O,Submission!$H:$N,""))</f>
        <v>83</v>
      </c>
      <c r="D1056" s="72" t="str">
        <f>_xlfn.CONCAT(_xlfn.XLOOKUP("[S05_CategoryCHighestTierNotApplied][20][SourceStreamAffected]",Submission!$O:$O,Submission!$H:$N,""))</f>
        <v>Flare gas</v>
      </c>
      <c r="E1056" s="72" t="str">
        <f>_xlfn.CONCAT(_xlfn.XLOOKUP("[S05_CategoryCHighestTierNotApplied][20][EmissionSourceAffected]",Submission!$O:$O,Submission!$H:$N,""))</f>
        <v/>
      </c>
      <c r="F1056" s="72" t="str">
        <f>_xlfn.CONCAT(_xlfn.XLOOKUP("[S05_CategoryCHighestTierNotApplied][20][MonitoringParameterAffected]",Submission!$O:$O,Submission!$H:$N,""))</f>
        <v>Net calorific value</v>
      </c>
      <c r="G1056" s="89" t="str">
        <f>_xlfn.CONCAT(_xlfn.XLOOKUP("[S05_CategoryCHighestTierNotApplied][20][HighestTierRequired]",Submission!$O:$O,Submission!$H:$N,""))</f>
        <v>Tier 3</v>
      </c>
      <c r="H1056" s="240" t="str">
        <f>_xlfn.CONCAT(_xlfn.XLOOKUP("[S05_CategoryCHighestTierNotApplied][20][TierInPractice]",Submission!$O:$O,Submission!$H:$N,""))</f>
        <v>Tier 2b</v>
      </c>
      <c r="I1056" s="242"/>
    </row>
    <row r="1057" spans="1:9" ht="24.6" hidden="1" customHeight="1" outlineLevel="1" x14ac:dyDescent="0.3">
      <c r="B1057" s="34"/>
      <c r="C1057" s="72" t="str">
        <f>_xlfn.CONCAT(_xlfn.XLOOKUP("[S05_CategoryCHighestTierNotApplied][21][InstallationID]",Submission!$O:$O,Submission!$H:$N,""))</f>
        <v>83</v>
      </c>
      <c r="D1057" s="72" t="str">
        <f>_xlfn.CONCAT(_xlfn.XLOOKUP("[S05_CategoryCHighestTierNotApplied][21][SourceStreamAffected]",Submission!$O:$O,Submission!$H:$N,""))</f>
        <v>Fuel gas</v>
      </c>
      <c r="E1057" s="72" t="str">
        <f>_xlfn.CONCAT(_xlfn.XLOOKUP("[S05_CategoryCHighestTierNotApplied][21][EmissionSourceAffected]",Submission!$O:$O,Submission!$H:$N,""))</f>
        <v/>
      </c>
      <c r="F1057" s="72" t="str">
        <f>_xlfn.CONCAT(_xlfn.XLOOKUP("[S05_CategoryCHighestTierNotApplied][21][MonitoringParameterAffected]",Submission!$O:$O,Submission!$H:$N,""))</f>
        <v>Emission factor</v>
      </c>
      <c r="G1057" s="89" t="str">
        <f>_xlfn.CONCAT(_xlfn.XLOOKUP("[S05_CategoryCHighestTierNotApplied][21][HighestTierRequired]",Submission!$O:$O,Submission!$H:$N,""))</f>
        <v>Tier 3</v>
      </c>
      <c r="H1057" s="240" t="str">
        <f>_xlfn.CONCAT(_xlfn.XLOOKUP("[S05_CategoryCHighestTierNotApplied][21][TierInPractice]",Submission!$O:$O,Submission!$H:$N,""))</f>
        <v>Tier 2b</v>
      </c>
      <c r="I1057" s="242"/>
    </row>
    <row r="1058" spans="1:9" ht="24.6" hidden="1" customHeight="1" outlineLevel="1" x14ac:dyDescent="0.3">
      <c r="B1058" s="34"/>
      <c r="C1058" s="72" t="str">
        <f>_xlfn.CONCAT(_xlfn.XLOOKUP("[S05_CategoryCHighestTierNotApplied][22][InstallationID]",Submission!$O:$O,Submission!$H:$N,""))</f>
        <v>83</v>
      </c>
      <c r="D1058" s="72" t="str">
        <f>_xlfn.CONCAT(_xlfn.XLOOKUP("[S05_CategoryCHighestTierNotApplied][22][SourceStreamAffected]",Submission!$O:$O,Submission!$H:$N,""))</f>
        <v>Fuel gas</v>
      </c>
      <c r="E1058" s="72" t="str">
        <f>_xlfn.CONCAT(_xlfn.XLOOKUP("[S05_CategoryCHighestTierNotApplied][22][EmissionSourceAffected]",Submission!$O:$O,Submission!$H:$N,""))</f>
        <v/>
      </c>
      <c r="F1058" s="72" t="str">
        <f>_xlfn.CONCAT(_xlfn.XLOOKUP("[S05_CategoryCHighestTierNotApplied][22][MonitoringParameterAffected]",Submission!$O:$O,Submission!$H:$N,""))</f>
        <v>Net calorific value</v>
      </c>
      <c r="G1058" s="89" t="str">
        <f>_xlfn.CONCAT(_xlfn.XLOOKUP("[S05_CategoryCHighestTierNotApplied][22][HighestTierRequired]",Submission!$O:$O,Submission!$H:$N,""))</f>
        <v>Tier 3</v>
      </c>
      <c r="H1058" s="240" t="str">
        <f>_xlfn.CONCAT(_xlfn.XLOOKUP("[S05_CategoryCHighestTierNotApplied][22][TierInPractice]",Submission!$O:$O,Submission!$H:$N,""))</f>
        <v>Tier 2b</v>
      </c>
      <c r="I1058" s="242"/>
    </row>
    <row r="1059" spans="1:9" ht="24.6" hidden="1" customHeight="1" outlineLevel="1" x14ac:dyDescent="0.3">
      <c r="B1059" s="34"/>
      <c r="C1059" s="72" t="str">
        <f>_xlfn.CONCAT(_xlfn.XLOOKUP("[S05_CategoryCHighestTierNotApplied][23][InstallationID]",Submission!$O:$O,Submission!$H:$N,""))</f>
        <v>83</v>
      </c>
      <c r="D1059" s="72" t="str">
        <f>_xlfn.CONCAT(_xlfn.XLOOKUP("[S05_CategoryCHighestTierNotApplied][23][SourceStreamAffected]",Submission!$O:$O,Submission!$H:$N,""))</f>
        <v>Diesel</v>
      </c>
      <c r="E1059" s="72" t="str">
        <f>_xlfn.CONCAT(_xlfn.XLOOKUP("[S05_CategoryCHighestTierNotApplied][23][EmissionSourceAffected]",Submission!$O:$O,Submission!$H:$N,""))</f>
        <v/>
      </c>
      <c r="F1059" s="72" t="str">
        <f>_xlfn.CONCAT(_xlfn.XLOOKUP("[S05_CategoryCHighestTierNotApplied][23][MonitoringParameterAffected]",Submission!$O:$O,Submission!$H:$N,""))</f>
        <v>Quantity of fuel</v>
      </c>
      <c r="G1059" s="89" t="str">
        <f>_xlfn.CONCAT(_xlfn.XLOOKUP("[S05_CategoryCHighestTierNotApplied][23][HighestTierRequired]",Submission!$O:$O,Submission!$H:$N,""))</f>
        <v>Tier 4</v>
      </c>
      <c r="H1059" s="240" t="str">
        <f>_xlfn.CONCAT(_xlfn.XLOOKUP("[S05_CategoryCHighestTierNotApplied][23][TierInPractice]",Submission!$O:$O,Submission!$H:$N,""))</f>
        <v>Tier 2</v>
      </c>
      <c r="I1059" s="242"/>
    </row>
    <row r="1060" spans="1:9" ht="24.6" hidden="1" customHeight="1" outlineLevel="1" x14ac:dyDescent="0.3">
      <c r="A1060" s="13"/>
      <c r="B1060" s="34"/>
      <c r="C1060" s="72" t="str">
        <f>_xlfn.CONCAT(_xlfn.XLOOKUP("[S05_CategoryCHighestTierNotApplied][24][InstallationID]",Submission!$O:$O,Submission!$H:$N,""))</f>
        <v>85</v>
      </c>
      <c r="D1060" s="72" t="str">
        <f>_xlfn.CONCAT(_xlfn.XLOOKUP("[S05_CategoryCHighestTierNotApplied][24][SourceStreamAffected]",Submission!$O:$O,Submission!$H:$N,""))</f>
        <v>Flare gas</v>
      </c>
      <c r="E1060" s="72" t="str">
        <f>_xlfn.CONCAT(_xlfn.XLOOKUP("[S05_CategoryCHighestTierNotApplied][24][EmissionSourceAffected]",Submission!$O:$O,Submission!$H:$N,""))</f>
        <v/>
      </c>
      <c r="F1060" s="72" t="str">
        <f>_xlfn.CONCAT(_xlfn.XLOOKUP("[S05_CategoryCHighestTierNotApplied][24][MonitoringParameterAffected]",Submission!$O:$O,Submission!$H:$N,""))</f>
        <v>Net calorific value</v>
      </c>
      <c r="G1060" s="89" t="str">
        <f>_xlfn.CONCAT(_xlfn.XLOOKUP("[S05_CategoryCHighestTierNotApplied][24][HighestTierRequired]",Submission!$O:$O,Submission!$H:$N,""))</f>
        <v>Tier 3</v>
      </c>
      <c r="H1060" s="240" t="str">
        <f>_xlfn.CONCAT(_xlfn.XLOOKUP("[S05_CategoryCHighestTierNotApplied][24][TierInPractice]",Submission!$O:$O,Submission!$H:$N,""))</f>
        <v>Tier 2b</v>
      </c>
      <c r="I1060" s="242"/>
    </row>
    <row r="1061" spans="1:9" ht="24.6" hidden="1" customHeight="1" outlineLevel="1" x14ac:dyDescent="0.3">
      <c r="A1061" s="13"/>
      <c r="B1061" s="34"/>
      <c r="C1061" s="72" t="str">
        <f>_xlfn.CONCAT(_xlfn.XLOOKUP("[S05_CategoryCHighestTierNotApplied][25][InstallationID]",Submission!$O:$O,Submission!$H:$N,""))</f>
        <v>85</v>
      </c>
      <c r="D1061" s="72" t="str">
        <f>_xlfn.CONCAT(_xlfn.XLOOKUP("[S05_CategoryCHighestTierNotApplied][25][SourceStreamAffected]",Submission!$O:$O,Submission!$H:$N,""))</f>
        <v>Flare gas</v>
      </c>
      <c r="E1061" s="72" t="str">
        <f>_xlfn.CONCAT(_xlfn.XLOOKUP("[S05_CategoryCHighestTierNotApplied][25][EmissionSourceAffected]",Submission!$O:$O,Submission!$H:$N,""))</f>
        <v/>
      </c>
      <c r="F1061" s="72" t="str">
        <f>_xlfn.CONCAT(_xlfn.XLOOKUP("[S05_CategoryCHighestTierNotApplied][25][MonitoringParameterAffected]",Submission!$O:$O,Submission!$H:$N,""))</f>
        <v>Net calorific value</v>
      </c>
      <c r="G1061" s="89" t="str">
        <f>_xlfn.CONCAT(_xlfn.XLOOKUP("[S05_CategoryCHighestTierNotApplied][25][HighestTierRequired]",Submission!$O:$O,Submission!$H:$N,""))</f>
        <v>Tier 3</v>
      </c>
      <c r="H1061" s="240" t="str">
        <f>_xlfn.CONCAT(_xlfn.XLOOKUP("[S05_CategoryCHighestTierNotApplied][25][TierInPractice]",Submission!$O:$O,Submission!$H:$N,""))</f>
        <v>Tier 2b</v>
      </c>
      <c r="I1061" s="242"/>
    </row>
    <row r="1062" spans="1:9" ht="24.6" hidden="1" customHeight="1" outlineLevel="1" x14ac:dyDescent="0.3">
      <c r="B1062" s="34"/>
      <c r="C1062" s="72" t="str">
        <f>_xlfn.CONCAT(_xlfn.XLOOKUP("[S05_CategoryCHighestTierNotApplied][26][InstallationID]",Submission!$O:$O,Submission!$H:$N,""))</f>
        <v>85</v>
      </c>
      <c r="D1062" s="72" t="str">
        <f>_xlfn.CONCAT(_xlfn.XLOOKUP("[S05_CategoryCHighestTierNotApplied][26][SourceStreamAffected]",Submission!$O:$O,Submission!$H:$N,""))</f>
        <v>Flare gas</v>
      </c>
      <c r="E1062" s="72" t="str">
        <f>_xlfn.CONCAT(_xlfn.XLOOKUP("[S05_CategoryCHighestTierNotApplied][26][EmissionSourceAffected]",Submission!$O:$O,Submission!$H:$N,""))</f>
        <v/>
      </c>
      <c r="F1062" s="72" t="str">
        <f>_xlfn.CONCAT(_xlfn.XLOOKUP("[S05_CategoryCHighestTierNotApplied][26][MonitoringParameterAffected]",Submission!$O:$O,Submission!$H:$N,""))</f>
        <v>Net calorific value</v>
      </c>
      <c r="G1062" s="89" t="str">
        <f>_xlfn.CONCAT(_xlfn.XLOOKUP("[S05_CategoryCHighestTierNotApplied][26][HighestTierRequired]",Submission!$O:$O,Submission!$H:$N,""))</f>
        <v>Tier 3</v>
      </c>
      <c r="H1062" s="240" t="str">
        <f>_xlfn.CONCAT(_xlfn.XLOOKUP("[S05_CategoryCHighestTierNotApplied][26][TierInPractice]",Submission!$O:$O,Submission!$H:$N,""))</f>
        <v>Tier 2b</v>
      </c>
      <c r="I1062" s="242"/>
    </row>
    <row r="1063" spans="1:9" ht="24.6" hidden="1" customHeight="1" outlineLevel="1" x14ac:dyDescent="0.3">
      <c r="A1063" s="13"/>
      <c r="B1063" s="34"/>
      <c r="C1063" s="72" t="str">
        <f>_xlfn.CONCAT(_xlfn.XLOOKUP("[S05_CategoryCHighestTierNotApplied][27][InstallationID]",Submission!$O:$O,Submission!$H:$N,""))</f>
        <v>85</v>
      </c>
      <c r="D1063" s="72" t="str">
        <f>_xlfn.CONCAT(_xlfn.XLOOKUP("[S05_CategoryCHighestTierNotApplied][27][SourceStreamAffected]",Submission!$O:$O,Submission!$H:$N,""))</f>
        <v>Flare gas</v>
      </c>
      <c r="E1063" s="72" t="str">
        <f>_xlfn.CONCAT(_xlfn.XLOOKUP("[S05_CategoryCHighestTierNotApplied][27][EmissionSourceAffected]",Submission!$O:$O,Submission!$H:$N,""))</f>
        <v/>
      </c>
      <c r="F1063" s="72" t="str">
        <f>_xlfn.CONCAT(_xlfn.XLOOKUP("[S05_CategoryCHighestTierNotApplied][27][MonitoringParameterAffected]",Submission!$O:$O,Submission!$H:$N,""))</f>
        <v>Net calorific value</v>
      </c>
      <c r="G1063" s="89" t="str">
        <f>_xlfn.CONCAT(_xlfn.XLOOKUP("[S05_CategoryCHighestTierNotApplied][27][HighestTierRequired]",Submission!$O:$O,Submission!$H:$N,""))</f>
        <v>Tier 3</v>
      </c>
      <c r="H1063" s="240" t="str">
        <f>_xlfn.CONCAT(_xlfn.XLOOKUP("[S05_CategoryCHighestTierNotApplied][27][TierInPractice]",Submission!$O:$O,Submission!$H:$N,""))</f>
        <v>Tier 2b</v>
      </c>
      <c r="I1063" s="242"/>
    </row>
    <row r="1064" spans="1:9" ht="24.6" hidden="1" customHeight="1" outlineLevel="1" x14ac:dyDescent="0.3">
      <c r="A1064" s="13"/>
      <c r="B1064" s="34"/>
      <c r="C1064" s="72" t="str">
        <f>_xlfn.CONCAT(_xlfn.XLOOKUP("[S05_CategoryCHighestTierNotApplied][28][InstallationID]",Submission!$O:$O,Submission!$H:$N,""))</f>
        <v>85</v>
      </c>
      <c r="D1064" s="72" t="str">
        <f>_xlfn.CONCAT(_xlfn.XLOOKUP("[S05_CategoryCHighestTierNotApplied][28][SourceStreamAffected]",Submission!$O:$O,Submission!$H:$N,""))</f>
        <v>Flare gas</v>
      </c>
      <c r="E1064" s="72" t="str">
        <f>_xlfn.CONCAT(_xlfn.XLOOKUP("[S05_CategoryCHighestTierNotApplied][28][EmissionSourceAffected]",Submission!$O:$O,Submission!$H:$N,""))</f>
        <v/>
      </c>
      <c r="F1064" s="72" t="str">
        <f>_xlfn.CONCAT(_xlfn.XLOOKUP("[S05_CategoryCHighestTierNotApplied][28][MonitoringParameterAffected]",Submission!$O:$O,Submission!$H:$N,""))</f>
        <v>Net calorific value</v>
      </c>
      <c r="G1064" s="89" t="str">
        <f>_xlfn.CONCAT(_xlfn.XLOOKUP("[S05_CategoryCHighestTierNotApplied][28][HighestTierRequired]",Submission!$O:$O,Submission!$H:$N,""))</f>
        <v>Tier 3</v>
      </c>
      <c r="H1064" s="240" t="str">
        <f>_xlfn.CONCAT(_xlfn.XLOOKUP("[S05_CategoryCHighestTierNotApplied][28][TierInPractice]",Submission!$O:$O,Submission!$H:$N,""))</f>
        <v>Tier 2b</v>
      </c>
      <c r="I1064" s="242"/>
    </row>
    <row r="1065" spans="1:9" ht="24.6" hidden="1" customHeight="1" outlineLevel="1" x14ac:dyDescent="0.3">
      <c r="A1065" s="13"/>
      <c r="B1065" s="34"/>
      <c r="C1065" s="72" t="str">
        <f>_xlfn.CONCAT(_xlfn.XLOOKUP("[S05_CategoryCHighestTierNotApplied][29][InstallationID]",Submission!$O:$O,Submission!$H:$N,""))</f>
        <v>85</v>
      </c>
      <c r="D1065" s="72" t="str">
        <f>_xlfn.CONCAT(_xlfn.XLOOKUP("[S05_CategoryCHighestTierNotApplied][29][SourceStreamAffected]",Submission!$O:$O,Submission!$H:$N,""))</f>
        <v>Flare gas</v>
      </c>
      <c r="E1065" s="72" t="str">
        <f>_xlfn.CONCAT(_xlfn.XLOOKUP("[S05_CategoryCHighestTierNotApplied][29][EmissionSourceAffected]",Submission!$O:$O,Submission!$H:$N,""))</f>
        <v/>
      </c>
      <c r="F1065" s="72" t="str">
        <f>_xlfn.CONCAT(_xlfn.XLOOKUP("[S05_CategoryCHighestTierNotApplied][29][MonitoringParameterAffected]",Submission!$O:$O,Submission!$H:$N,""))</f>
        <v>Net calorific value</v>
      </c>
      <c r="G1065" s="89" t="str">
        <f>_xlfn.CONCAT(_xlfn.XLOOKUP("[S05_CategoryCHighestTierNotApplied][29][HighestTierRequired]",Submission!$O:$O,Submission!$H:$N,""))</f>
        <v>Tier 3</v>
      </c>
      <c r="H1065" s="240" t="str">
        <f>_xlfn.CONCAT(_xlfn.XLOOKUP("[S05_CategoryCHighestTierNotApplied][29][TierInPractice]",Submission!$O:$O,Submission!$H:$N,""))</f>
        <v>Tier 2b</v>
      </c>
      <c r="I1065" s="242"/>
    </row>
    <row r="1066" spans="1:9" ht="24.6" hidden="1" customHeight="1" outlineLevel="1" x14ac:dyDescent="0.3">
      <c r="A1066" s="13"/>
      <c r="B1066" s="34"/>
      <c r="C1066" s="72" t="str">
        <f>_xlfn.CONCAT(_xlfn.XLOOKUP("[S05_CategoryCHighestTierNotApplied][30][InstallationID]",Submission!$O:$O,Submission!$H:$N,""))</f>
        <v>85</v>
      </c>
      <c r="D1066" s="72" t="str">
        <f>_xlfn.CONCAT(_xlfn.XLOOKUP("[S05_CategoryCHighestTierNotApplied][30][SourceStreamAffected]",Submission!$O:$O,Submission!$H:$N,""))</f>
        <v>Flare gas</v>
      </c>
      <c r="E1066" s="72" t="str">
        <f>_xlfn.CONCAT(_xlfn.XLOOKUP("[S05_CategoryCHighestTierNotApplied][30][EmissionSourceAffected]",Submission!$O:$O,Submission!$H:$N,""))</f>
        <v/>
      </c>
      <c r="F1066" s="72" t="str">
        <f>_xlfn.CONCAT(_xlfn.XLOOKUP("[S05_CategoryCHighestTierNotApplied][30][MonitoringParameterAffected]",Submission!$O:$O,Submission!$H:$N,""))</f>
        <v>Emission factor</v>
      </c>
      <c r="G1066" s="89" t="str">
        <f>_xlfn.CONCAT(_xlfn.XLOOKUP("[S05_CategoryCHighestTierNotApplied][30][HighestTierRequired]",Submission!$O:$O,Submission!$H:$N,""))</f>
        <v>Tier 3</v>
      </c>
      <c r="H1066" s="240" t="str">
        <f>_xlfn.CONCAT(_xlfn.XLOOKUP("[S05_CategoryCHighestTierNotApplied][30][TierInPractice]",Submission!$O:$O,Submission!$H:$N,""))</f>
        <v>Tier 2b</v>
      </c>
      <c r="I1066" s="242"/>
    </row>
    <row r="1067" spans="1:9" ht="24.6" hidden="1" customHeight="1" outlineLevel="1" x14ac:dyDescent="0.3">
      <c r="A1067" s="13"/>
      <c r="B1067" s="34"/>
      <c r="C1067" s="72" t="str">
        <f>_xlfn.CONCAT(_xlfn.XLOOKUP("[S05_CategoryCHighestTierNotApplied][31][InstallationID]",Submission!$O:$O,Submission!$H:$N,""))</f>
        <v>85</v>
      </c>
      <c r="D1067" s="72" t="str">
        <f>_xlfn.CONCAT(_xlfn.XLOOKUP("[S05_CategoryCHighestTierNotApplied][31][SourceStreamAffected]",Submission!$O:$O,Submission!$H:$N,""))</f>
        <v>Flare gas</v>
      </c>
      <c r="E1067" s="72" t="str">
        <f>_xlfn.CONCAT(_xlfn.XLOOKUP("[S05_CategoryCHighestTierNotApplied][31][EmissionSourceAffected]",Submission!$O:$O,Submission!$H:$N,""))</f>
        <v/>
      </c>
      <c r="F1067" s="72" t="str">
        <f>_xlfn.CONCAT(_xlfn.XLOOKUP("[S05_CategoryCHighestTierNotApplied][31][MonitoringParameterAffected]",Submission!$O:$O,Submission!$H:$N,""))</f>
        <v>Emission factor</v>
      </c>
      <c r="G1067" s="89" t="str">
        <f>_xlfn.CONCAT(_xlfn.XLOOKUP("[S05_CategoryCHighestTierNotApplied][31][HighestTierRequired]",Submission!$O:$O,Submission!$H:$N,""))</f>
        <v>Tier 3</v>
      </c>
      <c r="H1067" s="240" t="str">
        <f>_xlfn.CONCAT(_xlfn.XLOOKUP("[S05_CategoryCHighestTierNotApplied][31][TierInPractice]",Submission!$O:$O,Submission!$H:$N,""))</f>
        <v>Tier 2b</v>
      </c>
      <c r="I1067" s="242"/>
    </row>
    <row r="1068" spans="1:9" ht="24.6" hidden="1" customHeight="1" outlineLevel="1" x14ac:dyDescent="0.3">
      <c r="B1068" s="34"/>
      <c r="C1068" s="72" t="str">
        <f>_xlfn.CONCAT(_xlfn.XLOOKUP("[S05_CategoryCHighestTierNotApplied][32][InstallationID]",Submission!$O:$O,Submission!$H:$N,""))</f>
        <v>85</v>
      </c>
      <c r="D1068" s="72" t="str">
        <f>_xlfn.CONCAT(_xlfn.XLOOKUP("[S05_CategoryCHighestTierNotApplied][32][SourceStreamAffected]",Submission!$O:$O,Submission!$H:$N,""))</f>
        <v>Flare gas</v>
      </c>
      <c r="E1068" s="72" t="str">
        <f>_xlfn.CONCAT(_xlfn.XLOOKUP("[S05_CategoryCHighestTierNotApplied][32][EmissionSourceAffected]",Submission!$O:$O,Submission!$H:$N,""))</f>
        <v/>
      </c>
      <c r="F1068" s="72" t="str">
        <f>_xlfn.CONCAT(_xlfn.XLOOKUP("[S05_CategoryCHighestTierNotApplied][32][MonitoringParameterAffected]",Submission!$O:$O,Submission!$H:$N,""))</f>
        <v>Emission factor</v>
      </c>
      <c r="G1068" s="89" t="str">
        <f>_xlfn.CONCAT(_xlfn.XLOOKUP("[S05_CategoryCHighestTierNotApplied][32][HighestTierRequired]",Submission!$O:$O,Submission!$H:$N,""))</f>
        <v>Tier 3</v>
      </c>
      <c r="H1068" s="240" t="str">
        <f>_xlfn.CONCAT(_xlfn.XLOOKUP("[S05_CategoryCHighestTierNotApplied][32][TierInPractice]",Submission!$O:$O,Submission!$H:$N,""))</f>
        <v>Tier 2b</v>
      </c>
      <c r="I1068" s="242"/>
    </row>
    <row r="1069" spans="1:9" ht="24.6" hidden="1" customHeight="1" outlineLevel="1" x14ac:dyDescent="0.3">
      <c r="A1069" s="13"/>
      <c r="B1069" s="34"/>
      <c r="C1069" s="72" t="str">
        <f>_xlfn.CONCAT(_xlfn.XLOOKUP("[S05_CategoryCHighestTierNotApplied][33][InstallationID]",Submission!$O:$O,Submission!$H:$N,""))</f>
        <v>85</v>
      </c>
      <c r="D1069" s="72" t="str">
        <f>_xlfn.CONCAT(_xlfn.XLOOKUP("[S05_CategoryCHighestTierNotApplied][33][SourceStreamAffected]",Submission!$O:$O,Submission!$H:$N,""))</f>
        <v>Flare gas</v>
      </c>
      <c r="E1069" s="72" t="str">
        <f>_xlfn.CONCAT(_xlfn.XLOOKUP("[S05_CategoryCHighestTierNotApplied][33][EmissionSourceAffected]",Submission!$O:$O,Submission!$H:$N,""))</f>
        <v/>
      </c>
      <c r="F1069" s="72" t="str">
        <f>_xlfn.CONCAT(_xlfn.XLOOKUP("[S05_CategoryCHighestTierNotApplied][33][MonitoringParameterAffected]",Submission!$O:$O,Submission!$H:$N,""))</f>
        <v>Emission factor</v>
      </c>
      <c r="G1069" s="89" t="str">
        <f>_xlfn.CONCAT(_xlfn.XLOOKUP("[S05_CategoryCHighestTierNotApplied][33][HighestTierRequired]",Submission!$O:$O,Submission!$H:$N,""))</f>
        <v>Tier 3</v>
      </c>
      <c r="H1069" s="240" t="str">
        <f>_xlfn.CONCAT(_xlfn.XLOOKUP("[S05_CategoryCHighestTierNotApplied][33][TierInPractice]",Submission!$O:$O,Submission!$H:$N,""))</f>
        <v>Tier 2b</v>
      </c>
      <c r="I1069" s="242"/>
    </row>
    <row r="1070" spans="1:9" ht="24.6" hidden="1" customHeight="1" outlineLevel="1" x14ac:dyDescent="0.3">
      <c r="A1070" s="13"/>
      <c r="B1070" s="34"/>
      <c r="C1070" s="72" t="str">
        <f>_xlfn.CONCAT(_xlfn.XLOOKUP("[S05_CategoryCHighestTierNotApplied][34][InstallationID]",Submission!$O:$O,Submission!$H:$N,""))</f>
        <v>85</v>
      </c>
      <c r="D1070" s="72" t="str">
        <f>_xlfn.CONCAT(_xlfn.XLOOKUP("[S05_CategoryCHighestTierNotApplied][34][SourceStreamAffected]",Submission!$O:$O,Submission!$H:$N,""))</f>
        <v>Flare gas</v>
      </c>
      <c r="E1070" s="72" t="str">
        <f>_xlfn.CONCAT(_xlfn.XLOOKUP("[S05_CategoryCHighestTierNotApplied][34][EmissionSourceAffected]",Submission!$O:$O,Submission!$H:$N,""))</f>
        <v/>
      </c>
      <c r="F1070" s="72" t="str">
        <f>_xlfn.CONCAT(_xlfn.XLOOKUP("[S05_CategoryCHighestTierNotApplied][34][MonitoringParameterAffected]",Submission!$O:$O,Submission!$H:$N,""))</f>
        <v>Emission factor</v>
      </c>
      <c r="G1070" s="89" t="str">
        <f>_xlfn.CONCAT(_xlfn.XLOOKUP("[S05_CategoryCHighestTierNotApplied][34][HighestTierRequired]",Submission!$O:$O,Submission!$H:$N,""))</f>
        <v>Tier 3</v>
      </c>
      <c r="H1070" s="240" t="str">
        <f>_xlfn.CONCAT(_xlfn.XLOOKUP("[S05_CategoryCHighestTierNotApplied][34][TierInPractice]",Submission!$O:$O,Submission!$H:$N,""))</f>
        <v>Tier 2b</v>
      </c>
      <c r="I1070" s="242"/>
    </row>
    <row r="1071" spans="1:9" ht="24.6" hidden="1" customHeight="1" outlineLevel="1" x14ac:dyDescent="0.3">
      <c r="A1071" s="13"/>
      <c r="B1071" s="34"/>
      <c r="C1071" s="72" t="str">
        <f>_xlfn.CONCAT(_xlfn.XLOOKUP("[S05_CategoryCHighestTierNotApplied][35][InstallationID]",Submission!$O:$O,Submission!$H:$N,""))</f>
        <v>85</v>
      </c>
      <c r="D1071" s="72" t="str">
        <f>_xlfn.CONCAT(_xlfn.XLOOKUP("[S05_CategoryCHighestTierNotApplied][35][SourceStreamAffected]",Submission!$O:$O,Submission!$H:$N,""))</f>
        <v>Flare gas</v>
      </c>
      <c r="E1071" s="72" t="str">
        <f>_xlfn.CONCAT(_xlfn.XLOOKUP("[S05_CategoryCHighestTierNotApplied][35][EmissionSourceAffected]",Submission!$O:$O,Submission!$H:$N,""))</f>
        <v/>
      </c>
      <c r="F1071" s="72" t="str">
        <f>_xlfn.CONCAT(_xlfn.XLOOKUP("[S05_CategoryCHighestTierNotApplied][35][MonitoringParameterAffected]",Submission!$O:$O,Submission!$H:$N,""))</f>
        <v>Emission factor</v>
      </c>
      <c r="G1071" s="89" t="str">
        <f>_xlfn.CONCAT(_xlfn.XLOOKUP("[S05_CategoryCHighestTierNotApplied][35][HighestTierRequired]",Submission!$O:$O,Submission!$H:$N,""))</f>
        <v>Tier 3</v>
      </c>
      <c r="H1071" s="240" t="str">
        <f>_xlfn.CONCAT(_xlfn.XLOOKUP("[S05_CategoryCHighestTierNotApplied][35][TierInPractice]",Submission!$O:$O,Submission!$H:$N,""))</f>
        <v>Tier 2b</v>
      </c>
      <c r="I1071" s="242"/>
    </row>
    <row r="1072" spans="1:9" ht="24.6" hidden="1" customHeight="1" outlineLevel="1" x14ac:dyDescent="0.3">
      <c r="B1072" s="34"/>
      <c r="C1072" s="72" t="str">
        <f>_xlfn.CONCAT(_xlfn.XLOOKUP("[S05_CategoryCHighestTierNotApplied][36][InstallationID]",Submission!$O:$O,Submission!$H:$N,""))</f>
        <v>86</v>
      </c>
      <c r="D1072" s="72" t="str">
        <f>_xlfn.CONCAT(_xlfn.XLOOKUP("[S05_CategoryCHighestTierNotApplied][36][SourceStreamAffected]",Submission!$O:$O,Submission!$H:$N,""))</f>
        <v>Flare gas</v>
      </c>
      <c r="E1072" s="72" t="str">
        <f>_xlfn.CONCAT(_xlfn.XLOOKUP("[S05_CategoryCHighestTierNotApplied][36][EmissionSourceAffected]",Submission!$O:$O,Submission!$H:$N,""))</f>
        <v/>
      </c>
      <c r="F1072" s="72" t="str">
        <f>_xlfn.CONCAT(_xlfn.XLOOKUP("[S05_CategoryCHighestTierNotApplied][36][MonitoringParameterAffected]",Submission!$O:$O,Submission!$H:$N,""))</f>
        <v>Emission factor</v>
      </c>
      <c r="G1072" s="89" t="str">
        <f>_xlfn.CONCAT(_xlfn.XLOOKUP("[S05_CategoryCHighestTierNotApplied][36][HighestTierRequired]",Submission!$O:$O,Submission!$H:$N,""))</f>
        <v>Tier 3</v>
      </c>
      <c r="H1072" s="240" t="str">
        <f>_xlfn.CONCAT(_xlfn.XLOOKUP("[S05_CategoryCHighestTierNotApplied][36][TierInPractice]",Submission!$O:$O,Submission!$H:$N,""))</f>
        <v>Tier 2b</v>
      </c>
      <c r="I1072" s="242"/>
    </row>
    <row r="1073" spans="1:9" ht="24.6" hidden="1" customHeight="1" outlineLevel="1" x14ac:dyDescent="0.3">
      <c r="B1073" s="34"/>
      <c r="C1073" s="72" t="str">
        <f>_xlfn.CONCAT(_xlfn.XLOOKUP("[S05_CategoryCHighestTierNotApplied][37][InstallationID]",Submission!$O:$O,Submission!$H:$N,""))</f>
        <v>86</v>
      </c>
      <c r="D1073" s="72" t="str">
        <f>_xlfn.CONCAT(_xlfn.XLOOKUP("[S05_CategoryCHighestTierNotApplied][37][SourceStreamAffected]",Submission!$O:$O,Submission!$H:$N,""))</f>
        <v>Flare gas</v>
      </c>
      <c r="E1073" s="72" t="str">
        <f>_xlfn.CONCAT(_xlfn.XLOOKUP("[S05_CategoryCHighestTierNotApplied][37][EmissionSourceAffected]",Submission!$O:$O,Submission!$H:$N,""))</f>
        <v/>
      </c>
      <c r="F1073" s="72" t="str">
        <f>_xlfn.CONCAT(_xlfn.XLOOKUP("[S05_CategoryCHighestTierNotApplied][37][MonitoringParameterAffected]",Submission!$O:$O,Submission!$H:$N,""))</f>
        <v>Emission factor</v>
      </c>
      <c r="G1073" s="89" t="str">
        <f>_xlfn.CONCAT(_xlfn.XLOOKUP("[S05_CategoryCHighestTierNotApplied][37][HighestTierRequired]",Submission!$O:$O,Submission!$H:$N,""))</f>
        <v>Tier 3</v>
      </c>
      <c r="H1073" s="240" t="str">
        <f>_xlfn.CONCAT(_xlfn.XLOOKUP("[S05_CategoryCHighestTierNotApplied][37][TierInPractice]",Submission!$O:$O,Submission!$H:$N,""))</f>
        <v>Tier 2b</v>
      </c>
      <c r="I1073" s="242"/>
    </row>
    <row r="1074" spans="1:9" ht="24.6" hidden="1" customHeight="1" outlineLevel="1" x14ac:dyDescent="0.3">
      <c r="A1074" s="13"/>
      <c r="B1074" s="34"/>
      <c r="C1074" s="72" t="str">
        <f>_xlfn.CONCAT(_xlfn.XLOOKUP("[S05_CategoryCHighestTierNotApplied][38][InstallationID]",Submission!$O:$O,Submission!$H:$N,""))</f>
        <v>86</v>
      </c>
      <c r="D1074" s="72" t="str">
        <f>_xlfn.CONCAT(_xlfn.XLOOKUP("[S05_CategoryCHighestTierNotApplied][38][SourceStreamAffected]",Submission!$O:$O,Submission!$H:$N,""))</f>
        <v>Flare gas</v>
      </c>
      <c r="E1074" s="72" t="str">
        <f>_xlfn.CONCAT(_xlfn.XLOOKUP("[S05_CategoryCHighestTierNotApplied][38][EmissionSourceAffected]",Submission!$O:$O,Submission!$H:$N,""))</f>
        <v/>
      </c>
      <c r="F1074" s="72" t="str">
        <f>_xlfn.CONCAT(_xlfn.XLOOKUP("[S05_CategoryCHighestTierNotApplied][38][MonitoringParameterAffected]",Submission!$O:$O,Submission!$H:$N,""))</f>
        <v>Emission factor</v>
      </c>
      <c r="G1074" s="89" t="str">
        <f>_xlfn.CONCAT(_xlfn.XLOOKUP("[S05_CategoryCHighestTierNotApplied][38][HighestTierRequired]",Submission!$O:$O,Submission!$H:$N,""))</f>
        <v>Tier 3</v>
      </c>
      <c r="H1074" s="240" t="str">
        <f>_xlfn.CONCAT(_xlfn.XLOOKUP("[S05_CategoryCHighestTierNotApplied][38][TierInPractice]",Submission!$O:$O,Submission!$H:$N,""))</f>
        <v>Tier 2b</v>
      </c>
      <c r="I1074" s="242"/>
    </row>
    <row r="1075" spans="1:9" ht="24.6" hidden="1" customHeight="1" outlineLevel="1" x14ac:dyDescent="0.3">
      <c r="B1075" s="34"/>
      <c r="C1075" s="72" t="str">
        <f>_xlfn.CONCAT(_xlfn.XLOOKUP("[S05_CategoryCHighestTierNotApplied][39][InstallationID]",Submission!$O:$O,Submission!$H:$N,""))</f>
        <v>86</v>
      </c>
      <c r="D1075" s="72" t="str">
        <f>_xlfn.CONCAT(_xlfn.XLOOKUP("[S05_CategoryCHighestTierNotApplied][39][SourceStreamAffected]",Submission!$O:$O,Submission!$H:$N,""))</f>
        <v>Flare gas</v>
      </c>
      <c r="E1075" s="72" t="str">
        <f>_xlfn.CONCAT(_xlfn.XLOOKUP("[S05_CategoryCHighestTierNotApplied][39][EmissionSourceAffected]",Submission!$O:$O,Submission!$H:$N,""))</f>
        <v/>
      </c>
      <c r="F1075" s="72" t="str">
        <f>_xlfn.CONCAT(_xlfn.XLOOKUP("[S05_CategoryCHighestTierNotApplied][39][MonitoringParameterAffected]",Submission!$O:$O,Submission!$H:$N,""))</f>
        <v>Emission factor</v>
      </c>
      <c r="G1075" s="89" t="str">
        <f>_xlfn.CONCAT(_xlfn.XLOOKUP("[S05_CategoryCHighestTierNotApplied][39][HighestTierRequired]",Submission!$O:$O,Submission!$H:$N,""))</f>
        <v>Tier 3</v>
      </c>
      <c r="H1075" s="240" t="str">
        <f>_xlfn.CONCAT(_xlfn.XLOOKUP("[S05_CategoryCHighestTierNotApplied][39][TierInPractice]",Submission!$O:$O,Submission!$H:$N,""))</f>
        <v>Tier 2b</v>
      </c>
      <c r="I1075" s="242"/>
    </row>
    <row r="1076" spans="1:9" ht="24.6" hidden="1" customHeight="1" outlineLevel="1" x14ac:dyDescent="0.3">
      <c r="B1076" s="34"/>
      <c r="C1076" s="72" t="str">
        <f>_xlfn.CONCAT(_xlfn.XLOOKUP("[S05_CategoryCHighestTierNotApplied][40][InstallationID]",Submission!$O:$O,Submission!$H:$N,""))</f>
        <v>86</v>
      </c>
      <c r="D1076" s="72" t="str">
        <f>_xlfn.CONCAT(_xlfn.XLOOKUP("[S05_CategoryCHighestTierNotApplied][40][SourceStreamAffected]",Submission!$O:$O,Submission!$H:$N,""))</f>
        <v>Flare gas</v>
      </c>
      <c r="E1076" s="72" t="str">
        <f>_xlfn.CONCAT(_xlfn.XLOOKUP("[S05_CategoryCHighestTierNotApplied][40][EmissionSourceAffected]",Submission!$O:$O,Submission!$H:$N,""))</f>
        <v/>
      </c>
      <c r="F1076" s="72" t="str">
        <f>_xlfn.CONCAT(_xlfn.XLOOKUP("[S05_CategoryCHighestTierNotApplied][40][MonitoringParameterAffected]",Submission!$O:$O,Submission!$H:$N,""))</f>
        <v>Emission factor</v>
      </c>
      <c r="G1076" s="89" t="str">
        <f>_xlfn.CONCAT(_xlfn.XLOOKUP("[S05_CategoryCHighestTierNotApplied][40][HighestTierRequired]",Submission!$O:$O,Submission!$H:$N,""))</f>
        <v>Tier 3</v>
      </c>
      <c r="H1076" s="240" t="str">
        <f>_xlfn.CONCAT(_xlfn.XLOOKUP("[S05_CategoryCHighestTierNotApplied][40][TierInPractice]",Submission!$O:$O,Submission!$H:$N,""))</f>
        <v>Tier 2b</v>
      </c>
      <c r="I1076" s="242"/>
    </row>
    <row r="1077" spans="1:9" ht="24.6" hidden="1" customHeight="1" outlineLevel="1" x14ac:dyDescent="0.3">
      <c r="B1077" s="34"/>
      <c r="C1077" s="72" t="str">
        <f>_xlfn.CONCAT(_xlfn.XLOOKUP("[S05_CategoryCHighestTierNotApplied][41][InstallationID]",Submission!$O:$O,Submission!$H:$N,""))</f>
        <v>86</v>
      </c>
      <c r="D1077" s="72" t="str">
        <f>_xlfn.CONCAT(_xlfn.XLOOKUP("[S05_CategoryCHighestTierNotApplied][41][SourceStreamAffected]",Submission!$O:$O,Submission!$H:$N,""))</f>
        <v>Flare gas</v>
      </c>
      <c r="E1077" s="72" t="str">
        <f>_xlfn.CONCAT(_xlfn.XLOOKUP("[S05_CategoryCHighestTierNotApplied][41][EmissionSourceAffected]",Submission!$O:$O,Submission!$H:$N,""))</f>
        <v/>
      </c>
      <c r="F1077" s="72" t="str">
        <f>_xlfn.CONCAT(_xlfn.XLOOKUP("[S05_CategoryCHighestTierNotApplied][41][MonitoringParameterAffected]",Submission!$O:$O,Submission!$H:$N,""))</f>
        <v>Net calorific value</v>
      </c>
      <c r="G1077" s="89" t="str">
        <f>_xlfn.CONCAT(_xlfn.XLOOKUP("[S05_CategoryCHighestTierNotApplied][41][HighestTierRequired]",Submission!$O:$O,Submission!$H:$N,""))</f>
        <v>Tier 3</v>
      </c>
      <c r="H1077" s="240" t="str">
        <f>_xlfn.CONCAT(_xlfn.XLOOKUP("[S05_CategoryCHighestTierNotApplied][41][TierInPractice]",Submission!$O:$O,Submission!$H:$N,""))</f>
        <v>Tier 2b</v>
      </c>
      <c r="I1077" s="242"/>
    </row>
    <row r="1078" spans="1:9" ht="24.6" hidden="1" customHeight="1" outlineLevel="1" x14ac:dyDescent="0.3">
      <c r="B1078" s="34"/>
      <c r="C1078" s="72" t="str">
        <f>_xlfn.CONCAT(_xlfn.XLOOKUP("[S05_CategoryCHighestTierNotApplied][42][InstallationID]",Submission!$O:$O,Submission!$H:$N,""))</f>
        <v>86</v>
      </c>
      <c r="D1078" s="72" t="str">
        <f>_xlfn.CONCAT(_xlfn.XLOOKUP("[S05_CategoryCHighestTierNotApplied][42][SourceStreamAffected]",Submission!$O:$O,Submission!$H:$N,""))</f>
        <v>Flare gas</v>
      </c>
      <c r="E1078" s="72" t="str">
        <f>_xlfn.CONCAT(_xlfn.XLOOKUP("[S05_CategoryCHighestTierNotApplied][42][EmissionSourceAffected]",Submission!$O:$O,Submission!$H:$N,""))</f>
        <v/>
      </c>
      <c r="F1078" s="72" t="str">
        <f>_xlfn.CONCAT(_xlfn.XLOOKUP("[S05_CategoryCHighestTierNotApplied][42][MonitoringParameterAffected]",Submission!$O:$O,Submission!$H:$N,""))</f>
        <v>Net calorific value</v>
      </c>
      <c r="G1078" s="89" t="str">
        <f>_xlfn.CONCAT(_xlfn.XLOOKUP("[S05_CategoryCHighestTierNotApplied][42][HighestTierRequired]",Submission!$O:$O,Submission!$H:$N,""))</f>
        <v>Tier 3</v>
      </c>
      <c r="H1078" s="240" t="str">
        <f>_xlfn.CONCAT(_xlfn.XLOOKUP("[S05_CategoryCHighestTierNotApplied][42][TierInPractice]",Submission!$O:$O,Submission!$H:$N,""))</f>
        <v>Tier 2b</v>
      </c>
      <c r="I1078" s="242"/>
    </row>
    <row r="1079" spans="1:9" ht="24.6" hidden="1" customHeight="1" outlineLevel="1" x14ac:dyDescent="0.3">
      <c r="B1079" s="34"/>
      <c r="C1079" s="72" t="str">
        <f>_xlfn.CONCAT(_xlfn.XLOOKUP("[S05_CategoryCHighestTierNotApplied][43][InstallationID]",Submission!$O:$O,Submission!$H:$N,""))</f>
        <v>86</v>
      </c>
      <c r="D1079" s="72" t="str">
        <f>_xlfn.CONCAT(_xlfn.XLOOKUP("[S05_CategoryCHighestTierNotApplied][43][SourceStreamAffected]",Submission!$O:$O,Submission!$H:$N,""))</f>
        <v>Flare gas</v>
      </c>
      <c r="E1079" s="72" t="str">
        <f>_xlfn.CONCAT(_xlfn.XLOOKUP("[S05_CategoryCHighestTierNotApplied][43][EmissionSourceAffected]",Submission!$O:$O,Submission!$H:$N,""))</f>
        <v/>
      </c>
      <c r="F1079" s="72" t="str">
        <f>_xlfn.CONCAT(_xlfn.XLOOKUP("[S05_CategoryCHighestTierNotApplied][43][MonitoringParameterAffected]",Submission!$O:$O,Submission!$H:$N,""))</f>
        <v>Net calorific value</v>
      </c>
      <c r="G1079" s="89" t="str">
        <f>_xlfn.CONCAT(_xlfn.XLOOKUP("[S05_CategoryCHighestTierNotApplied][43][HighestTierRequired]",Submission!$O:$O,Submission!$H:$N,""))</f>
        <v>Tier 3</v>
      </c>
      <c r="H1079" s="240" t="str">
        <f>_xlfn.CONCAT(_xlfn.XLOOKUP("[S05_CategoryCHighestTierNotApplied][43][TierInPractice]",Submission!$O:$O,Submission!$H:$N,""))</f>
        <v>Tier 2b</v>
      </c>
      <c r="I1079" s="242"/>
    </row>
    <row r="1080" spans="1:9" ht="24.6" hidden="1" customHeight="1" outlineLevel="1" x14ac:dyDescent="0.3">
      <c r="A1080" s="13"/>
      <c r="B1080" s="34"/>
      <c r="C1080" s="72" t="str">
        <f>_xlfn.CONCAT(_xlfn.XLOOKUP("[S05_CategoryCHighestTierNotApplied][44][InstallationID]",Submission!$O:$O,Submission!$H:$N,""))</f>
        <v>86</v>
      </c>
      <c r="D1080" s="72" t="str">
        <f>_xlfn.CONCAT(_xlfn.XLOOKUP("[S05_CategoryCHighestTierNotApplied][44][SourceStreamAffected]",Submission!$O:$O,Submission!$H:$N,""))</f>
        <v>Flare gas</v>
      </c>
      <c r="E1080" s="72" t="str">
        <f>_xlfn.CONCAT(_xlfn.XLOOKUP("[S05_CategoryCHighestTierNotApplied][44][EmissionSourceAffected]",Submission!$O:$O,Submission!$H:$N,""))</f>
        <v/>
      </c>
      <c r="F1080" s="72" t="str">
        <f>_xlfn.CONCAT(_xlfn.XLOOKUP("[S05_CategoryCHighestTierNotApplied][44][MonitoringParameterAffected]",Submission!$O:$O,Submission!$H:$N,""))</f>
        <v>Net calorific value</v>
      </c>
      <c r="G1080" s="89" t="str">
        <f>_xlfn.CONCAT(_xlfn.XLOOKUP("[S05_CategoryCHighestTierNotApplied][44][HighestTierRequired]",Submission!$O:$O,Submission!$H:$N,""))</f>
        <v>Tier 3</v>
      </c>
      <c r="H1080" s="240" t="str">
        <f>_xlfn.CONCAT(_xlfn.XLOOKUP("[S05_CategoryCHighestTierNotApplied][44][TierInPractice]",Submission!$O:$O,Submission!$H:$N,""))</f>
        <v>Tier 2b</v>
      </c>
      <c r="I1080" s="242"/>
    </row>
    <row r="1081" spans="1:9" ht="24.6" hidden="1" customHeight="1" outlineLevel="1" x14ac:dyDescent="0.3">
      <c r="A1081" s="13"/>
      <c r="B1081" s="34"/>
      <c r="C1081" s="72" t="str">
        <f>_xlfn.CONCAT(_xlfn.XLOOKUP("[S05_CategoryCHighestTierNotApplied][45][InstallationID]",Submission!$O:$O,Submission!$H:$N,""))</f>
        <v>86</v>
      </c>
      <c r="D1081" s="72" t="str">
        <f>_xlfn.CONCAT(_xlfn.XLOOKUP("[S05_CategoryCHighestTierNotApplied][45][SourceStreamAffected]",Submission!$O:$O,Submission!$H:$N,""))</f>
        <v>Flare gas</v>
      </c>
      <c r="E1081" s="72" t="str">
        <f>_xlfn.CONCAT(_xlfn.XLOOKUP("[S05_CategoryCHighestTierNotApplied][45][EmissionSourceAffected]",Submission!$O:$O,Submission!$H:$N,""))</f>
        <v/>
      </c>
      <c r="F1081" s="72" t="str">
        <f>_xlfn.CONCAT(_xlfn.XLOOKUP("[S05_CategoryCHighestTierNotApplied][45][MonitoringParameterAffected]",Submission!$O:$O,Submission!$H:$N,""))</f>
        <v>Net calorific value</v>
      </c>
      <c r="G1081" s="89" t="str">
        <f>_xlfn.CONCAT(_xlfn.XLOOKUP("[S05_CategoryCHighestTierNotApplied][45][HighestTierRequired]",Submission!$O:$O,Submission!$H:$N,""))</f>
        <v>Tier 3</v>
      </c>
      <c r="H1081" s="240" t="str">
        <f>_xlfn.CONCAT(_xlfn.XLOOKUP("[S05_CategoryCHighestTierNotApplied][45][TierInPractice]",Submission!$O:$O,Submission!$H:$N,""))</f>
        <v>Tier 2b</v>
      </c>
      <c r="I1081" s="242"/>
    </row>
    <row r="1082" spans="1:9" ht="24.6" hidden="1" customHeight="1" outlineLevel="1" x14ac:dyDescent="0.3">
      <c r="B1082" s="34"/>
      <c r="C1082" s="72" t="str">
        <f>_xlfn.CONCAT(_xlfn.XLOOKUP("[S05_CategoryCHighestTierNotApplied][46][InstallationID]",Submission!$O:$O,Submission!$H:$N,""))</f>
        <v>86</v>
      </c>
      <c r="D1082" s="72" t="str">
        <f>_xlfn.CONCAT(_xlfn.XLOOKUP("[S05_CategoryCHighestTierNotApplied][46][SourceStreamAffected]",Submission!$O:$O,Submission!$H:$N,""))</f>
        <v>Flare gas</v>
      </c>
      <c r="E1082" s="72" t="str">
        <f>_xlfn.CONCAT(_xlfn.XLOOKUP("[S05_CategoryCHighestTierNotApplied][46][EmissionSourceAffected]",Submission!$O:$O,Submission!$H:$N,""))</f>
        <v/>
      </c>
      <c r="F1082" s="72" t="str">
        <f>_xlfn.CONCAT(_xlfn.XLOOKUP("[S05_CategoryCHighestTierNotApplied][46][MonitoringParameterAffected]",Submission!$O:$O,Submission!$H:$N,""))</f>
        <v>Emission factor</v>
      </c>
      <c r="G1082" s="89" t="str">
        <f>_xlfn.CONCAT(_xlfn.XLOOKUP("[S05_CategoryCHighestTierNotApplied][46][HighestTierRequired]",Submission!$O:$O,Submission!$H:$N,""))</f>
        <v>Tier 3</v>
      </c>
      <c r="H1082" s="240" t="str">
        <f>_xlfn.CONCAT(_xlfn.XLOOKUP("[S05_CategoryCHighestTierNotApplied][46][TierInPractice]",Submission!$O:$O,Submission!$H:$N,""))</f>
        <v>Tier 2a</v>
      </c>
      <c r="I1082" s="242"/>
    </row>
    <row r="1083" spans="1:9" ht="24.6" hidden="1" customHeight="1" outlineLevel="1" x14ac:dyDescent="0.3">
      <c r="A1083" s="13"/>
      <c r="B1083" s="34"/>
      <c r="C1083" s="72" t="str">
        <f>_xlfn.CONCAT(_xlfn.XLOOKUP("[S05_CategoryCHighestTierNotApplied][47][InstallationID]",Submission!$O:$O,Submission!$H:$N,""))</f>
        <v>86</v>
      </c>
      <c r="D1083" s="72" t="str">
        <f>_xlfn.CONCAT(_xlfn.XLOOKUP("[S05_CategoryCHighestTierNotApplied][47][SourceStreamAffected]",Submission!$O:$O,Submission!$H:$N,""))</f>
        <v>Flare gas</v>
      </c>
      <c r="E1083" s="72" t="str">
        <f>_xlfn.CONCAT(_xlfn.XLOOKUP("[S05_CategoryCHighestTierNotApplied][47][EmissionSourceAffected]",Submission!$O:$O,Submission!$H:$N,""))</f>
        <v/>
      </c>
      <c r="F1083" s="72" t="str">
        <f>_xlfn.CONCAT(_xlfn.XLOOKUP("[S05_CategoryCHighestTierNotApplied][47][MonitoringParameterAffected]",Submission!$O:$O,Submission!$H:$N,""))</f>
        <v>Net calorific value</v>
      </c>
      <c r="G1083" s="89" t="str">
        <f>_xlfn.CONCAT(_xlfn.XLOOKUP("[S05_CategoryCHighestTierNotApplied][47][HighestTierRequired]",Submission!$O:$O,Submission!$H:$N,""))</f>
        <v>Tier 3</v>
      </c>
      <c r="H1083" s="240" t="str">
        <f>_xlfn.CONCAT(_xlfn.XLOOKUP("[S05_CategoryCHighestTierNotApplied][47][TierInPractice]",Submission!$O:$O,Submission!$H:$N,""))</f>
        <v>Tier 2a</v>
      </c>
      <c r="I1083" s="242"/>
    </row>
    <row r="1084" spans="1:9" ht="24.6" hidden="1" customHeight="1" outlineLevel="1" x14ac:dyDescent="0.3">
      <c r="A1084" s="13"/>
      <c r="B1084" s="34"/>
      <c r="C1084" s="72" t="str">
        <f>_xlfn.CONCAT(_xlfn.XLOOKUP("[S05_CategoryCHighestTierNotApplied][48][InstallationID]",Submission!$O:$O,Submission!$H:$N,""))</f>
        <v>86</v>
      </c>
      <c r="D1084" s="72" t="str">
        <f>_xlfn.CONCAT(_xlfn.XLOOKUP("[S05_CategoryCHighestTierNotApplied][48][SourceStreamAffected]",Submission!$O:$O,Submission!$H:$N,""))</f>
        <v>Flare gas</v>
      </c>
      <c r="E1084" s="72" t="str">
        <f>_xlfn.CONCAT(_xlfn.XLOOKUP("[S05_CategoryCHighestTierNotApplied][48][EmissionSourceAffected]",Submission!$O:$O,Submission!$H:$N,""))</f>
        <v/>
      </c>
      <c r="F1084" s="72" t="str">
        <f>_xlfn.CONCAT(_xlfn.XLOOKUP("[S05_CategoryCHighestTierNotApplied][48][MonitoringParameterAffected]",Submission!$O:$O,Submission!$H:$N,""))</f>
        <v>Quantity of fuel</v>
      </c>
      <c r="G1084" s="89" t="str">
        <f>_xlfn.CONCAT(_xlfn.XLOOKUP("[S05_CategoryCHighestTierNotApplied][48][HighestTierRequired]",Submission!$O:$O,Submission!$H:$N,""))</f>
        <v>Tier 3</v>
      </c>
      <c r="H1084" s="240" t="str">
        <f>_xlfn.CONCAT(_xlfn.XLOOKUP("[S05_CategoryCHighestTierNotApplied][48][TierInPractice]",Submission!$O:$O,Submission!$H:$N,""))</f>
        <v>Tier 2</v>
      </c>
      <c r="I1084" s="242"/>
    </row>
    <row r="1085" spans="1:9" ht="24.6" hidden="1" customHeight="1" outlineLevel="1" x14ac:dyDescent="0.3">
      <c r="A1085" s="13"/>
      <c r="B1085" s="34"/>
      <c r="C1085" s="72" t="str">
        <f>_xlfn.CONCAT(_xlfn.XLOOKUP("[S05_CategoryCHighestTierNotApplied][49][InstallationID]",Submission!$O:$O,Submission!$H:$N,""))</f>
        <v>87</v>
      </c>
      <c r="D1085" s="72" t="str">
        <f>_xlfn.CONCAT(_xlfn.XLOOKUP("[S05_CategoryCHighestTierNotApplied][49][SourceStreamAffected]",Submission!$O:$O,Submission!$H:$N,""))</f>
        <v>Flare gas</v>
      </c>
      <c r="E1085" s="72" t="str">
        <f>_xlfn.CONCAT(_xlfn.XLOOKUP("[S05_CategoryCHighestTierNotApplied][49][EmissionSourceAffected]",Submission!$O:$O,Submission!$H:$N,""))</f>
        <v/>
      </c>
      <c r="F1085" s="72" t="str">
        <f>_xlfn.CONCAT(_xlfn.XLOOKUP("[S05_CategoryCHighestTierNotApplied][49][MonitoringParameterAffected]",Submission!$O:$O,Submission!$H:$N,""))</f>
        <v>Emission factor</v>
      </c>
      <c r="G1085" s="89" t="str">
        <f>_xlfn.CONCAT(_xlfn.XLOOKUP("[S05_CategoryCHighestTierNotApplied][49][HighestTierRequired]",Submission!$O:$O,Submission!$H:$N,""))</f>
        <v>Tier 3</v>
      </c>
      <c r="H1085" s="240" t="str">
        <f>_xlfn.CONCAT(_xlfn.XLOOKUP("[S05_CategoryCHighestTierNotApplied][49][TierInPractice]",Submission!$O:$O,Submission!$H:$N,""))</f>
        <v>Tier 2b</v>
      </c>
      <c r="I1085" s="242"/>
    </row>
    <row r="1086" spans="1:9" ht="24.6" hidden="1" customHeight="1" outlineLevel="1" x14ac:dyDescent="0.3">
      <c r="A1086" s="13"/>
      <c r="B1086" s="34"/>
      <c r="C1086" s="72" t="str">
        <f>_xlfn.CONCAT(_xlfn.XLOOKUP("[S05_CategoryCHighestTierNotApplied][50][InstallationID]",Submission!$O:$O,Submission!$H:$N,""))</f>
        <v>87</v>
      </c>
      <c r="D1086" s="72" t="str">
        <f>_xlfn.CONCAT(_xlfn.XLOOKUP("[S05_CategoryCHighestTierNotApplied][50][SourceStreamAffected]",Submission!$O:$O,Submission!$H:$N,""))</f>
        <v>Flare gas</v>
      </c>
      <c r="E1086" s="72" t="str">
        <f>_xlfn.CONCAT(_xlfn.XLOOKUP("[S05_CategoryCHighestTierNotApplied][50][EmissionSourceAffected]",Submission!$O:$O,Submission!$H:$N,""))</f>
        <v/>
      </c>
      <c r="F1086" s="72" t="str">
        <f>_xlfn.CONCAT(_xlfn.XLOOKUP("[S05_CategoryCHighestTierNotApplied][50][MonitoringParameterAffected]",Submission!$O:$O,Submission!$H:$N,""))</f>
        <v>Emission factor</v>
      </c>
      <c r="G1086" s="89" t="str">
        <f>_xlfn.CONCAT(_xlfn.XLOOKUP("[S05_CategoryCHighestTierNotApplied][50][HighestTierRequired]",Submission!$O:$O,Submission!$H:$N,""))</f>
        <v>Tier 3</v>
      </c>
      <c r="H1086" s="240" t="str">
        <f>_xlfn.CONCAT(_xlfn.XLOOKUP("[S05_CategoryCHighestTierNotApplied][50][TierInPractice]",Submission!$O:$O,Submission!$H:$N,""))</f>
        <v>Tier 2b</v>
      </c>
      <c r="I1086" s="242"/>
    </row>
    <row r="1087" spans="1:9" ht="24.6" hidden="1" customHeight="1" outlineLevel="1" x14ac:dyDescent="0.3">
      <c r="A1087" s="13"/>
      <c r="B1087" s="34"/>
      <c r="C1087" s="72" t="str">
        <f>_xlfn.CONCAT(_xlfn.XLOOKUP("[S05_CategoryCHighestTierNotApplied][51][InstallationID]",Submission!$O:$O,Submission!$H:$N,""))</f>
        <v>87</v>
      </c>
      <c r="D1087" s="72" t="str">
        <f>_xlfn.CONCAT(_xlfn.XLOOKUP("[S05_CategoryCHighestTierNotApplied][51][SourceStreamAffected]",Submission!$O:$O,Submission!$H:$N,""))</f>
        <v>Flare gas</v>
      </c>
      <c r="E1087" s="72" t="str">
        <f>_xlfn.CONCAT(_xlfn.XLOOKUP("[S05_CategoryCHighestTierNotApplied][51][EmissionSourceAffected]",Submission!$O:$O,Submission!$H:$N,""))</f>
        <v/>
      </c>
      <c r="F1087" s="72" t="str">
        <f>_xlfn.CONCAT(_xlfn.XLOOKUP("[S05_CategoryCHighestTierNotApplied][51][MonitoringParameterAffected]",Submission!$O:$O,Submission!$H:$N,""))</f>
        <v>Emission factor</v>
      </c>
      <c r="G1087" s="89" t="str">
        <f>_xlfn.CONCAT(_xlfn.XLOOKUP("[S05_CategoryCHighestTierNotApplied][51][HighestTierRequired]",Submission!$O:$O,Submission!$H:$N,""))</f>
        <v>Tier 3</v>
      </c>
      <c r="H1087" s="240" t="str">
        <f>_xlfn.CONCAT(_xlfn.XLOOKUP("[S05_CategoryCHighestTierNotApplied][51][TierInPractice]",Submission!$O:$O,Submission!$H:$N,""))</f>
        <v>Tier 2b</v>
      </c>
      <c r="I1087" s="242"/>
    </row>
    <row r="1088" spans="1:9" ht="24.6" hidden="1" customHeight="1" outlineLevel="1" x14ac:dyDescent="0.3">
      <c r="B1088" s="34"/>
      <c r="C1088" s="72" t="str">
        <f>_xlfn.CONCAT(_xlfn.XLOOKUP("[S05_CategoryCHighestTierNotApplied][52][InstallationID]",Submission!$O:$O,Submission!$H:$N,""))</f>
        <v>87</v>
      </c>
      <c r="D1088" s="72" t="str">
        <f>_xlfn.CONCAT(_xlfn.XLOOKUP("[S05_CategoryCHighestTierNotApplied][52][SourceStreamAffected]",Submission!$O:$O,Submission!$H:$N,""))</f>
        <v>Flare gas</v>
      </c>
      <c r="E1088" s="72" t="str">
        <f>_xlfn.CONCAT(_xlfn.XLOOKUP("[S05_CategoryCHighestTierNotApplied][52][EmissionSourceAffected]",Submission!$O:$O,Submission!$H:$N,""))</f>
        <v/>
      </c>
      <c r="F1088" s="72" t="str">
        <f>_xlfn.CONCAT(_xlfn.XLOOKUP("[S05_CategoryCHighestTierNotApplied][52][MonitoringParameterAffected]",Submission!$O:$O,Submission!$H:$N,""))</f>
        <v>Emission factor</v>
      </c>
      <c r="G1088" s="89" t="str">
        <f>_xlfn.CONCAT(_xlfn.XLOOKUP("[S05_CategoryCHighestTierNotApplied][52][HighestTierRequired]",Submission!$O:$O,Submission!$H:$N,""))</f>
        <v>Tier 3</v>
      </c>
      <c r="H1088" s="240" t="str">
        <f>_xlfn.CONCAT(_xlfn.XLOOKUP("[S05_CategoryCHighestTierNotApplied][52][TierInPractice]",Submission!$O:$O,Submission!$H:$N,""))</f>
        <v>Tier 2b</v>
      </c>
      <c r="I1088" s="242"/>
    </row>
    <row r="1089" spans="1:9" ht="24.6" hidden="1" customHeight="1" outlineLevel="1" x14ac:dyDescent="0.3">
      <c r="A1089" s="13"/>
      <c r="B1089" s="34"/>
      <c r="C1089" s="72" t="str">
        <f>_xlfn.CONCAT(_xlfn.XLOOKUP("[S05_CategoryCHighestTierNotApplied][53][InstallationID]",Submission!$O:$O,Submission!$H:$N,""))</f>
        <v>87</v>
      </c>
      <c r="D1089" s="72" t="str">
        <f>_xlfn.CONCAT(_xlfn.XLOOKUP("[S05_CategoryCHighestTierNotApplied][53][SourceStreamAffected]",Submission!$O:$O,Submission!$H:$N,""))</f>
        <v>Flare gas</v>
      </c>
      <c r="E1089" s="72" t="str">
        <f>_xlfn.CONCAT(_xlfn.XLOOKUP("[S05_CategoryCHighestTierNotApplied][53][EmissionSourceAffected]",Submission!$O:$O,Submission!$H:$N,""))</f>
        <v/>
      </c>
      <c r="F1089" s="72" t="str">
        <f>_xlfn.CONCAT(_xlfn.XLOOKUP("[S05_CategoryCHighestTierNotApplied][53][MonitoringParameterAffected]",Submission!$O:$O,Submission!$H:$N,""))</f>
        <v>Net calorific value</v>
      </c>
      <c r="G1089" s="89" t="str">
        <f>_xlfn.CONCAT(_xlfn.XLOOKUP("[S05_CategoryCHighestTierNotApplied][53][HighestTierRequired]",Submission!$O:$O,Submission!$H:$N,""))</f>
        <v>Tier 3</v>
      </c>
      <c r="H1089" s="240" t="str">
        <f>_xlfn.CONCAT(_xlfn.XLOOKUP("[S05_CategoryCHighestTierNotApplied][53][TierInPractice]",Submission!$O:$O,Submission!$H:$N,""))</f>
        <v>Tier 2b</v>
      </c>
      <c r="I1089" s="242"/>
    </row>
    <row r="1090" spans="1:9" ht="24.6" hidden="1" customHeight="1" outlineLevel="1" x14ac:dyDescent="0.3">
      <c r="A1090" s="13"/>
      <c r="B1090" s="34"/>
      <c r="C1090" s="72" t="str">
        <f>_xlfn.CONCAT(_xlfn.XLOOKUP("[S05_CategoryCHighestTierNotApplied][54][InstallationID]",Submission!$O:$O,Submission!$H:$N,""))</f>
        <v>87</v>
      </c>
      <c r="D1090" s="72" t="str">
        <f>_xlfn.CONCAT(_xlfn.XLOOKUP("[S05_CategoryCHighestTierNotApplied][54][SourceStreamAffected]",Submission!$O:$O,Submission!$H:$N,""))</f>
        <v>Flare gas</v>
      </c>
      <c r="E1090" s="72" t="str">
        <f>_xlfn.CONCAT(_xlfn.XLOOKUP("[S05_CategoryCHighestTierNotApplied][54][EmissionSourceAffected]",Submission!$O:$O,Submission!$H:$N,""))</f>
        <v/>
      </c>
      <c r="F1090" s="72" t="str">
        <f>_xlfn.CONCAT(_xlfn.XLOOKUP("[S05_CategoryCHighestTierNotApplied][54][MonitoringParameterAffected]",Submission!$O:$O,Submission!$H:$N,""))</f>
        <v>Net calorific value</v>
      </c>
      <c r="G1090" s="89" t="str">
        <f>_xlfn.CONCAT(_xlfn.XLOOKUP("[S05_CategoryCHighestTierNotApplied][54][HighestTierRequired]",Submission!$O:$O,Submission!$H:$N,""))</f>
        <v>Tier 3</v>
      </c>
      <c r="H1090" s="240" t="str">
        <f>_xlfn.CONCAT(_xlfn.XLOOKUP("[S05_CategoryCHighestTierNotApplied][54][TierInPractice]",Submission!$O:$O,Submission!$H:$N,""))</f>
        <v>Tier 2b</v>
      </c>
      <c r="I1090" s="242"/>
    </row>
    <row r="1091" spans="1:9" hidden="1" outlineLevel="1" x14ac:dyDescent="0.3">
      <c r="A1091" s="13"/>
      <c r="B1091" s="34"/>
      <c r="C1091" s="72" t="str">
        <f>_xlfn.CONCAT(_xlfn.XLOOKUP("[S05_CategoryCHighestTierNotApplied][55][InstallationID]",Submission!$O:$O,Submission!$H:$N,""))</f>
        <v>204078</v>
      </c>
      <c r="D1091" s="72" t="str">
        <f>_xlfn.CONCAT(_xlfn.XLOOKUP("[S05_CategoryCHighestTierNotApplied][55][SourceStreamAffected]",Submission!$O:$O,Submission!$H:$N,""))</f>
        <v>Natural gas (from LNG)</v>
      </c>
      <c r="E1091" s="72" t="str">
        <f>_xlfn.CONCAT(_xlfn.XLOOKUP("[S05_CategoryCHighestTierNotApplied][55][EmissionSourceAffected]",Submission!$O:$O,Submission!$H:$N,""))</f>
        <v/>
      </c>
      <c r="F1091" s="72" t="str">
        <f>_xlfn.CONCAT(_xlfn.XLOOKUP("[S05_CategoryCHighestTierNotApplied][55][MonitoringParameterAffected]",Submission!$O:$O,Submission!$H:$N,""))</f>
        <v>Net calorific value</v>
      </c>
      <c r="G1091" s="89" t="str">
        <f>_xlfn.CONCAT(_xlfn.XLOOKUP("[S05_CategoryCHighestTierNotApplied][55][HighestTierRequired]",Submission!$O:$O,Submission!$H:$N,""))</f>
        <v>Tier 3</v>
      </c>
      <c r="H1091" s="240" t="str">
        <f>_xlfn.CONCAT(_xlfn.XLOOKUP("[S05_CategoryCHighestTierNotApplied][55][TierInPractice]",Submission!$O:$O,Submission!$H:$N,""))</f>
        <v>Tier 2a</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Measurement based methodology</v>
      </c>
      <c r="D1098" s="285"/>
      <c r="E1098" s="281" t="str">
        <f>_xlfn.CONCAT(_xlfn.XLOOKUP("[S05_CategoryBHighestTierNotApplied][1][CategoryBMainActivity]",Submission!$O:$O,Submission!$H:$N,""))</f>
        <v xml:space="preserve">38 - Production of nitric acid </v>
      </c>
      <c r="F1098" s="349"/>
      <c r="G1098" s="282"/>
      <c r="H1098" s="341" t="str">
        <f>_xlfn.CONCAT(_xlfn.XLOOKUP("[S05_CategoryBHighestTierNotApplied][1][CategoryBInstallationsAffected]",Submission!$O:$O,Submission!$H:$N,""))</f>
        <v>0</v>
      </c>
      <c r="I1098" s="342"/>
    </row>
    <row r="1099" spans="1:9" ht="25.95" customHeight="1" x14ac:dyDescent="0.3">
      <c r="B1099" s="34"/>
      <c r="C1099" s="284" t="str">
        <f>_xlfn.CONCAT(_xlfn.XLOOKUP("[S05_CategoryBHighestTierNotApplied][2][MonitoringMethodology]",Submission!$O:$O,Submission!$H:$N,""))</f>
        <v>Calculation based methodology</v>
      </c>
      <c r="D1099" s="285"/>
      <c r="E1099" s="281" t="str">
        <f>_xlfn.CONCAT(_xlfn.XLOOKUP("[S05_CategoryBHighestTierNotApplied][2][CategoryBMainActivity]",Submission!$O:$O,Submission!$H:$N,""))</f>
        <v>20 - Combustion of fuels as specified in Annex I of Directive 2003/87/EC</v>
      </c>
      <c r="F1099" s="349"/>
      <c r="G1099" s="282"/>
      <c r="H1099" s="341" t="str">
        <f>_xlfn.CONCAT(_xlfn.XLOOKUP("[S05_CategoryBHighestTierNotApplied][2][CategoryBInstallationsAffected]",Submission!$O:$O,Submission!$H:$N,""))</f>
        <v>32</v>
      </c>
      <c r="I1099" s="342"/>
    </row>
    <row r="1100" spans="1:9" ht="25.95" customHeight="1" x14ac:dyDescent="0.3">
      <c r="B1100" s="34"/>
      <c r="C1100" s="284" t="str">
        <f>_xlfn.CONCAT(_xlfn.XLOOKUP("[S05_CategoryBHighestTierNotApplied][3][MonitoringMethodology]",Submission!$O:$O,Submission!$H:$N,""))</f>
        <v>Calculation based methodology</v>
      </c>
      <c r="D1100" s="285"/>
      <c r="E1100" s="281" t="str">
        <f>_xlfn.CONCAT(_xlfn.XLOOKUP("[S05_CategoryBHighestTierNotApplied][3][CategoryBMainActivity]",Submission!$O:$O,Submission!$H:$N,""))</f>
        <v xml:space="preserve">42 - Production of bulk organic chemicals as specified in Annex I of Directive 2003/87/EC </v>
      </c>
      <c r="F1100" s="349"/>
      <c r="G1100" s="282"/>
      <c r="H1100" s="341" t="str">
        <f>_xlfn.CONCAT(_xlfn.XLOOKUP("[S05_CategoryBHighestTierNotApplied][3][CategoryBInstallationsAffected]",Submission!$O:$O,Submission!$H:$N,""))</f>
        <v>1</v>
      </c>
      <c r="I1100" s="342"/>
    </row>
    <row r="1101" spans="1:9" ht="25.95" customHeight="1" x14ac:dyDescent="0.3">
      <c r="B1101" s="34"/>
      <c r="C1101" s="284" t="str">
        <f>_xlfn.CONCAT(_xlfn.XLOOKUP("[S05_CategoryBHighestTierNotApplied][4][MonitoringMethodology]",Submission!$O:$O,Submission!$H:$N,""))</f>
        <v>Calculation based methodology</v>
      </c>
      <c r="D1101" s="285"/>
      <c r="E1101" s="281" t="str">
        <f>_xlfn.CONCAT(_xlfn.XLOOKUP("[S05_CategoryBHighestTierNotApplied][4][CategoryBMainActivity]",Submission!$O:$O,Submission!$H:$N,""))</f>
        <v>29 - Production of cement clinker in rotary kilns as specified in Annex I of Directive 2003/87/ EC</v>
      </c>
      <c r="F1101" s="349"/>
      <c r="G1101" s="282"/>
      <c r="H1101" s="341" t="str">
        <f>_xlfn.CONCAT(_xlfn.XLOOKUP("[S05_CategoryBHighestTierNotApplied][4][CategoryBInstallationsAffected]",Submission!$O:$O,Submission!$H:$N,""))</f>
        <v>0</v>
      </c>
      <c r="I1101" s="342"/>
    </row>
    <row r="1102" spans="1:9" ht="25.95" customHeight="1" x14ac:dyDescent="0.3">
      <c r="B1102" s="34"/>
      <c r="C1102" s="284" t="str">
        <f>_xlfn.CONCAT(_xlfn.XLOOKUP("[S05_CategoryBHighestTierNotApplied][5][MonitoringMethodology]",Submission!$O:$O,Submission!$H:$N,""))</f>
        <v>Calculation based methodology</v>
      </c>
      <c r="D1102" s="285"/>
      <c r="E1102" s="281" t="str">
        <f>_xlfn.CONCAT(_xlfn.XLOOKUP("[S05_CategoryBHighestTierNotApplied][5][CategoryBMainActivity]",Submission!$O:$O,Submission!$H:$N,""))</f>
        <v>30 - Production of lime or calcination of dolomite or magnesite as specified in Annex I of Directive 2003/87/ EC</v>
      </c>
      <c r="F1102" s="349"/>
      <c r="G1102" s="282"/>
      <c r="H1102" s="341" t="str">
        <f>_xlfn.CONCAT(_xlfn.XLOOKUP("[S05_CategoryBHighestTierNotApplied][5][CategoryBInstallationsAffected]",Submission!$O:$O,Submission!$H:$N,""))</f>
        <v>2</v>
      </c>
      <c r="I1102" s="342"/>
    </row>
    <row r="1103" spans="1:9" ht="25.95" customHeight="1" x14ac:dyDescent="0.3">
      <c r="B1103" s="34"/>
      <c r="C1103" s="284" t="str">
        <f>_xlfn.CONCAT(_xlfn.XLOOKUP("[S05_CategoryBHighestTierNotApplied][6][MonitoringMethodology]",Submission!$O:$O,Submission!$H:$N,""))</f>
        <v>Calculation based methodology</v>
      </c>
      <c r="D1103" s="285"/>
      <c r="E1103" s="281" t="str">
        <f>_xlfn.CONCAT(_xlfn.XLOOKUP("[S05_CategoryBHighestTierNotApplied][6][CategoryBMainActivity]",Submission!$O:$O,Submission!$H:$N,""))</f>
        <v>24 - Production of pig iron or steel as specified in Annex I of Directive 2003/87/EC</v>
      </c>
      <c r="F1103" s="349"/>
      <c r="G1103" s="282"/>
      <c r="H1103" s="341" t="str">
        <f>_xlfn.CONCAT(_xlfn.XLOOKUP("[S05_CategoryBHighestTierNotApplied][6][CategoryBInstallationsAffected]",Submission!$O:$O,Submission!$H:$N,""))</f>
        <v>1</v>
      </c>
      <c r="I1103" s="342"/>
    </row>
    <row r="1104" spans="1:9" ht="25.95" customHeight="1" x14ac:dyDescent="0.3">
      <c r="B1104" s="34"/>
      <c r="C1104" s="284" t="str">
        <f>_xlfn.CONCAT(_xlfn.XLOOKUP("[S05_CategoryBHighestTierNotApplied][7][MonitoringMethodology]",Submission!$O:$O,Submission!$H:$N,""))</f>
        <v>Calculation based methodology</v>
      </c>
      <c r="D1104" s="285"/>
      <c r="E1104" s="281" t="str">
        <f>_xlfn.CONCAT(_xlfn.XLOOKUP("[S05_CategoryBHighestTierNotApplied][7][CategoryBMainActivity]",Submission!$O:$O,Submission!$H:$N,""))</f>
        <v>26 - Production of primary aluminium</v>
      </c>
      <c r="F1104" s="349"/>
      <c r="G1104" s="282"/>
      <c r="H1104" s="341" t="str">
        <f>_xlfn.CONCAT(_xlfn.XLOOKUP("[S05_CategoryBHighestTierNotApplied][7][CategoryBInstallationsAffected]",Submission!$O:$O,Submission!$H:$N,""))</f>
        <v>3</v>
      </c>
      <c r="I1104" s="342"/>
    </row>
    <row r="1105" spans="1:9" ht="25.95" hidden="1" customHeight="1" outlineLevel="1" x14ac:dyDescent="0.3">
      <c r="B1105" s="34"/>
      <c r="C1105" s="284" t="str">
        <f>_xlfn.CONCAT(_xlfn.XLOOKUP("[S05_CategoryBHighestTierNotApplied][8][MonitoringMethodology]",Submission!$O:$O,Submission!$H:$N,""))</f>
        <v>Calculation based methodology</v>
      </c>
      <c r="D1105" s="285"/>
      <c r="E1105" s="281" t="str">
        <f>_xlfn.CONCAT(_xlfn.XLOOKUP("[S05_CategoryBHighestTierNotApplied][8][CategoryBMainActivity]",Submission!$O:$O,Submission!$H:$N,""))</f>
        <v>35 - Production of pulp as specified in Annex I of Directive 2003/87/EC</v>
      </c>
      <c r="F1105" s="349"/>
      <c r="G1105" s="282"/>
      <c r="H1105" s="341" t="str">
        <f>_xlfn.CONCAT(_xlfn.XLOOKUP("[S05_CategoryBHighestTierNotApplied][8][CategoryBInstallationsAffected]",Submission!$O:$O,Submission!$H:$N,""))</f>
        <v>1</v>
      </c>
      <c r="I1105" s="342"/>
    </row>
    <row r="1106" spans="1:9" ht="25.95" hidden="1" customHeight="1" outlineLevel="1" x14ac:dyDescent="0.3">
      <c r="B1106" s="34"/>
      <c r="C1106" s="284" t="str">
        <f>_xlfn.CONCAT(_xlfn.XLOOKUP("[S05_CategoryBHighestTierNotApplied][9][MonitoringMethodology]",Submission!$O:$O,Submission!$H:$N,""))</f>
        <v>Calculation based methodology</v>
      </c>
      <c r="D1106" s="285"/>
      <c r="E1106" s="281" t="str">
        <f>_xlfn.CONCAT(_xlfn.XLOOKUP("[S05_CategoryBHighestTierNotApplied][9][CategoryBMainActivity]",Submission!$O:$O,Submission!$H:$N,""))</f>
        <v>25 - Production or processing of ferrous metals as specified in Annex I of Directive 2003/87/EC</v>
      </c>
      <c r="F1106" s="349"/>
      <c r="G1106" s="282"/>
      <c r="H1106" s="341" t="str">
        <f>_xlfn.CONCAT(_xlfn.XLOOKUP("[S05_CategoryBHighestTierNotApplied][9][CategoryBInstallationsAffected]",Submission!$O:$O,Submission!$H:$N,""))</f>
        <v>2</v>
      </c>
      <c r="I1106" s="342"/>
    </row>
    <row r="1107" spans="1:9" ht="25.95" hidden="1" customHeight="1" outlineLevel="1" x14ac:dyDescent="0.3">
      <c r="B1107" s="34"/>
      <c r="C1107" s="284" t="str">
        <f>_xlfn.CONCAT(_xlfn.XLOOKUP("[S05_CategoryBHighestTierNotApplied][10][MonitoringMethodology]",Submission!$O:$O,Submission!$H:$N,""))</f>
        <v>Calculation based methodology</v>
      </c>
      <c r="D1107" s="285"/>
      <c r="E1107" s="281" t="str">
        <f>_xlfn.CONCAT(_xlfn.XLOOKUP("[S05_CategoryBHighestTierNotApplied][10][CategoryBMainActivity]",Submission!$O:$O,Submission!$H:$N,""))</f>
        <v>28 - Production or processing of non-ferrous metals as specified in Annex I of Directive 2003/87/EC</v>
      </c>
      <c r="F1107" s="349"/>
      <c r="G1107" s="282"/>
      <c r="H1107" s="341" t="str">
        <f>_xlfn.CONCAT(_xlfn.XLOOKUP("[S05_CategoryBHighestTierNotApplied][10][CategoryBInstallationsAffected]",Submission!$O:$O,Submission!$H:$N,""))</f>
        <v>0</v>
      </c>
      <c r="I1107" s="342"/>
    </row>
    <row r="1108" spans="1:9" ht="25.95" hidden="1" customHeight="1" outlineLevel="1" x14ac:dyDescent="0.3">
      <c r="B1108" s="34"/>
      <c r="C1108" s="284" t="str">
        <f>_xlfn.CONCAT(_xlfn.XLOOKUP("[S05_CategoryBHighestTierNotApplied][11][MonitoringMethodology]",Submission!$O:$O,Submission!$H:$N,""))</f>
        <v>Calculation based methodology</v>
      </c>
      <c r="D1108" s="285"/>
      <c r="E1108" s="281" t="str">
        <f>_xlfn.CONCAT(_xlfn.XLOOKUP("[S05_CategoryBHighestTierNotApplied][11][CategoryBMainActivity]",Submission!$O:$O,Submission!$H:$N,""))</f>
        <v>21 - Refining of mineral oil</v>
      </c>
      <c r="F1108" s="349"/>
      <c r="G1108" s="282"/>
      <c r="H1108" s="341" t="str">
        <f>_xlfn.CONCAT(_xlfn.XLOOKUP("[S05_CategoryBHighestTierNotApplied][11][CategoryBInstallationsAffected]",Submission!$O:$O,Submission!$H:$N,""))</f>
        <v>0</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No</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84" t="str">
        <f>_xlfn.CONCAT(_xlfn.XLOOKUP("[S05_FallBackApproachAppliedDetail][1][FallBackReason]",Submission!$O:$O,Submission!$H:$N,""))</f>
        <v/>
      </c>
      <c r="E1127" s="348"/>
      <c r="F1127" s="348"/>
      <c r="G1127" s="285"/>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81" t="str">
        <f>_xlfn.CONCAT(_xlfn.XLOOKUP("[S05_ImprovementReportArt69]["&amp;ROW(B1144)-ROW($B$1143)&amp;"][Annex1Activity]",Submission!$O:$O,Submission!$H:$N,""))</f>
        <v>20 - Combustion of fuels as specified in Annex I of Directive 2003/87/EC</v>
      </c>
      <c r="E1144" s="347"/>
      <c r="F1144" s="284" t="str">
        <f>_xlfn.CONCAT(_xlfn.XLOOKUP("[S05_ImprovementReportArt69]["&amp;ROW(B1144)-ROW($B$1143)&amp;"][ImprovementReportType]",Submission!$O:$O,Submission!$H:$N,""))</f>
        <v>Improvement report according to Article 69(4)</v>
      </c>
      <c r="G1144" s="282"/>
      <c r="H1144" s="124" t="str">
        <f>_xlfn.CONCAT(_xlfn.XLOOKUP("[S05_ImprovementReportArt69]["&amp;ROW(B1144)-ROW($B$1143)&amp;"][ImprovementReportRequired]",Submission!$O:$O,Submission!$H:$N,""))</f>
        <v>14</v>
      </c>
      <c r="I1144" s="124" t="str">
        <f>_xlfn.CONCAT(_xlfn.XLOOKUP("[S05_ImprovementReportArt69]["&amp;ROW(B1144)-ROW($B$1143)&amp;"][ImprovementReportSubmitted]",Submission!$O:$O,Submission!$H:$N,""))</f>
        <v>6</v>
      </c>
    </row>
    <row r="1145" spans="1:9" ht="27" customHeight="1" x14ac:dyDescent="0.3">
      <c r="A1145" s="12"/>
      <c r="C1145" s="47" t="str">
        <f>_xlfn.CONCAT(_xlfn.XLOOKUP("[S05_ImprovementReportArt69]["&amp;ROW(B1145)-ROW($B$1143)&amp;"][InstallationCategory]",Submission!$O:$O,Submission!$H:$N,""))</f>
        <v>Category A</v>
      </c>
      <c r="D1145" s="281" t="str">
        <f>_xlfn.CONCAT(_xlfn.XLOOKUP("[S05_ImprovementReportArt69]["&amp;ROW(B1145)-ROW($B$1143)&amp;"][Annex1Activity]",Submission!$O:$O,Submission!$H:$N,""))</f>
        <v>20 - Combustion of fuels as specified in Annex I of Directive 2003/87/EC</v>
      </c>
      <c r="E1145" s="347"/>
      <c r="F1145" s="284" t="str">
        <f>_xlfn.CONCAT(_xlfn.XLOOKUP("[S05_ImprovementReportArt69]["&amp;ROW(B1145)-ROW($B$1143)&amp;"][ImprovementReportType]",Submission!$O:$O,Submission!$H:$N,""))</f>
        <v>Improvement report in accordance with Article 69(1)</v>
      </c>
      <c r="G1145" s="282"/>
      <c r="H1145" s="124" t="str">
        <f>_xlfn.CONCAT(_xlfn.XLOOKUP("[S05_ImprovementReportArt69]["&amp;ROW(B1145)-ROW($B$1143)&amp;"][ImprovementReportRequired]",Submission!$O:$O,Submission!$H:$N,""))</f>
        <v>3</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A</v>
      </c>
      <c r="D1146" s="281" t="str">
        <f>_xlfn.CONCAT(_xlfn.XLOOKUP("[S05_ImprovementReportArt69]["&amp;ROW(B1146)-ROW($B$1143)&amp;"][Annex1Activity]",Submission!$O:$O,Submission!$H:$N,""))</f>
        <v>23 - Metal ore (including sulphide ore) roasting or sintering, including pelletisation</v>
      </c>
      <c r="E1146" s="347"/>
      <c r="F1146" s="284" t="str">
        <f>_xlfn.CONCAT(_xlfn.XLOOKUP("[S05_ImprovementReportArt69]["&amp;ROW(B1146)-ROW($B$1143)&amp;"][ImprovementReportType]",Submission!$O:$O,Submission!$H:$N,""))</f>
        <v>Improvement report in accordance with Article 69(1)</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0</v>
      </c>
    </row>
    <row r="1147" spans="1:9" ht="27" customHeight="1" x14ac:dyDescent="0.3">
      <c r="A1147" s="12"/>
      <c r="C1147" s="47" t="str">
        <f>_xlfn.CONCAT(_xlfn.XLOOKUP("[S05_ImprovementReportArt69]["&amp;ROW(B1147)-ROW($B$1143)&amp;"][InstallationCategory]",Submission!$O:$O,Submission!$H:$N,""))</f>
        <v>Category A</v>
      </c>
      <c r="D1147" s="281" t="str">
        <f>_xlfn.CONCAT(_xlfn.XLOOKUP("[S05_ImprovementReportArt69]["&amp;ROW(B1147)-ROW($B$1143)&amp;"][Annex1Activity]",Submission!$O:$O,Submission!$H:$N,""))</f>
        <v xml:space="preserve">42 - Production of bulk organic chemicals as specified in Annex I of Directive 2003/87/EC </v>
      </c>
      <c r="E1147" s="347"/>
      <c r="F1147" s="284" t="str">
        <f>_xlfn.CONCAT(_xlfn.XLOOKUP("[S05_ImprovementReportArt69]["&amp;ROW(B1147)-ROW($B$1143)&amp;"][ImprovementReportType]",Submission!$O:$O,Submission!$H:$N,""))</f>
        <v>Improvement report according to Article 69(4)</v>
      </c>
      <c r="G1147" s="282"/>
      <c r="H1147" s="124" t="str">
        <f>_xlfn.CONCAT(_xlfn.XLOOKUP("[S05_ImprovementReportArt69]["&amp;ROW(B1147)-ROW($B$1143)&amp;"][ImprovementReportRequired]",Submission!$O:$O,Submission!$H:$N,""))</f>
        <v>2</v>
      </c>
      <c r="I1147" s="124" t="str">
        <f>_xlfn.CONCAT(_xlfn.XLOOKUP("[S05_ImprovementReportArt69]["&amp;ROW(B1147)-ROW($B$1143)&amp;"][ImprovementReportSubmitted]",Submission!$O:$O,Submission!$H:$N,""))</f>
        <v>0</v>
      </c>
    </row>
    <row r="1148" spans="1:9" ht="27" customHeight="1" x14ac:dyDescent="0.3">
      <c r="A1148" s="12"/>
      <c r="C1148" s="47" t="str">
        <f>_xlfn.CONCAT(_xlfn.XLOOKUP("[S05_ImprovementReportArt69]["&amp;ROW(B1148)-ROW($B$1143)&amp;"][InstallationCategory]",Submission!$O:$O,Submission!$H:$N,""))</f>
        <v>Category A</v>
      </c>
      <c r="D1148" s="281" t="str">
        <f>_xlfn.CONCAT(_xlfn.XLOOKUP("[S05_ImprovementReportArt69]["&amp;ROW(B1148)-ROW($B$1143)&amp;"][Annex1Activity]",Submission!$O:$O,Submission!$H:$N,""))</f>
        <v xml:space="preserve">36 - Production of paper or cardboard as specified in Annex I of Directive 2003/87/EC </v>
      </c>
      <c r="E1148" s="347"/>
      <c r="F1148" s="284" t="str">
        <f>_xlfn.CONCAT(_xlfn.XLOOKUP("[S05_ImprovementReportArt69]["&amp;ROW(B1148)-ROW($B$1143)&amp;"][ImprovementReportType]",Submission!$O:$O,Submission!$H:$N,""))</f>
        <v>Improvement report in accordance with Article 69(1)</v>
      </c>
      <c r="G1148" s="282"/>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0</v>
      </c>
    </row>
    <row r="1149" spans="1:9" ht="27" customHeight="1" x14ac:dyDescent="0.3">
      <c r="A1149" s="12"/>
      <c r="C1149" s="47" t="str">
        <f>_xlfn.CONCAT(_xlfn.XLOOKUP("[S05_ImprovementReportArt69]["&amp;ROW(B1149)-ROW($B$1143)&amp;"][InstallationCategory]",Submission!$O:$O,Submission!$H:$N,""))</f>
        <v>Category A</v>
      </c>
      <c r="D1149" s="281" t="str">
        <f>_xlfn.CONCAT(_xlfn.XLOOKUP("[S05_ImprovementReportArt69]["&amp;ROW(B1149)-ROW($B$1143)&amp;"][Annex1Activity]",Submission!$O:$O,Submission!$H:$N,""))</f>
        <v xml:space="preserve">36 - Production of paper or cardboard as specified in Annex I of Directive 2003/87/EC </v>
      </c>
      <c r="E1149" s="347"/>
      <c r="F1149" s="284" t="str">
        <f>_xlfn.CONCAT(_xlfn.XLOOKUP("[S05_ImprovementReportArt69]["&amp;ROW(B1149)-ROW($B$1143)&amp;"][ImprovementReportType]",Submission!$O:$O,Submission!$H:$N,""))</f>
        <v>Improvement report according to Article 69(4)</v>
      </c>
      <c r="G1149" s="282"/>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0</v>
      </c>
    </row>
    <row r="1150" spans="1:9" ht="27" customHeight="1" x14ac:dyDescent="0.3">
      <c r="A1150" s="12"/>
      <c r="C1150" s="47" t="str">
        <f>_xlfn.CONCAT(_xlfn.XLOOKUP("[S05_ImprovementReportArt69]["&amp;ROW(B1150)-ROW($B$1143)&amp;"][InstallationCategory]",Submission!$O:$O,Submission!$H:$N,""))</f>
        <v>Category A</v>
      </c>
      <c r="D1150" s="281" t="str">
        <f>_xlfn.CONCAT(_xlfn.XLOOKUP("[S05_ImprovementReportArt69]["&amp;ROW(B1150)-ROW($B$1143)&amp;"][Annex1Activity]",Submission!$O:$O,Submission!$H:$N,""))</f>
        <v>35 - Production of pulp as specified in Annex I of Directive 2003/87/EC</v>
      </c>
      <c r="E1150" s="347"/>
      <c r="F1150" s="284" t="str">
        <f>_xlfn.CONCAT(_xlfn.XLOOKUP("[S05_ImprovementReportArt69]["&amp;ROW(B1150)-ROW($B$1143)&amp;"][ImprovementReportType]",Submission!$O:$O,Submission!$H:$N,""))</f>
        <v>Improvement report according to Article 69(4)</v>
      </c>
      <c r="G1150" s="282"/>
      <c r="H1150" s="124" t="str">
        <f>_xlfn.CONCAT(_xlfn.XLOOKUP("[S05_ImprovementReportArt69]["&amp;ROW(B1150)-ROW($B$1143)&amp;"][ImprovementReportRequired]",Submission!$O:$O,Submission!$H:$N,""))</f>
        <v>2</v>
      </c>
      <c r="I1150" s="124" t="str">
        <f>_xlfn.CONCAT(_xlfn.XLOOKUP("[S05_ImprovementReportArt69]["&amp;ROW(B1150)-ROW($B$1143)&amp;"][ImprovementReportSubmitted]",Submission!$O:$O,Submission!$H:$N,""))</f>
        <v>1</v>
      </c>
    </row>
    <row r="1151" spans="1:9" ht="27" customHeight="1" x14ac:dyDescent="0.3">
      <c r="A1151" s="12"/>
      <c r="C1151" s="47" t="str">
        <f>_xlfn.CONCAT(_xlfn.XLOOKUP("[S05_ImprovementReportArt69]["&amp;ROW(B1151)-ROW($B$1143)&amp;"][InstallationCategory]",Submission!$O:$O,Submission!$H:$N,""))</f>
        <v>Category B</v>
      </c>
      <c r="D1151" s="281" t="str">
        <f>_xlfn.CONCAT(_xlfn.XLOOKUP("[S05_ImprovementReportArt69]["&amp;ROW(B1151)-ROW($B$1143)&amp;"][Annex1Activity]",Submission!$O:$O,Submission!$H:$N,""))</f>
        <v>20 - Combustion of fuels as specified in Annex I of Directive 2003/87/EC</v>
      </c>
      <c r="E1151" s="347"/>
      <c r="F1151" s="284" t="str">
        <f>_xlfn.CONCAT(_xlfn.XLOOKUP("[S05_ImprovementReportArt69]["&amp;ROW(B1151)-ROW($B$1143)&amp;"][ImprovementReportType]",Submission!$O:$O,Submission!$H:$N,""))</f>
        <v>Improvement report according to Article 69(4)</v>
      </c>
      <c r="G1151" s="282"/>
      <c r="H1151" s="124" t="str">
        <f>_xlfn.CONCAT(_xlfn.XLOOKUP("[S05_ImprovementReportArt69]["&amp;ROW(B1151)-ROW($B$1143)&amp;"][ImprovementReportRequired]",Submission!$O:$O,Submission!$H:$N,""))</f>
        <v>8</v>
      </c>
      <c r="I1151" s="124" t="str">
        <f>_xlfn.CONCAT(_xlfn.XLOOKUP("[S05_ImprovementReportArt69]["&amp;ROW(B1151)-ROW($B$1143)&amp;"][ImprovementReportSubmitted]",Submission!$O:$O,Submission!$H:$N,""))</f>
        <v>5</v>
      </c>
    </row>
    <row r="1152" spans="1:9" ht="27" customHeight="1" x14ac:dyDescent="0.3">
      <c r="A1152" s="12"/>
      <c r="C1152" s="47" t="str">
        <f>_xlfn.CONCAT(_xlfn.XLOOKUP("[S05_ImprovementReportArt69]["&amp;ROW(B1152)-ROW($B$1143)&amp;"][InstallationCategory]",Submission!$O:$O,Submission!$H:$N,""))</f>
        <v>Category B</v>
      </c>
      <c r="D1152" s="281" t="str">
        <f>_xlfn.CONCAT(_xlfn.XLOOKUP("[S05_ImprovementReportArt69]["&amp;ROW(B1152)-ROW($B$1143)&amp;"][Annex1Activity]",Submission!$O:$O,Submission!$H:$N,""))</f>
        <v>20 - Combustion of fuels as specified in Annex I of Directive 2003/87/EC</v>
      </c>
      <c r="E1152" s="347"/>
      <c r="F1152" s="284" t="str">
        <f>_xlfn.CONCAT(_xlfn.XLOOKUP("[S05_ImprovementReportArt69]["&amp;ROW(B1152)-ROW($B$1143)&amp;"][ImprovementReportType]",Submission!$O:$O,Submission!$H:$N,""))</f>
        <v>Improvement report in accordance with Article 69(1)</v>
      </c>
      <c r="G1152" s="282"/>
      <c r="H1152" s="124" t="str">
        <f>_xlfn.CONCAT(_xlfn.XLOOKUP("[S05_ImprovementReportArt69]["&amp;ROW(B1152)-ROW($B$1143)&amp;"][ImprovementReportRequired]",Submission!$O:$O,Submission!$H:$N,""))</f>
        <v>4</v>
      </c>
      <c r="I1152" s="124" t="str">
        <f>_xlfn.CONCAT(_xlfn.XLOOKUP("[S05_ImprovementReportArt69]["&amp;ROW(B1152)-ROW($B$1143)&amp;"][ImprovementReportSubmitted]",Submission!$O:$O,Submission!$H:$N,""))</f>
        <v>4</v>
      </c>
    </row>
    <row r="1153" spans="1:9" ht="27" customHeight="1" x14ac:dyDescent="0.3">
      <c r="A1153" s="12"/>
      <c r="C1153" s="47" t="str">
        <f>_xlfn.CONCAT(_xlfn.XLOOKUP("[S05_ImprovementReportArt69]["&amp;ROW(B1153)-ROW($B$1143)&amp;"][InstallationCategory]",Submission!$O:$O,Submission!$H:$N,""))</f>
        <v>Category B</v>
      </c>
      <c r="D1153" s="281" t="str">
        <f>_xlfn.CONCAT(_xlfn.XLOOKUP("[S05_ImprovementReportArt69]["&amp;ROW(B1153)-ROW($B$1143)&amp;"][Annex1Activity]",Submission!$O:$O,Submission!$H:$N,""))</f>
        <v xml:space="preserve">42 - Production of bulk organic chemicals as specified in Annex I of Directive 2003/87/EC </v>
      </c>
      <c r="E1153" s="347"/>
      <c r="F1153" s="284" t="str">
        <f>_xlfn.CONCAT(_xlfn.XLOOKUP("[S05_ImprovementReportArt69]["&amp;ROW(B1153)-ROW($B$1143)&amp;"][ImprovementReportType]",Submission!$O:$O,Submission!$H:$N,""))</f>
        <v>Improvement report according to Article 69(4)</v>
      </c>
      <c r="G1153" s="282"/>
      <c r="H1153" s="124" t="str">
        <f>_xlfn.CONCAT(_xlfn.XLOOKUP("[S05_ImprovementReportArt69]["&amp;ROW(B1153)-ROW($B$1143)&amp;"][ImprovementReportRequired]",Submission!$O:$O,Submission!$H:$N,""))</f>
        <v>2</v>
      </c>
      <c r="I1153" s="124" t="str">
        <f>_xlfn.CONCAT(_xlfn.XLOOKUP("[S05_ImprovementReportArt69]["&amp;ROW(B1153)-ROW($B$1143)&amp;"][ImprovementReportSubmitted]",Submission!$O:$O,Submission!$H:$N,""))</f>
        <v>2</v>
      </c>
    </row>
    <row r="1154" spans="1:9" ht="27" customHeight="1" x14ac:dyDescent="0.3">
      <c r="A1154" s="12"/>
      <c r="C1154" s="47" t="str">
        <f>_xlfn.CONCAT(_xlfn.XLOOKUP("[S05_ImprovementReportArt69]["&amp;ROW(B1154)-ROW($B$1143)&amp;"][InstallationCategory]",Submission!$O:$O,Submission!$H:$N,""))</f>
        <v>Category B</v>
      </c>
      <c r="D1154" s="281" t="str">
        <f>_xlfn.CONCAT(_xlfn.XLOOKUP("[S05_ImprovementReportArt69]["&amp;ROW(B1154)-ROW($B$1143)&amp;"][Annex1Activity]",Submission!$O:$O,Submission!$H:$N,""))</f>
        <v>29 - Production of cement clinker in rotary kilns as specified in Annex I of Directive 2003/87/ EC</v>
      </c>
      <c r="E1154" s="347"/>
      <c r="F1154" s="284" t="str">
        <f>_xlfn.CONCAT(_xlfn.XLOOKUP("[S05_ImprovementReportArt69]["&amp;ROW(B1154)-ROW($B$1143)&amp;"][ImprovementReportType]",Submission!$O:$O,Submission!$H:$N,""))</f>
        <v>Improvement report according to Article 69(4)</v>
      </c>
      <c r="G1154" s="282"/>
      <c r="H1154" s="124" t="str">
        <f>_xlfn.CONCAT(_xlfn.XLOOKUP("[S05_ImprovementReportArt69]["&amp;ROW(B1154)-ROW($B$1143)&amp;"][ImprovementReportRequired]",Submission!$O:$O,Submission!$H:$N,""))</f>
        <v>1</v>
      </c>
      <c r="I1154" s="124" t="str">
        <f>_xlfn.CONCAT(_xlfn.XLOOKUP("[S05_ImprovementReportArt69]["&amp;ROW(B1154)-ROW($B$1143)&amp;"][ImprovementReportSubmitted]",Submission!$O:$O,Submission!$H:$N,""))</f>
        <v>0</v>
      </c>
    </row>
    <row r="1155" spans="1:9" ht="27" customHeight="1" x14ac:dyDescent="0.3">
      <c r="A1155" s="12"/>
      <c r="C1155" s="47" t="str">
        <f>_xlfn.CONCAT(_xlfn.XLOOKUP("[S05_ImprovementReportArt69]["&amp;ROW(B1155)-ROW($B$1143)&amp;"][InstallationCategory]",Submission!$O:$O,Submission!$H:$N,""))</f>
        <v>Category B</v>
      </c>
      <c r="D1155" s="281" t="str">
        <f>_xlfn.CONCAT(_xlfn.XLOOKUP("[S05_ImprovementReportArt69]["&amp;ROW(B1155)-ROW($B$1143)&amp;"][Annex1Activity]",Submission!$O:$O,Submission!$H:$N,""))</f>
        <v>30 - Production of lime or calcination of dolomite or magnesite as specified in Annex I of Directive 2003/87/ EC</v>
      </c>
      <c r="E1155" s="347"/>
      <c r="F1155" s="284" t="str">
        <f>_xlfn.CONCAT(_xlfn.XLOOKUP("[S05_ImprovementReportArt69]["&amp;ROW(B1155)-ROW($B$1143)&amp;"][ImprovementReportType]",Submission!$O:$O,Submission!$H:$N,""))</f>
        <v>Improvement report according to Article 69(4)</v>
      </c>
      <c r="G1155" s="282"/>
      <c r="H1155" s="124" t="str">
        <f>_xlfn.CONCAT(_xlfn.XLOOKUP("[S05_ImprovementReportArt69]["&amp;ROW(B1155)-ROW($B$1143)&amp;"][ImprovementReportRequired]",Submission!$O:$O,Submission!$H:$N,""))</f>
        <v>1</v>
      </c>
      <c r="I1155" s="124" t="str">
        <f>_xlfn.CONCAT(_xlfn.XLOOKUP("[S05_ImprovementReportArt69]["&amp;ROW(B1155)-ROW($B$1143)&amp;"][ImprovementReportSubmitted]",Submission!$O:$O,Submission!$H:$N,""))</f>
        <v>0</v>
      </c>
    </row>
    <row r="1156" spans="1:9" ht="27" customHeight="1" x14ac:dyDescent="0.3">
      <c r="A1156" s="12"/>
      <c r="C1156" s="47" t="str">
        <f>_xlfn.CONCAT(_xlfn.XLOOKUP("[S05_ImprovementReportArt69]["&amp;ROW(B1156)-ROW($B$1143)&amp;"][InstallationCategory]",Submission!$O:$O,Submission!$H:$N,""))</f>
        <v>Category B</v>
      </c>
      <c r="D1156" s="281" t="str">
        <f>_xlfn.CONCAT(_xlfn.XLOOKUP("[S05_ImprovementReportArt69]["&amp;ROW(B1156)-ROW($B$1143)&amp;"][Annex1Activity]",Submission!$O:$O,Submission!$H:$N,""))</f>
        <v>26 - Production of primary aluminium</v>
      </c>
      <c r="E1156" s="347"/>
      <c r="F1156" s="284" t="str">
        <f>_xlfn.CONCAT(_xlfn.XLOOKUP("[S05_ImprovementReportArt69]["&amp;ROW(B1156)-ROW($B$1143)&amp;"][ImprovementReportType]",Submission!$O:$O,Submission!$H:$N,""))</f>
        <v>Improvement report according to Article 69(4)</v>
      </c>
      <c r="G1156" s="282"/>
      <c r="H1156" s="124" t="str">
        <f>_xlfn.CONCAT(_xlfn.XLOOKUP("[S05_ImprovementReportArt69]["&amp;ROW(B1156)-ROW($B$1143)&amp;"][ImprovementReportRequired]",Submission!$O:$O,Submission!$H:$N,""))</f>
        <v>3</v>
      </c>
      <c r="I1156" s="124" t="str">
        <f>_xlfn.CONCAT(_xlfn.XLOOKUP("[S05_ImprovementReportArt69]["&amp;ROW(B1156)-ROW($B$1143)&amp;"][ImprovementReportSubmitted]",Submission!$O:$O,Submission!$H:$N,""))</f>
        <v>1</v>
      </c>
    </row>
    <row r="1157" spans="1:9" ht="27" customHeight="1" x14ac:dyDescent="0.3">
      <c r="A1157" s="12"/>
      <c r="C1157" s="47" t="str">
        <f>_xlfn.CONCAT(_xlfn.XLOOKUP("[S05_ImprovementReportArt69]["&amp;ROW(B1157)-ROW($B$1143)&amp;"][InstallationCategory]",Submission!$O:$O,Submission!$H:$N,""))</f>
        <v>Category B</v>
      </c>
      <c r="D1157" s="281" t="str">
        <f>_xlfn.CONCAT(_xlfn.XLOOKUP("[S05_ImprovementReportArt69]["&amp;ROW(B1157)-ROW($B$1143)&amp;"][Annex1Activity]",Submission!$O:$O,Submission!$H:$N,""))</f>
        <v>35 - Production of pulp as specified in Annex I of Directive 2003/87/EC</v>
      </c>
      <c r="E1157" s="347"/>
      <c r="F1157" s="284" t="str">
        <f>_xlfn.CONCAT(_xlfn.XLOOKUP("[S05_ImprovementReportArt69]["&amp;ROW(B1157)-ROW($B$1143)&amp;"][ImprovementReportType]",Submission!$O:$O,Submission!$H:$N,""))</f>
        <v>Improvement report according to Article 69(4)</v>
      </c>
      <c r="G1157" s="282"/>
      <c r="H1157" s="124" t="str">
        <f>_xlfn.CONCAT(_xlfn.XLOOKUP("[S05_ImprovementReportArt69]["&amp;ROW(B1157)-ROW($B$1143)&amp;"][ImprovementReportRequired]",Submission!$O:$O,Submission!$H:$N,""))</f>
        <v>1</v>
      </c>
      <c r="I1157" s="124" t="str">
        <f>_xlfn.CONCAT(_xlfn.XLOOKUP("[S05_ImprovementReportArt69]["&amp;ROW(B1157)-ROW($B$1143)&amp;"][ImprovementReportSubmitted]",Submission!$O:$O,Submission!$H:$N,""))</f>
        <v>0</v>
      </c>
    </row>
    <row r="1158" spans="1:9" ht="27" customHeight="1" x14ac:dyDescent="0.3">
      <c r="A1158" s="12"/>
      <c r="C1158" s="47" t="str">
        <f>_xlfn.CONCAT(_xlfn.XLOOKUP("[S05_ImprovementReportArt69]["&amp;ROW(B1158)-ROW($B$1143)&amp;"][InstallationCategory]",Submission!$O:$O,Submission!$H:$N,""))</f>
        <v>Category B</v>
      </c>
      <c r="D1158" s="281" t="str">
        <f>_xlfn.CONCAT(_xlfn.XLOOKUP("[S05_ImprovementReportArt69]["&amp;ROW(B1158)-ROW($B$1143)&amp;"][Annex1Activity]",Submission!$O:$O,Submission!$H:$N,""))</f>
        <v>25 - Production or processing of ferrous metals as specified in Annex I of Directive 2003/87/EC</v>
      </c>
      <c r="E1158" s="347"/>
      <c r="F1158" s="284" t="str">
        <f>_xlfn.CONCAT(_xlfn.XLOOKUP("[S05_ImprovementReportArt69]["&amp;ROW(B1158)-ROW($B$1143)&amp;"][ImprovementReportType]",Submission!$O:$O,Submission!$H:$N,""))</f>
        <v>Improvement report according to Article 69(4)</v>
      </c>
      <c r="G1158" s="282"/>
      <c r="H1158" s="124" t="str">
        <f>_xlfn.CONCAT(_xlfn.XLOOKUP("[S05_ImprovementReportArt69]["&amp;ROW(B1158)-ROW($B$1143)&amp;"][ImprovementReportRequired]",Submission!$O:$O,Submission!$H:$N,""))</f>
        <v>4</v>
      </c>
      <c r="I1158" s="124" t="str">
        <f>_xlfn.CONCAT(_xlfn.XLOOKUP("[S05_ImprovementReportArt69]["&amp;ROW(B1158)-ROW($B$1143)&amp;"][ImprovementReportSubmitted]",Submission!$O:$O,Submission!$H:$N,""))</f>
        <v>2</v>
      </c>
    </row>
    <row r="1159" spans="1:9" ht="27" customHeight="1" x14ac:dyDescent="0.3">
      <c r="A1159" s="12"/>
      <c r="C1159" s="47" t="str">
        <f>_xlfn.CONCAT(_xlfn.XLOOKUP("[S05_ImprovementReportArt69]["&amp;ROW(B1159)-ROW($B$1143)&amp;"][InstallationCategory]",Submission!$O:$O,Submission!$H:$N,""))</f>
        <v>Category B</v>
      </c>
      <c r="D1159" s="281" t="str">
        <f>_xlfn.CONCAT(_xlfn.XLOOKUP("[S05_ImprovementReportArt69]["&amp;ROW(B1159)-ROW($B$1143)&amp;"][Annex1Activity]",Submission!$O:$O,Submission!$H:$N,""))</f>
        <v>25 - Production or processing of ferrous metals as specified in Annex I of Directive 2003/87/EC</v>
      </c>
      <c r="E1159" s="347"/>
      <c r="F1159" s="284" t="str">
        <f>_xlfn.CONCAT(_xlfn.XLOOKUP("[S05_ImprovementReportArt69]["&amp;ROW(B1159)-ROW($B$1143)&amp;"][ImprovementReportType]",Submission!$O:$O,Submission!$H:$N,""))</f>
        <v>Improvement report in accordance with Article 69(1)</v>
      </c>
      <c r="G1159" s="282"/>
      <c r="H1159" s="124" t="str">
        <f>_xlfn.CONCAT(_xlfn.XLOOKUP("[S05_ImprovementReportArt69]["&amp;ROW(B1159)-ROW($B$1143)&amp;"][ImprovementReportRequired]",Submission!$O:$O,Submission!$H:$N,""))</f>
        <v>1</v>
      </c>
      <c r="I1159" s="124" t="str">
        <f>_xlfn.CONCAT(_xlfn.XLOOKUP("[S05_ImprovementReportArt69]["&amp;ROW(B1159)-ROW($B$1143)&amp;"][ImprovementReportSubmitted]",Submission!$O:$O,Submission!$H:$N,""))</f>
        <v>0</v>
      </c>
    </row>
    <row r="1160" spans="1:9" ht="27" customHeight="1" x14ac:dyDescent="0.3">
      <c r="A1160" s="12"/>
      <c r="C1160" s="47" t="str">
        <f>_xlfn.CONCAT(_xlfn.XLOOKUP("[S05_ImprovementReportArt69]["&amp;ROW(B1160)-ROW($B$1143)&amp;"][InstallationCategory]",Submission!$O:$O,Submission!$H:$N,""))</f>
        <v>Category B</v>
      </c>
      <c r="D1160" s="281" t="str">
        <f>_xlfn.CONCAT(_xlfn.XLOOKUP("[S05_ImprovementReportArt69]["&amp;ROW(B1160)-ROW($B$1143)&amp;"][Annex1Activity]",Submission!$O:$O,Submission!$H:$N,""))</f>
        <v>21 - Refining of mineral oil</v>
      </c>
      <c r="E1160" s="347"/>
      <c r="F1160" s="284" t="str">
        <f>_xlfn.CONCAT(_xlfn.XLOOKUP("[S05_ImprovementReportArt69]["&amp;ROW(B1160)-ROW($B$1143)&amp;"][ImprovementReportType]",Submission!$O:$O,Submission!$H:$N,""))</f>
        <v>Improvement report according to Article 69(4)</v>
      </c>
      <c r="G1160" s="282"/>
      <c r="H1160" s="124" t="str">
        <f>_xlfn.CONCAT(_xlfn.XLOOKUP("[S05_ImprovementReportArt69]["&amp;ROW(B1160)-ROW($B$1143)&amp;"][ImprovementReportRequired]",Submission!$O:$O,Submission!$H:$N,""))</f>
        <v>1</v>
      </c>
      <c r="I1160" s="124" t="str">
        <f>_xlfn.CONCAT(_xlfn.XLOOKUP("[S05_ImprovementReportArt69]["&amp;ROW(B1160)-ROW($B$1143)&amp;"][ImprovementReportSubmitted]",Submission!$O:$O,Submission!$H:$N,""))</f>
        <v>1</v>
      </c>
    </row>
    <row r="1161" spans="1:9" ht="27" customHeight="1" x14ac:dyDescent="0.3">
      <c r="A1161" s="12"/>
      <c r="C1161" s="47" t="str">
        <f>_xlfn.CONCAT(_xlfn.XLOOKUP("[S05_ImprovementReportArt69]["&amp;ROW(B1161)-ROW($B$1143)&amp;"][InstallationCategory]",Submission!$O:$O,Submission!$H:$N,""))</f>
        <v>Category C</v>
      </c>
      <c r="D1161" s="281" t="str">
        <f>_xlfn.CONCAT(_xlfn.XLOOKUP("[S05_ImprovementReportArt69]["&amp;ROW(B1161)-ROW($B$1143)&amp;"][Annex1Activity]",Submission!$O:$O,Submission!$H:$N,""))</f>
        <v>20 - Combustion of fuels as specified in Annex I of Directive 2003/87/EC</v>
      </c>
      <c r="E1161" s="347"/>
      <c r="F1161" s="284" t="str">
        <f>_xlfn.CONCAT(_xlfn.XLOOKUP("[S05_ImprovementReportArt69]["&amp;ROW(B1161)-ROW($B$1143)&amp;"][ImprovementReportType]",Submission!$O:$O,Submission!$H:$N,""))</f>
        <v>Improvement report according to Article 69(4)</v>
      </c>
      <c r="G1161" s="282"/>
      <c r="H1161" s="124" t="str">
        <f>_xlfn.CONCAT(_xlfn.XLOOKUP("[S05_ImprovementReportArt69]["&amp;ROW(B1161)-ROW($B$1143)&amp;"][ImprovementReportRequired]",Submission!$O:$O,Submission!$H:$N,""))</f>
        <v>6</v>
      </c>
      <c r="I1161" s="124" t="str">
        <f>_xlfn.CONCAT(_xlfn.XLOOKUP("[S05_ImprovementReportArt69]["&amp;ROW(B1161)-ROW($B$1143)&amp;"][ImprovementReportSubmitted]",Submission!$O:$O,Submission!$H:$N,""))</f>
        <v>4</v>
      </c>
    </row>
    <row r="1162" spans="1:9" ht="27" hidden="1" customHeight="1" outlineLevel="1" x14ac:dyDescent="0.3">
      <c r="A1162" s="12"/>
      <c r="C1162" s="47" t="str">
        <f>_xlfn.CONCAT(_xlfn.XLOOKUP("[S05_ImprovementReportArt69]["&amp;ROW(B1162)-ROW($B$1143)&amp;"][InstallationCategory]",Submission!$O:$O,Submission!$H:$N,""))</f>
        <v>Category C</v>
      </c>
      <c r="D1162" s="281" t="str">
        <f>_xlfn.CONCAT(_xlfn.XLOOKUP("[S05_ImprovementReportArt69]["&amp;ROW(B1162)-ROW($B$1143)&amp;"][Annex1Activity]",Submission!$O:$O,Submission!$H:$N,""))</f>
        <v>26 - Production of primary aluminium</v>
      </c>
      <c r="E1162" s="347"/>
      <c r="F1162" s="284" t="str">
        <f>_xlfn.CONCAT(_xlfn.XLOOKUP("[S05_ImprovementReportArt69]["&amp;ROW(B1162)-ROW($B$1143)&amp;"][ImprovementReportType]",Submission!$O:$O,Submission!$H:$N,""))</f>
        <v>Improvement report according to Article 69(4)</v>
      </c>
      <c r="G1162" s="282"/>
      <c r="H1162" s="124" t="str">
        <f>_xlfn.CONCAT(_xlfn.XLOOKUP("[S05_ImprovementReportArt69]["&amp;ROW(B1162)-ROW($B$1143)&amp;"][ImprovementReportRequired]",Submission!$O:$O,Submission!$H:$N,""))</f>
        <v>1</v>
      </c>
      <c r="I1162" s="124" t="str">
        <f>_xlfn.CONCAT(_xlfn.XLOOKUP("[S05_ImprovementReportArt69]["&amp;ROW(B1162)-ROW($B$1143)&amp;"][ImprovementReportSubmitted]",Submission!$O:$O,Submission!$H:$N,""))</f>
        <v>1</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Yes</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inherent CO2 (Article 48)</v>
      </c>
      <c r="D1220" s="72" t="str">
        <f>_xlfn.CONCAT(_xlfn.XLOOKUP("[S05_InherentCarbonTransferredDetail]["&amp;ROW(B1220)-ROW($B$1219)&amp;"][InstallationIdTransferring]",Submission!$O:$O,Submission!$H:$N,""))</f>
        <v>204085</v>
      </c>
      <c r="E1220" s="72" t="str">
        <f>_xlfn.CONCAT(_xlfn.XLOOKUP("[S05_InherentCarbonTransferredDetail]["&amp;ROW(B1220)-ROW($B$1219)&amp;"][InstallationIdReceiving]",Submission!$O:$O,Submission!$H:$N,""))</f>
        <v>44</v>
      </c>
      <c r="F1220" s="124" t="str">
        <f>_xlfn.CONCAT(_xlfn.XLOOKUP("[S05_InherentCarbonTransferredDetail]["&amp;ROW(B1220)-ROW($B$1219)&amp;"][AmountCO2Transferred]",Submission!$O:$O,Submission!$H:$N,""))</f>
        <v>2199</v>
      </c>
      <c r="G1220" s="124" t="str">
        <f>_xlfn.CONCAT(_xlfn.XLOOKUP("[S05_InherentCarbonTransferredDetail]["&amp;ROW(B1220)-ROW($B$1219)&amp;"][InherentCO2Received]",Submission!$O:$O,Submission!$H:$N,""))</f>
        <v>2198</v>
      </c>
      <c r="H1220" s="71" t="str">
        <f>_xlfn.CONCAT(_xlfn.XLOOKUP("[S05_InherentCarbonTransferredDetail]["&amp;ROW(B1220)-ROW($B$1219)&amp;"][ReceivingInstallationType]",Submission!$O:$O,Submission!$H:$N,""))</f>
        <v>20 - Combustion of fuels as specified in Annex I of Directive 2003/87/EC</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Transfer of inherent CO2 (Article 48)</v>
      </c>
      <c r="D1221" s="72" t="str">
        <f>_xlfn.CONCAT(_xlfn.XLOOKUP("[S05_InherentCarbonTransferredDetail]["&amp;ROW(B1221)-ROW($B$1219)&amp;"][InstallationIdTransferring]",Submission!$O:$O,Submission!$H:$N,""))</f>
        <v>204085</v>
      </c>
      <c r="E1221" s="72" t="str">
        <f>_xlfn.CONCAT(_xlfn.XLOOKUP("[S05_InherentCarbonTransferredDetail]["&amp;ROW(B1221)-ROW($B$1219)&amp;"][InstallationIdReceiving]",Submission!$O:$O,Submission!$H:$N,""))</f>
        <v>67</v>
      </c>
      <c r="F1221" s="124" t="str">
        <f>_xlfn.CONCAT(_xlfn.XLOOKUP("[S05_InherentCarbonTransferredDetail]["&amp;ROW(B1221)-ROW($B$1219)&amp;"][AmountCO2Transferred]",Submission!$O:$O,Submission!$H:$N,""))</f>
        <v>30233</v>
      </c>
      <c r="G1221" s="124" t="str">
        <f>_xlfn.CONCAT(_xlfn.XLOOKUP("[S05_InherentCarbonTransferredDetail]["&amp;ROW(B1221)-ROW($B$1219)&amp;"][InherentCO2Received]",Submission!$O:$O,Submission!$H:$N,""))</f>
        <v>30233</v>
      </c>
      <c r="H1221" s="71" t="str">
        <f>_xlfn.CONCAT(_xlfn.XLOOKUP("[S05_InherentCarbonTransferredDetail]["&amp;ROW(B1221)-ROW($B$1219)&amp;"][ReceivingInstallationType]",Submission!$O:$O,Submission!$H:$N,""))</f>
        <v>30 - Production of lime or calcination of dolomite or magnesite as specified in Annex I of Directive 2003/87/ EC</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Transfer of inherent CO2 (Article 48)</v>
      </c>
      <c r="D1222" s="72" t="str">
        <f>_xlfn.CONCAT(_xlfn.XLOOKUP("[S05_InherentCarbonTransferredDetail]["&amp;ROW(B1222)-ROW($B$1219)&amp;"][InstallationIdTransferring]",Submission!$O:$O,Submission!$H:$N,""))</f>
        <v>204085</v>
      </c>
      <c r="E1222" s="72" t="str">
        <f>_xlfn.CONCAT(_xlfn.XLOOKUP("[S05_InherentCarbonTransferredDetail]["&amp;ROW(B1222)-ROW($B$1219)&amp;"][InstallationIdReceiving]",Submission!$O:$O,Submission!$H:$N,""))</f>
        <v>19</v>
      </c>
      <c r="F1222" s="124" t="str">
        <f>_xlfn.CONCAT(_xlfn.XLOOKUP("[S05_InherentCarbonTransferredDetail]["&amp;ROW(B1222)-ROW($B$1219)&amp;"][AmountCO2Transferred]",Submission!$O:$O,Submission!$H:$N,""))</f>
        <v>35766</v>
      </c>
      <c r="G1222" s="124" t="str">
        <f>_xlfn.CONCAT(_xlfn.XLOOKUP("[S05_InherentCarbonTransferredDetail]["&amp;ROW(B1222)-ROW($B$1219)&amp;"][InherentCO2Received]",Submission!$O:$O,Submission!$H:$N,""))</f>
        <v>35766</v>
      </c>
      <c r="H1222" s="71" t="str">
        <f>_xlfn.CONCAT(_xlfn.XLOOKUP("[S05_InherentCarbonTransferredDetail]["&amp;ROW(B1222)-ROW($B$1219)&amp;"][ReceivingInstallationType]",Submission!$O:$O,Submission!$H:$N,""))</f>
        <v>24 - Production of pig iron or steel as specified in Annex I of Directive 2003/87/EC</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Transfer of CO2 to Carbon Capture Storage (Article 49 (1) (a))</v>
      </c>
      <c r="D1223" s="72" t="str">
        <f>_xlfn.CONCAT(_xlfn.XLOOKUP("[S05_InherentCarbonTransferredDetail]["&amp;ROW(B1223)-ROW($B$1219)&amp;"][InstallationIdTransferring]",Submission!$O:$O,Submission!$H:$N,""))</f>
        <v>84</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46 - Transport of greenhouse gases by pipelines for geological storage in a storage site permitted under Directive 2009/31/EC</v>
      </c>
      <c r="I1223" s="72" t="str">
        <f>_xlfn.CONCAT(_xlfn.XLOOKUP("[S05_InherentCarbonTransferredDetail]["&amp;ROW(B1223)-ROW($B$1219)&amp;"][StorageSitePermitNumber]",Submission!$O:$O,Submission!$H:$N,""))</f>
        <v>2014.0150.T</v>
      </c>
      <c r="K1223" s="13"/>
      <c r="L1223" s="13"/>
    </row>
    <row r="1224" spans="1:12" s="147" customFormat="1" ht="41.4" customHeight="1" x14ac:dyDescent="0.3">
      <c r="A1224" s="146"/>
      <c r="C1224" s="71" t="str">
        <f>_xlfn.CONCAT(_xlfn.XLOOKUP("[S05_InherentCarbonTransferredDetail]["&amp;ROW(B1224)-ROW($B$1219)&amp;"][TransferType]",Submission!$O:$O,Submission!$H:$N,""))</f>
        <v>Transfer of CO2 to Carbon Capture Storage (Article 49 (1) (a))</v>
      </c>
      <c r="D1224" s="72" t="str">
        <f>_xlfn.CONCAT(_xlfn.XLOOKUP("[S05_InherentCarbonTransferredDetail]["&amp;ROW(B1224)-ROW($B$1219)&amp;"][InstallationIdTransferring]",Submission!$O:$O,Submission!$H:$N,""))</f>
        <v>87</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307223</v>
      </c>
      <c r="G1224" s="124" t="str">
        <f>_xlfn.CONCAT(_xlfn.XLOOKUP("[S05_InherentCarbonTransferredDetail]["&amp;ROW(B1224)-ROW($B$1219)&amp;"][InherentCO2Received]",Submission!$O:$O,Submission!$H:$N,""))</f>
        <v>307223</v>
      </c>
      <c r="H1224" s="71" t="str">
        <f>_xlfn.CONCAT(_xlfn.XLOOKUP("[S05_InherentCarbonTransferredDetail]["&amp;ROW(B1224)-ROW($B$1219)&amp;"][ReceivingInstallationType]",Submission!$O:$O,Submission!$H:$N,""))</f>
        <v>46 - Transport of greenhouse gases by pipelines for geological storage in a storage site permitted under Directive 2009/31/EC</v>
      </c>
      <c r="I1224" s="72" t="str">
        <f>_xlfn.CONCAT(_xlfn.XLOOKUP("[S05_InherentCarbonTransferredDetail]["&amp;ROW(B1224)-ROW($B$1219)&amp;"][StorageSitePermitNumber]",Submission!$O:$O,Submission!$H:$N,""))</f>
        <v>2014.0086.T</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Yes</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87</v>
      </c>
      <c r="D1327" s="285"/>
      <c r="E1327" s="284" t="str">
        <f>_xlfn.CONCAT(_xlfn.XLOOKUP("[S05_ContinuousEmissionsMeasurementDetail][1][InstallationIDN2O]",Submission!$O:$O,Submission!$H:$N,""))</f>
        <v/>
      </c>
      <c r="F1327" s="285"/>
      <c r="G1327" s="127" t="str">
        <f>_xlfn.CONCAT(_xlfn.XLOOKUP("[S05_ContinuousEmissionsMeasurementDetail][1][TotalEmissionsCO2E]",Submission!$O:$O,Submission!$H:$N,""))</f>
        <v>761353</v>
      </c>
      <c r="H1327" s="127" t="str">
        <f>_xlfn.CONCAT(_xlfn.XLOOKUP("[S05_ContinuousEmissionsMeasurementDetail][1][ContinuousMeasurementTotalEmissions]",Submission!$O:$O,Submission!$H:$N,""))</f>
        <v>3074</v>
      </c>
      <c r="I1327" s="72" t="str">
        <f>_xlfn.CONCAT(_xlfn.XLOOKUP("[S05_ContinuousEmissionsMeasurementDetail][1][FlueGasContainBiomass]",Submission!$O:$O,Submission!$H:$N,""))</f>
        <v>No</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109</v>
      </c>
      <c r="F1328" s="285"/>
      <c r="G1328" s="127" t="str">
        <f>_xlfn.CONCAT(_xlfn.XLOOKUP("[S05_ContinuousEmissionsMeasurementDetail][2][TotalEmissionsCO2E]",Submission!$O:$O,Submission!$H:$N,""))</f>
        <v>17122</v>
      </c>
      <c r="H1328" s="127" t="str">
        <f>_xlfn.CONCAT(_xlfn.XLOOKUP("[S05_ContinuousEmissionsMeasurementDetail][2][ContinuousMeasurementTotalEmissions]",Submission!$O:$O,Submission!$H:$N,""))</f>
        <v>17122</v>
      </c>
      <c r="I1328" s="72" t="str">
        <f>_xlfn.CONCAT(_xlfn.XLOOKUP("[S05_ContinuousEmissionsMeasurementDetail][2][FlueGasContainBiomass]",Submission!$O:$O,Submission!$H:$N,""))</f>
        <v>No</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110</v>
      </c>
      <c r="F1329" s="285"/>
      <c r="G1329" s="127" t="str">
        <f>_xlfn.CONCAT(_xlfn.XLOOKUP("[S05_ContinuousEmissionsMeasurementDetail][3][TotalEmissionsCO2E]",Submission!$O:$O,Submission!$H:$N,""))</f>
        <v>733910</v>
      </c>
      <c r="H1329" s="127" t="str">
        <f>_xlfn.CONCAT(_xlfn.XLOOKUP("[S05_ContinuousEmissionsMeasurementDetail][3][ContinuousMeasurementTotalEmissions]",Submission!$O:$O,Submission!$H:$N,""))</f>
        <v>31785</v>
      </c>
      <c r="I1329" s="72" t="str">
        <f>_xlfn.CONCAT(_xlfn.XLOOKUP("[S05_ContinuousEmissionsMeasurementDetail][3][FlueGasContainBiomass]",Submission!$O:$O,Submission!$H:$N,""))</f>
        <v>No</v>
      </c>
    </row>
    <row r="1330" spans="1:9" ht="15.9" customHeight="1" x14ac:dyDescent="0.3">
      <c r="A1330" s="13"/>
      <c r="B1330" s="23"/>
      <c r="C1330" s="284" t="str">
        <f>_xlfn.CONCAT(_xlfn.XLOOKUP("[S05_ContinuousEmissionsMeasurementDetail][4][InstallationIDCO2]",Submission!$O:$O,Submission!$H:$N,""))</f>
        <v>92</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1993700</v>
      </c>
      <c r="H1330" s="127" t="str">
        <f>_xlfn.CONCAT(_xlfn.XLOOKUP("[S05_ContinuousEmissionsMeasurementDetail][4][ContinuousMeasurementTotalEmissions]",Submission!$O:$O,Submission!$H:$N,""))</f>
        <v>853931</v>
      </c>
      <c r="I1330" s="72" t="str">
        <f>_xlfn.CONCAT(_xlfn.XLOOKUP("[S05_ContinuousEmissionsMeasurementDetail][4][FlueGasContainBiomass]",Submission!$O:$O,Submission!$H:$N,""))</f>
        <v>No</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14</v>
      </c>
      <c r="F1389" s="126" t="str">
        <f>_xlfn.CONCAT(_xlfn.XLOOKUP("[S05_BiomassInstallations][1][EmissionsBiomassSustainabilitySatisfied]",Submission!$O:$O,Submission!$H:$N,""))</f>
        <v>266929</v>
      </c>
      <c r="G1389" s="126" t="str">
        <f>_xlfn.CONCAT(_xlfn.XLOOKUP("[S05_BiomassInstallations][1][EmissionsBiomassSustainabilityNotSatisfied]",Submission!$O:$O,Submission!$H:$N,""))</f>
        <v>0</v>
      </c>
      <c r="H1389" s="126" t="str">
        <f>_xlfn.CONCAT(_xlfn.XLOOKUP("[S05_BiomassInstallations][1][EmissionsFossil]",Submission!$O:$O,Submission!$H:$N,""))</f>
        <v>107256</v>
      </c>
      <c r="I1389" s="126" t="str">
        <f>_xlfn.CONCAT(_xlfn.XLOOKUP("[S05_BiomassInstallations][1][EnergyZeroRatedBiomass]",Submission!$O:$O,Submission!$H:$N,""))</f>
        <v>2535</v>
      </c>
      <c r="J1389" s="126" t="str">
        <f>_xlfn.CONCAT(_xlfn.XLOOKUP("[S05_BiomassInstallations][1][EnergyNonZeroRatedBiomass]",Submission!$O:$O,Submission!$H:$N,""))</f>
        <v>0</v>
      </c>
      <c r="K1389" s="126" t="str">
        <f>_xlfn.CONCAT(_xlfn.XLOOKUP("[S05_BiomassInstallations][1][EnergyFossil]",Submission!$O:$O,Submission!$H:$N,""))</f>
        <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1</v>
      </c>
      <c r="F1390" s="126" t="str">
        <f>_xlfn.CONCAT(_xlfn.XLOOKUP("[S05_BiomassInstallations][2][EmissionsBiomassSustainabilitySatisfied]",Submission!$O:$O,Submission!$H:$N,""))</f>
        <v>371</v>
      </c>
      <c r="G1390" s="126" t="str">
        <f>_xlfn.CONCAT(_xlfn.XLOOKUP("[S05_BiomassInstallations][2][EmissionsBiomassSustainabilityNotSatisfied]",Submission!$O:$O,Submission!$H:$N,""))</f>
        <v>0</v>
      </c>
      <c r="H1390" s="126" t="str">
        <f>_xlfn.CONCAT(_xlfn.XLOOKUP("[S05_BiomassInstallations][2][EmissionsFossil]",Submission!$O:$O,Submission!$H:$N,""))</f>
        <v>102977</v>
      </c>
      <c r="I1390" s="126" t="str">
        <f>_xlfn.CONCAT(_xlfn.XLOOKUP("[S05_BiomassInstallations][2][EnergyZeroRatedBiomass]",Submission!$O:$O,Submission!$H:$N,""))</f>
        <v>5</v>
      </c>
      <c r="J1390" s="126" t="str">
        <f>_xlfn.CONCAT(_xlfn.XLOOKUP("[S05_BiomassInstallations][2][EnergyNonZeroRatedBiomass]",Submission!$O:$O,Submission!$H:$N,""))</f>
        <v>0</v>
      </c>
      <c r="K1390" s="126" t="str">
        <f>_xlfn.CONCAT(_xlfn.XLOOKUP("[S05_BiomassInstallations][2][EnergyFossil]",Submission!$O:$O,Submission!$H:$N,""))</f>
        <v/>
      </c>
    </row>
    <row r="1391" spans="1:11" ht="44.4" customHeight="1" x14ac:dyDescent="0.3">
      <c r="A1391" s="12"/>
      <c r="C1391" s="125" t="str">
        <f>_xlfn.CONCAT(_xlfn.XLOOKUP("[S05_BiomassInstallations][3][Annex1Activity]",Submission!$O:$O,Submission!$H:$N,""))</f>
        <v>29 - Production of cement clinker in rotary kilns as specified in Annex I of Directive 2003/87/ EC</v>
      </c>
      <c r="D1391" s="128" t="str">
        <f>_xlfn.CONCAT(_xlfn.XLOOKUP("[S05_BiomassInstallations][3][BiomassInstallationCategory]",Submission!$O:$O,Submission!$H:$N,""))</f>
        <v>Category B</v>
      </c>
      <c r="E1391" s="126" t="str">
        <f>_xlfn.CONCAT(_xlfn.XLOOKUP("[S05_BiomassInstallations][3][NumberUsingBiomass]",Submission!$O:$O,Submission!$H:$N,""))</f>
        <v>1</v>
      </c>
      <c r="F1391" s="126" t="str">
        <f>_xlfn.CONCAT(_xlfn.XLOOKUP("[S05_BiomassInstallations][3][EmissionsBiomassSustainabilitySatisfied]",Submission!$O:$O,Submission!$H:$N,""))</f>
        <v>24404</v>
      </c>
      <c r="G1391" s="126" t="str">
        <f>_xlfn.CONCAT(_xlfn.XLOOKUP("[S05_BiomassInstallations][3][EmissionsBiomassSustainabilityNotSatisfied]",Submission!$O:$O,Submission!$H:$N,""))</f>
        <v>0</v>
      </c>
      <c r="H1391" s="126" t="str">
        <f>_xlfn.CONCAT(_xlfn.XLOOKUP("[S05_BiomassInstallations][3][EmissionsFossil]",Submission!$O:$O,Submission!$H:$N,""))</f>
        <v>289601</v>
      </c>
      <c r="I1391" s="126" t="str">
        <f>_xlfn.CONCAT(_xlfn.XLOOKUP("[S05_BiomassInstallations][3][EnergyZeroRatedBiomass]",Submission!$O:$O,Submission!$H:$N,""))</f>
        <v>220</v>
      </c>
      <c r="J1391" s="126" t="str">
        <f>_xlfn.CONCAT(_xlfn.XLOOKUP("[S05_BiomassInstallations][3][EnergyNonZeroRatedBiomass]",Submission!$O:$O,Submission!$H:$N,""))</f>
        <v>0</v>
      </c>
      <c r="K1391" s="126" t="str">
        <f>_xlfn.CONCAT(_xlfn.XLOOKUP("[S05_BiomassInstallations][3][EnergyFossil]",Submission!$O:$O,Submission!$H:$N,""))</f>
        <v/>
      </c>
    </row>
    <row r="1392" spans="1:11" ht="44.4" customHeight="1" x14ac:dyDescent="0.3">
      <c r="A1392" s="12"/>
      <c r="C1392" s="125" t="str">
        <f>_xlfn.CONCAT(_xlfn.XLOOKUP("[S05_BiomassInstallations][4][Annex1Activity]",Submission!$O:$O,Submission!$H:$N,""))</f>
        <v>29 - Production of cement clinker in rotary kilns as specified in Annex I of Directive 2003/87/ EC</v>
      </c>
      <c r="D1392" s="128" t="str">
        <f>_xlfn.CONCAT(_xlfn.XLOOKUP("[S05_BiomassInstallations][4][BiomassInstallationCategory]",Submission!$O:$O,Submission!$H:$N,""))</f>
        <v>Category C</v>
      </c>
      <c r="E1392" s="126" t="str">
        <f>_xlfn.CONCAT(_xlfn.XLOOKUP("[S05_BiomassInstallations][4][NumberUsingBiomass]",Submission!$O:$O,Submission!$H:$N,""))</f>
        <v>1</v>
      </c>
      <c r="F1392" s="126" t="str">
        <f>_xlfn.CONCAT(_xlfn.XLOOKUP("[S05_BiomassInstallations][4][EmissionsBiomassSustainabilitySatisfied]",Submission!$O:$O,Submission!$H:$N,""))</f>
        <v>105827</v>
      </c>
      <c r="G1392" s="126" t="str">
        <f>_xlfn.CONCAT(_xlfn.XLOOKUP("[S05_BiomassInstallations][4][EmissionsBiomassSustainabilityNotSatisfied]",Submission!$O:$O,Submission!$H:$N,""))</f>
        <v>0</v>
      </c>
      <c r="H1392" s="126" t="str">
        <f>_xlfn.CONCAT(_xlfn.XLOOKUP("[S05_BiomassInstallations][4][EmissionsFossil]",Submission!$O:$O,Submission!$H:$N,""))</f>
        <v>750626</v>
      </c>
      <c r="I1392" s="126" t="str">
        <f>_xlfn.CONCAT(_xlfn.XLOOKUP("[S05_BiomassInstallations][4][EnergyZeroRatedBiomass]",Submission!$O:$O,Submission!$H:$N,""))</f>
        <v>959</v>
      </c>
      <c r="J1392" s="126" t="str">
        <f>_xlfn.CONCAT(_xlfn.XLOOKUP("[S05_BiomassInstallations][4][EnergyNonZeroRatedBiomass]",Submission!$O:$O,Submission!$H:$N,""))</f>
        <v>0</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 xml:space="preserve">36 - Production of paper or cardboard as specified in Annex I of Directive 2003/87/EC </v>
      </c>
      <c r="D1393" s="128" t="str">
        <f>_xlfn.CONCAT(_xlfn.XLOOKUP("[S05_BiomassInstallations][5][BiomassInstallationCategory]",Submission!$O:$O,Submission!$H:$N,""))</f>
        <v>Category A</v>
      </c>
      <c r="E1393" s="126" t="str">
        <f>_xlfn.CONCAT(_xlfn.XLOOKUP("[S05_BiomassInstallations][5][NumberUsingBiomass]",Submission!$O:$O,Submission!$H:$N,""))</f>
        <v>2</v>
      </c>
      <c r="F1393" s="126" t="str">
        <f>_xlfn.CONCAT(_xlfn.XLOOKUP("[S05_BiomassInstallations][5][EmissionsBiomassSustainabilitySatisfied]",Submission!$O:$O,Submission!$H:$N,""))</f>
        <v>627454</v>
      </c>
      <c r="G1393" s="126" t="str">
        <f>_xlfn.CONCAT(_xlfn.XLOOKUP("[S05_BiomassInstallations][5][EmissionsBiomassSustainabilityNotSatisfied]",Submission!$O:$O,Submission!$H:$N,""))</f>
        <v>0</v>
      </c>
      <c r="H1393" s="126" t="str">
        <f>_xlfn.CONCAT(_xlfn.XLOOKUP("[S05_BiomassInstallations][5][EmissionsFossil]",Submission!$O:$O,Submission!$H:$N,""))</f>
        <v>6376</v>
      </c>
      <c r="I1393" s="126" t="str">
        <f>_xlfn.CONCAT(_xlfn.XLOOKUP("[S05_BiomassInstallations][5][EnergyZeroRatedBiomass]",Submission!$O:$O,Submission!$H:$N,""))</f>
        <v>5631</v>
      </c>
      <c r="J1393" s="126" t="str">
        <f>_xlfn.CONCAT(_xlfn.XLOOKUP("[S05_BiomassInstallations][5][EnergyNonZeroRatedBiomass]",Submission!$O:$O,Submission!$H:$N,""))</f>
        <v>0</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35 - Production of pulp as specified in Annex I of Directive 2003/87/EC</v>
      </c>
      <c r="D1394" s="128" t="str">
        <f>_xlfn.CONCAT(_xlfn.XLOOKUP("[S05_BiomassInstallations][6][BiomassInstallationCategory]",Submission!$O:$O,Submission!$H:$N,""))</f>
        <v>Category B</v>
      </c>
      <c r="E1394" s="126" t="str">
        <f>_xlfn.CONCAT(_xlfn.XLOOKUP("[S05_BiomassInstallations][6][NumberUsingBiomass]",Submission!$O:$O,Submission!$H:$N,""))</f>
        <v>1</v>
      </c>
      <c r="F1394" s="126" t="str">
        <f>_xlfn.CONCAT(_xlfn.XLOOKUP("[S05_BiomassInstallations][6][EmissionsBiomassSustainabilitySatisfied]",Submission!$O:$O,Submission!$H:$N,""))</f>
        <v>176859</v>
      </c>
      <c r="G1394" s="126" t="str">
        <f>_xlfn.CONCAT(_xlfn.XLOOKUP("[S05_BiomassInstallations][6][EmissionsBiomassSustainabilityNotSatisfied]",Submission!$O:$O,Submission!$H:$N,""))</f>
        <v>0</v>
      </c>
      <c r="H1394" s="126" t="str">
        <f>_xlfn.CONCAT(_xlfn.XLOOKUP("[S05_BiomassInstallations][6][EmissionsFossil]",Submission!$O:$O,Submission!$H:$N,""))</f>
        <v>137579</v>
      </c>
      <c r="I1394" s="126" t="str">
        <f>_xlfn.CONCAT(_xlfn.XLOOKUP("[S05_BiomassInstallations][6][EnergyZeroRatedBiomass]",Submission!$O:$O,Submission!$H:$N,""))</f>
        <v>1959</v>
      </c>
      <c r="J1394" s="126" t="str">
        <f>_xlfn.CONCAT(_xlfn.XLOOKUP("[S05_BiomassInstallations][6][EnergyNonZeroRatedBiomass]",Submission!$O:$O,Submission!$H:$N,""))</f>
        <v>0</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25 - Production or processing of ferrous metals as specified in Annex I of Directive 2003/87/EC</v>
      </c>
      <c r="D1395" s="128" t="str">
        <f>_xlfn.CONCAT(_xlfn.XLOOKUP("[S05_BiomassInstallations][7][BiomassInstallationCategory]",Submission!$O:$O,Submission!$H:$N,""))</f>
        <v>Category B</v>
      </c>
      <c r="E1395" s="126" t="str">
        <f>_xlfn.CONCAT(_xlfn.XLOOKUP("[S05_BiomassInstallations][7][NumberUsingBiomass]",Submission!$O:$O,Submission!$H:$N,""))</f>
        <v>5</v>
      </c>
      <c r="F1395" s="126" t="str">
        <f>_xlfn.CONCAT(_xlfn.XLOOKUP("[S05_BiomassInstallations][7][EmissionsBiomassSustainabilitySatisfied]",Submission!$O:$O,Submission!$H:$N,""))</f>
        <v>304285</v>
      </c>
      <c r="G1395" s="126" t="str">
        <f>_xlfn.CONCAT(_xlfn.XLOOKUP("[S05_BiomassInstallations][7][EmissionsBiomassSustainabilityNotSatisfied]",Submission!$O:$O,Submission!$H:$N,""))</f>
        <v>0</v>
      </c>
      <c r="H1395" s="126" t="str">
        <f>_xlfn.CONCAT(_xlfn.XLOOKUP("[S05_BiomassInstallations][7][EmissionsFossil]",Submission!$O:$O,Submission!$H:$N,""))</f>
        <v>1290269</v>
      </c>
      <c r="I1395" s="126" t="str">
        <f>_xlfn.CONCAT(_xlfn.XLOOKUP("[S05_BiomassInstallations][7][EnergyZeroRatedBiomass]",Submission!$O:$O,Submission!$H:$N,""))</f>
        <v>2717</v>
      </c>
      <c r="J1395" s="126" t="str">
        <f>_xlfn.CONCAT(_xlfn.XLOOKUP("[S05_BiomassInstallations][7][EnergyNonZeroRatedBiomass]",Submission!$O:$O,Submission!$H:$N,""))</f>
        <v>0</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28 - Production or processing of non-ferrous metals as specified in Annex I of Directive 2003/87/EC</v>
      </c>
      <c r="D1396" s="128" t="str">
        <f>_xlfn.CONCAT(_xlfn.XLOOKUP("[S05_BiomassInstallations][8][BiomassInstallationCategory]",Submission!$O:$O,Submission!$H:$N,""))</f>
        <v>Category B</v>
      </c>
      <c r="E1396" s="126" t="str">
        <f>_xlfn.CONCAT(_xlfn.XLOOKUP("[S05_BiomassInstallations][8][NumberUsingBiomass]",Submission!$O:$O,Submission!$H:$N,""))</f>
        <v>2</v>
      </c>
      <c r="F1396" s="126" t="str">
        <f>_xlfn.CONCAT(_xlfn.XLOOKUP("[S05_BiomassInstallations][8][EmissionsBiomassSustainabilitySatisfied]",Submission!$O:$O,Submission!$H:$N,""))</f>
        <v>148423</v>
      </c>
      <c r="G1396" s="126" t="str">
        <f>_xlfn.CONCAT(_xlfn.XLOOKUP("[S05_BiomassInstallations][8][EmissionsBiomassSustainabilityNotSatisfied]",Submission!$O:$O,Submission!$H:$N,""))</f>
        <v>0</v>
      </c>
      <c r="H1396" s="126" t="str">
        <f>_xlfn.CONCAT(_xlfn.XLOOKUP("[S05_BiomassInstallations][8][EmissionsFossil]",Submission!$O:$O,Submission!$H:$N,""))</f>
        <v>637815</v>
      </c>
      <c r="I1396" s="126" t="str">
        <f>_xlfn.CONCAT(_xlfn.XLOOKUP("[S05_BiomassInstallations][8][EnergyZeroRatedBiomass]",Submission!$O:$O,Submission!$H:$N,""))</f>
        <v>1325</v>
      </c>
      <c r="J1396" s="126" t="str">
        <f>_xlfn.CONCAT(_xlfn.XLOOKUP("[S05_BiomassInstallations][8][EnergyNonZeroRatedBiomass]",Submission!$O:$O,Submission!$H:$N,""))</f>
        <v>0</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xml:space="preserve">42 - Production of bulk organic chemicals as specified in Annex I of Directive 2003/87/EC </v>
      </c>
      <c r="D1397" s="128" t="str">
        <f>_xlfn.CONCAT(_xlfn.XLOOKUP("[S05_BiomassInstallations][9][BiomassInstallationCategory]",Submission!$O:$O,Submission!$H:$N,""))</f>
        <v>Category A</v>
      </c>
      <c r="E1397" s="126" t="str">
        <f>_xlfn.CONCAT(_xlfn.XLOOKUP("[S05_BiomassInstallations][9][NumberUsingBiomass]",Submission!$O:$O,Submission!$H:$N,""))</f>
        <v>1</v>
      </c>
      <c r="F1397" s="126" t="str">
        <f>_xlfn.CONCAT(_xlfn.XLOOKUP("[S05_BiomassInstallations][9][EmissionsBiomassSustainabilitySatisfied]",Submission!$O:$O,Submission!$H:$N,""))</f>
        <v>1676</v>
      </c>
      <c r="G1397" s="126" t="str">
        <f>_xlfn.CONCAT(_xlfn.XLOOKUP("[S05_BiomassInstallations][9][EmissionsBiomassSustainabilityNotSatisfied]",Submission!$O:$O,Submission!$H:$N,""))</f>
        <v>0</v>
      </c>
      <c r="H1397" s="126" t="str">
        <f>_xlfn.CONCAT(_xlfn.XLOOKUP("[S05_BiomassInstallations][9][EmissionsFossil]",Submission!$O:$O,Submission!$H:$N,""))</f>
        <v>620</v>
      </c>
      <c r="I1397" s="126" t="str">
        <f>_xlfn.CONCAT(_xlfn.XLOOKUP("[S05_BiomassInstallations][9][EnergyZeroRatedBiomass]",Submission!$O:$O,Submission!$H:$N,""))</f>
        <v>22</v>
      </c>
      <c r="J1397" s="126" t="str">
        <f>_xlfn.CONCAT(_xlfn.XLOOKUP("[S05_BiomassInstallations][9][EnergyNonZeroRatedBiomass]",Submission!$O:$O,Submission!$H:$N,""))</f>
        <v>0</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26 - Production of primary aluminium</v>
      </c>
      <c r="D1398" s="128" t="str">
        <f>_xlfn.CONCAT(_xlfn.XLOOKUP("[S05_BiomassInstallations][10][BiomassInstallationCategory]",Submission!$O:$O,Submission!$H:$N,""))</f>
        <v>Category B</v>
      </c>
      <c r="E1398" s="126" t="str">
        <f>_xlfn.CONCAT(_xlfn.XLOOKUP("[S05_BiomassInstallations][10][NumberUsingBiomass]",Submission!$O:$O,Submission!$H:$N,""))</f>
        <v>2</v>
      </c>
      <c r="F1398" s="126" t="str">
        <f>_xlfn.CONCAT(_xlfn.XLOOKUP("[S05_BiomassInstallations][10][EmissionsBiomassSustainabilitySatisfied]",Submission!$O:$O,Submission!$H:$N,""))</f>
        <v>1299</v>
      </c>
      <c r="G1398" s="126" t="str">
        <f>_xlfn.CONCAT(_xlfn.XLOOKUP("[S05_BiomassInstallations][10][EmissionsBiomassSustainabilityNotSatisfied]",Submission!$O:$O,Submission!$H:$N,""))</f>
        <v>0</v>
      </c>
      <c r="H1398" s="126" t="str">
        <f>_xlfn.CONCAT(_xlfn.XLOOKUP("[S05_BiomassInstallations][10][EmissionsFossil]",Submission!$O:$O,Submission!$H:$N,""))</f>
        <v>801500</v>
      </c>
      <c r="I1398" s="126" t="str">
        <f>_xlfn.CONCAT(_xlfn.XLOOKUP("[S05_BiomassInstallations][10][EnergyZeroRatedBiomass]",Submission!$O:$O,Submission!$H:$N,""))</f>
        <v>18</v>
      </c>
      <c r="J1398" s="126" t="str">
        <f>_xlfn.CONCAT(_xlfn.XLOOKUP("[S05_BiomassInstallations][10][EnergyNonZeroRatedBiomass]",Submission!$O:$O,Submission!$H:$N,""))</f>
        <v>0</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27 - Production of secondary aluminium as specific in Annex I of Directive 2003/87/EC</v>
      </c>
      <c r="D1399" s="128" t="str">
        <f>_xlfn.CONCAT(_xlfn.XLOOKUP("[S05_BiomassInstallations][11][BiomassInstallationCategory]",Submission!$O:$O,Submission!$H:$N,""))</f>
        <v>Category A</v>
      </c>
      <c r="E1399" s="126" t="str">
        <f>_xlfn.CONCAT(_xlfn.XLOOKUP("[S05_BiomassInstallations][11][NumberUsingBiomass]",Submission!$O:$O,Submission!$H:$N,""))</f>
        <v>1</v>
      </c>
      <c r="F1399" s="126" t="str">
        <f>_xlfn.CONCAT(_xlfn.XLOOKUP("[S05_BiomassInstallations][11][EmissionsBiomassSustainabilitySatisfied]",Submission!$O:$O,Submission!$H:$N,""))</f>
        <v>170</v>
      </c>
      <c r="G1399" s="126" t="str">
        <f>_xlfn.CONCAT(_xlfn.XLOOKUP("[S05_BiomassInstallations][11][EmissionsBiomassSustainabilityNotSatisfied]",Submission!$O:$O,Submission!$H:$N,""))</f>
        <v>0</v>
      </c>
      <c r="H1399" s="126" t="str">
        <f>_xlfn.CONCAT(_xlfn.XLOOKUP("[S05_BiomassInstallations][11][EmissionsFossil]",Submission!$O:$O,Submission!$H:$N,""))</f>
        <v>16862</v>
      </c>
      <c r="I1399" s="126" t="str">
        <f>_xlfn.CONCAT(_xlfn.XLOOKUP("[S05_BiomassInstallations][11][EnergyZeroRatedBiomass]",Submission!$O:$O,Submission!$H:$N,""))</f>
        <v>2</v>
      </c>
      <c r="J1399" s="126" t="str">
        <f>_xlfn.CONCAT(_xlfn.XLOOKUP("[S05_BiomassInstallations][11][EnergyNonZeroRatedBiomass]",Submission!$O:$O,Submission!$H:$N,""))</f>
        <v>0</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For zero-rating of liquid/gaseous biomass, the operators have to demonstrate compliance with a national regulation (Product Regulation) by specific forms (certificates) to be checked by the verifier.</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1</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4</v>
      </c>
      <c r="F1463" s="359"/>
      <c r="G1463" s="364" t="str">
        <f>_xlfn.CONCAT(_xlfn.XLOOKUP("[S05_AircraftMethodFuelConsumption][2][SmallEmittersShare]",Submission!$O:$O,Submission!$H:$N,""))</f>
        <v>0</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742621</v>
      </c>
      <c r="H1472" s="357"/>
      <c r="I1472" s="357"/>
    </row>
    <row r="1473" spans="1:10" ht="28.95" customHeight="1" x14ac:dyDescent="0.3">
      <c r="C1473" s="354" t="s">
        <v>957</v>
      </c>
      <c r="D1473" s="354"/>
      <c r="E1473" s="354"/>
      <c r="F1473" s="354"/>
      <c r="G1473" s="357" t="str">
        <f>_xlfn.CONCAT(_xlfn.XLOOKUP("[S05_TotalFlightEmissions][2][TotalFlightEmissions]",Submission!$O:$O,Submission!$H:$N,""))</f>
        <v>441669</v>
      </c>
      <c r="H1473" s="357"/>
      <c r="I1473" s="357"/>
    </row>
    <row r="1474" spans="1:10" ht="28.95" customHeight="1" x14ac:dyDescent="0.3">
      <c r="C1474" s="354" t="s">
        <v>958</v>
      </c>
      <c r="D1474" s="354"/>
      <c r="E1474" s="354"/>
      <c r="F1474" s="354"/>
      <c r="G1474" s="357" t="str">
        <f>_xlfn.CONCAT(_xlfn.XLOOKUP("[S05_TotalFlightEmissions][3][TotalFlightEmissions]",Submission!$O:$O,Submission!$H:$N,""))</f>
        <v>339575</v>
      </c>
      <c r="H1474" s="357"/>
      <c r="I1474" s="357"/>
    </row>
    <row r="1475" spans="1:10" ht="28.95" customHeight="1" x14ac:dyDescent="0.3">
      <c r="C1475" s="354" t="s">
        <v>959</v>
      </c>
      <c r="D1475" s="354"/>
      <c r="E1475" s="354"/>
      <c r="F1475" s="354"/>
      <c r="G1475" s="357" t="str">
        <f>_xlfn.CONCAT(_xlfn.XLOOKUP("[S05_TotalFlightEmissions][4][TotalFlightEmissions]",Submission!$O:$O,Submission!$H:$N,""))</f>
        <v>339575</v>
      </c>
      <c r="H1475" s="357"/>
      <c r="I1475" s="357"/>
    </row>
    <row r="1476" spans="1:10" ht="28.95" customHeight="1" x14ac:dyDescent="0.3">
      <c r="C1476" s="354" t="s">
        <v>960</v>
      </c>
      <c r="D1476" s="354"/>
      <c r="E1476" s="354"/>
      <c r="F1476" s="354"/>
      <c r="G1476" s="357" t="str">
        <f>_xlfn.CONCAT(_xlfn.XLOOKUP("[S05_TotalFlightEmissions][5][TotalFlightEmissions]",Submission!$O:$O,Submission!$H:$N,""))</f>
        <v>62</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1</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1</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1629</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0</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0</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4</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0</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
      </c>
      <c r="D1500" s="355"/>
      <c r="E1500" s="355"/>
      <c r="F1500" s="356"/>
      <c r="G1500" s="341" t="str">
        <f>_xlfn.CONCAT(_xlfn.XLOOKUP("[AircraftImprovementReportSubmitted][0][AircraftImprovementReportSubmitted]",Submission!$O:$O,Submission!$H:$N,""))</f>
        <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3</v>
      </c>
      <c r="G8" s="119"/>
      <c r="H8" s="105" t="str">
        <f>_xlfn.CONCAT(_xlfn.XLOOKUP("[S06_TotalVerifiers][1][CountVerifiersAviation]",Submission!$O:$O,Submission!$H:$N,""))</f>
        <v>0</v>
      </c>
      <c r="I8" s="119"/>
    </row>
    <row r="9" spans="1:9" s="58" customFormat="1" ht="33.6" customHeight="1" x14ac:dyDescent="0.3">
      <c r="A9" s="75"/>
      <c r="C9" s="415" t="s">
        <v>991</v>
      </c>
      <c r="D9" s="416"/>
      <c r="E9" s="417"/>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15" t="s">
        <v>992</v>
      </c>
      <c r="D10" s="416"/>
      <c r="E10" s="417"/>
      <c r="F10" s="105" t="str">
        <f>_xlfn.CONCAT(_xlfn.XLOOKUP("[S06_TotalVerifiers][3][CountVerifiersInstallations]",Submission!$O:$O,Submission!$H:$N,""))</f>
        <v>2</v>
      </c>
      <c r="G10" s="72" t="str">
        <f>_xlfn.CONCAT(_xlfn.XLOOKUP("[S06_TotalVerifiers][3][MSVerifiersInstallations]",Submission!$O:$O,Submission!$H:$N,""))</f>
        <v/>
      </c>
      <c r="H10" s="105" t="str">
        <f>_xlfn.CONCAT(_xlfn.XLOOKUP("[S06_TotalVerifiers][3][CountVerifiersAviation]",Submission!$O:$O,Submission!$H:$N,""))</f>
        <v>3</v>
      </c>
      <c r="I10" s="47" t="str">
        <f>_xlfn.CONCAT(_xlfn.XLOOKUP("[S06_TotalVerifiers][3][MSVerifiersAviation]",Submission!$O:$O,Submission!$H:$N,""))</f>
        <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13"/>
      <c r="E17" s="413"/>
      <c r="F17" s="413"/>
      <c r="G17" s="414"/>
      <c r="H17" s="132" t="str">
        <f>_xlfn.CONCAT(_xlfn.XLOOKUP("[S06_AccredCertVerifiersAnnexI][1][NumberAccredited]",Submission!$O:$O,Submission!$H:$N,""))</f>
        <v>3</v>
      </c>
      <c r="I17" s="132" t="str">
        <f>_xlfn.CONCAT(_xlfn.XLOOKUP("[S06_AccredCertVerifiersAnnexI][1][NumberCertified]",Submission!$O:$O,Submission!$H:$N,""))</f>
        <v>0</v>
      </c>
    </row>
    <row r="18" spans="2:9" ht="27.6" customHeight="1" x14ac:dyDescent="0.3">
      <c r="B18" s="20"/>
      <c r="C18" s="412" t="str">
        <f>_xlfn.CONCAT(_xlfn.XLOOKUP("[S06_AccredCertVerifiersAnnexI][2][AccredCertScope]",Submission!$O:$O,Submission!$H:$N,""))</f>
        <v>1b - Combustion of fuels in installations, without restrictions</v>
      </c>
      <c r="D18" s="413"/>
      <c r="E18" s="413"/>
      <c r="F18" s="413"/>
      <c r="G18" s="414"/>
      <c r="H18" s="132" t="str">
        <f>_xlfn.CONCAT(_xlfn.XLOOKUP("[S06_AccredCertVerifiersAnnexI][2][NumberAccredited]",Submission!$O:$O,Submission!$H:$N,""))</f>
        <v>3</v>
      </c>
      <c r="I18" s="132" t="str">
        <f>_xlfn.CONCAT(_xlfn.XLOOKUP("[S06_AccredCertVerifiersAnnexI][2][NumberCertified]",Submission!$O:$O,Submission!$H:$N,""))</f>
        <v>0</v>
      </c>
    </row>
    <row r="19" spans="2:9" ht="27.6" customHeight="1" x14ac:dyDescent="0.3">
      <c r="B19" s="20"/>
      <c r="C19" s="412" t="str">
        <f>_xlfn.CONCAT(_xlfn.XLOOKUP("[S06_AccredCertVerifiersAnnexI][3][AccredCertScope]",Submission!$O:$O,Submission!$H:$N,""))</f>
        <v>2 - Refining of mineral oil</v>
      </c>
      <c r="D19" s="413"/>
      <c r="E19" s="413"/>
      <c r="F19" s="413"/>
      <c r="G19" s="414"/>
      <c r="H19" s="132" t="str">
        <f>_xlfn.CONCAT(_xlfn.XLOOKUP("[S06_AccredCertVerifiersAnnexI][3][NumberAccredited]",Submission!$O:$O,Submission!$H:$N,""))</f>
        <v>2</v>
      </c>
      <c r="I19" s="132" t="str">
        <f>_xlfn.CONCAT(_xlfn.XLOOKUP("[S06_AccredCertVerifiersAnnexI][3][NumberCertified]",Submission!$O:$O,Submission!$H:$N,""))</f>
        <v>0</v>
      </c>
    </row>
    <row r="20" spans="2:9" ht="27.6" customHeight="1" x14ac:dyDescent="0.3">
      <c r="B20" s="20"/>
      <c r="C20" s="412" t="str">
        <f>_xlfn.CONCAT(_xlfn.XLOOKUP("[S06_AccredCertVerifiersAnnexI][4][AccredCertScope]",Submission!$O:$O,Submission!$H:$N,""))</f>
        <v xml:space="preserve">3 - Production of coke </v>
      </c>
      <c r="D20" s="413"/>
      <c r="E20" s="413"/>
      <c r="F20" s="413"/>
      <c r="G20" s="414"/>
      <c r="H20" s="132" t="str">
        <f>_xlfn.CONCAT(_xlfn.XLOOKUP("[S06_AccredCertVerifiersAnnexI][4][NumberAccredited]",Submission!$O:$O,Submission!$H:$N,""))</f>
        <v>2</v>
      </c>
      <c r="I20" s="132" t="str">
        <f>_xlfn.CONCAT(_xlfn.XLOOKUP("[S06_AccredCertVerifiersAnnexI][4][NumberCertified]",Submission!$O:$O,Submission!$H:$N,""))</f>
        <v>0</v>
      </c>
    </row>
    <row r="21" spans="2:9" ht="27.6" customHeight="1" x14ac:dyDescent="0.3">
      <c r="B21" s="20"/>
      <c r="C21" s="412" t="str">
        <f>_xlfn.CONCAT(_xlfn.XLOOKUP("[S06_AccredCertVerifiersAnnexI][5][AccredCertScope]",Submission!$O:$O,Submission!$H:$N,""))</f>
        <v xml:space="preserve">4 - Production or processing of ferrous metals (including ferro-alloys) </v>
      </c>
      <c r="D21" s="413"/>
      <c r="E21" s="413"/>
      <c r="F21" s="413"/>
      <c r="G21" s="414"/>
      <c r="H21" s="132" t="str">
        <f>_xlfn.CONCAT(_xlfn.XLOOKUP("[S06_AccredCertVerifiersAnnexI][5][NumberAccredited]",Submission!$O:$O,Submission!$H:$N,""))</f>
        <v>2</v>
      </c>
      <c r="I21" s="132" t="str">
        <f>_xlfn.CONCAT(_xlfn.XLOOKUP("[S06_AccredCertVerifiersAnnexI][5][NumberCertified]",Submission!$O:$O,Submission!$H:$N,""))</f>
        <v>0</v>
      </c>
    </row>
    <row r="22" spans="2:9" ht="27.6" customHeight="1" x14ac:dyDescent="0.3">
      <c r="B22" s="20"/>
      <c r="C22" s="412" t="str">
        <f>_xlfn.CONCAT(_xlfn.XLOOKUP("[S06_AccredCertVerifiersAnnexI][6][AccredCertScope]",Submission!$O:$O,Submission!$H:$N,""))</f>
        <v xml:space="preserve">5 - Production of primary aluminium (CO2 and PFC emissions) 6 </v>
      </c>
      <c r="D22" s="413"/>
      <c r="E22" s="413"/>
      <c r="F22" s="413"/>
      <c r="G22" s="414"/>
      <c r="H22" s="132" t="str">
        <f>_xlfn.CONCAT(_xlfn.XLOOKUP("[S06_AccredCertVerifiersAnnexI][6][NumberAccredited]",Submission!$O:$O,Submission!$H:$N,""))</f>
        <v>1</v>
      </c>
      <c r="I22" s="132" t="str">
        <f>_xlfn.CONCAT(_xlfn.XLOOKUP("[S06_AccredCertVerifiersAnnexI][6][NumberCertified]",Submission!$O:$O,Submission!$H:$N,""))</f>
        <v>0</v>
      </c>
    </row>
    <row r="23" spans="2:9" ht="27.6" customHeight="1" x14ac:dyDescent="0.3">
      <c r="B23" s="20"/>
      <c r="C23" s="412" t="str">
        <f>_xlfn.CONCAT(_xlfn.XLOOKUP("[S06_AccredCertVerifiersAnnexI][7][AccredCertScope]",Submission!$O:$O,Submission!$H:$N,""))</f>
        <v xml:space="preserve">6 - Production of cement clinker </v>
      </c>
      <c r="D23" s="413"/>
      <c r="E23" s="413"/>
      <c r="F23" s="413"/>
      <c r="G23" s="414"/>
      <c r="H23" s="132" t="str">
        <f>_xlfn.CONCAT(_xlfn.XLOOKUP("[S06_AccredCertVerifiersAnnexI][7][NumberAccredited]",Submission!$O:$O,Submission!$H:$N,""))</f>
        <v>2</v>
      </c>
      <c r="I23" s="132" t="str">
        <f>_xlfn.CONCAT(_xlfn.XLOOKUP("[S06_AccredCertVerifiersAnnexI][7][NumberCertified]",Submission!$O:$O,Submission!$H:$N,""))</f>
        <v>0</v>
      </c>
    </row>
    <row r="24" spans="2:9" ht="27.6" customHeight="1" x14ac:dyDescent="0.3">
      <c r="B24" s="20"/>
      <c r="C24" s="412" t="str">
        <f>_xlfn.CONCAT(_xlfn.XLOOKUP("[S06_AccredCertVerifiersAnnexI][8][AccredCertScope]",Submission!$O:$O,Submission!$H:$N,""))</f>
        <v xml:space="preserve">7 - Production of pulp from timber or other fibrous materials </v>
      </c>
      <c r="D24" s="413"/>
      <c r="E24" s="413"/>
      <c r="F24" s="413"/>
      <c r="G24" s="414"/>
      <c r="H24" s="132" t="str">
        <f>_xlfn.CONCAT(_xlfn.XLOOKUP("[S06_AccredCertVerifiersAnnexI][8][NumberAccredited]",Submission!$O:$O,Submission!$H:$N,""))</f>
        <v>2</v>
      </c>
      <c r="I24" s="132" t="str">
        <f>_xlfn.CONCAT(_xlfn.XLOOKUP("[S06_AccredCertVerifiersAnnexI][8][NumberCertified]",Submission!$O:$O,Submission!$H:$N,""))</f>
        <v>0</v>
      </c>
    </row>
    <row r="25" spans="2:9" ht="27.6" customHeight="1" x14ac:dyDescent="0.3">
      <c r="B25" s="20"/>
      <c r="C25" s="412" t="str">
        <f>_xlfn.CONCAT(_xlfn.XLOOKUP("[S06_AccredCertVerifiersAnnexI][9][AccredCertScope]",Submission!$O:$O,Submission!$H:$N,""))</f>
        <v xml:space="preserve">8 - Production of carbon black </v>
      </c>
      <c r="D25" s="413"/>
      <c r="E25" s="413"/>
      <c r="F25" s="413"/>
      <c r="G25" s="414"/>
      <c r="H25" s="132" t="str">
        <f>_xlfn.CONCAT(_xlfn.XLOOKUP("[S06_AccredCertVerifiersAnnexI][9][NumberAccredited]",Submission!$O:$O,Submission!$H:$N,""))</f>
        <v>3</v>
      </c>
      <c r="I25" s="132" t="str">
        <f>_xlfn.CONCAT(_xlfn.XLOOKUP("[S06_AccredCertVerifiersAnnexI][9][NumberCertified]",Submission!$O:$O,Submission!$H:$N,""))</f>
        <v>0</v>
      </c>
    </row>
    <row r="26" spans="2:9" ht="27.6" customHeight="1" x14ac:dyDescent="0.3">
      <c r="B26" s="20"/>
      <c r="C26" s="412" t="str">
        <f>_xlfn.CONCAT(_xlfn.XLOOKUP("[S06_AccredCertVerifiersAnnexI][10][AccredCertScope]",Submission!$O:$O,Submission!$H:$N,""))</f>
        <v xml:space="preserve">9 - Production of nitric acid (CO2 and N2O emissions) </v>
      </c>
      <c r="D26" s="413"/>
      <c r="E26" s="413"/>
      <c r="F26" s="413"/>
      <c r="G26" s="414"/>
      <c r="H26" s="132" t="str">
        <f>_xlfn.CONCAT(_xlfn.XLOOKUP("[S06_AccredCertVerifiersAnnexI][10][NumberAccredited]",Submission!$O:$O,Submission!$H:$N,""))</f>
        <v>1</v>
      </c>
      <c r="I26" s="132" t="str">
        <f>_xlfn.CONCAT(_xlfn.XLOOKUP("[S06_AccredCertVerifiersAnnexI][10][NumberCertified]",Submission!$O:$O,Submission!$H:$N,""))</f>
        <v>0</v>
      </c>
    </row>
    <row r="27" spans="2:9" ht="27.6" customHeight="1" x14ac:dyDescent="0.3">
      <c r="B27" s="20"/>
      <c r="C27" s="412" t="str">
        <f>_xlfn.CONCAT(_xlfn.XLOOKUP("[S06_AccredCertVerifiersAnnexI][11][AccredCertScope]",Submission!$O:$O,Submission!$H:$N,""))</f>
        <v xml:space="preserve">10 - Capture of greenhouse gases from installations covered by Directive 2003/87/EC for the purpose of transport and geological storage in a storage site permitted under Directive 2009/31/EC </v>
      </c>
      <c r="D27" s="413"/>
      <c r="E27" s="413"/>
      <c r="F27" s="413"/>
      <c r="G27" s="414"/>
      <c r="H27" s="132" t="str">
        <f>_xlfn.CONCAT(_xlfn.XLOOKUP("[S06_AccredCertVerifiersAnnexI][11][NumberAccredited]",Submission!$O:$O,Submission!$H:$N,""))</f>
        <v>1</v>
      </c>
      <c r="I27" s="132" t="str">
        <f>_xlfn.CONCAT(_xlfn.XLOOKUP("[S06_AccredCertVerifiersAnnexI][11][NumberCertified]",Submission!$O:$O,Submission!$H:$N,""))</f>
        <v>0</v>
      </c>
    </row>
    <row r="28" spans="2:9" ht="27.6" customHeight="1" x14ac:dyDescent="0.3">
      <c r="B28" s="20"/>
      <c r="C28" s="412" t="str">
        <f>_xlfn.CONCAT(_xlfn.XLOOKUP("[S06_AccredCertVerifiersAnnexI][12][AccredCertScope]",Submission!$O:$O,Submission!$H:$N,""))</f>
        <v>11 - Geological storage of greenhouse gases in a storage site permitted under Directive 2009/31/EC</v>
      </c>
      <c r="D28" s="413"/>
      <c r="E28" s="413"/>
      <c r="F28" s="413"/>
      <c r="G28" s="414"/>
      <c r="H28" s="132" t="str">
        <f>_xlfn.CONCAT(_xlfn.XLOOKUP("[S06_AccredCertVerifiersAnnexI][12][NumberAccredited]",Submission!$O:$O,Submission!$H:$N,""))</f>
        <v>1</v>
      </c>
      <c r="I28" s="132" t="str">
        <f>_xlfn.CONCAT(_xlfn.XLOOKUP("[S06_AccredCertVerifiersAnnexI][12][NumberCertified]",Submission!$O:$O,Submission!$H:$N,""))</f>
        <v>0</v>
      </c>
    </row>
    <row r="29" spans="2:9" ht="27.6" hidden="1" customHeight="1" outlineLevel="1" x14ac:dyDescent="0.3">
      <c r="B29" s="20"/>
      <c r="C29" s="412" t="str">
        <f>_xlfn.CONCAT(_xlfn.XLOOKUP("[S06_AccredCertVerifiersAnnexI][13][AccredCertScope]",Submission!$O:$O,Submission!$H:$N,""))</f>
        <v>12 - Aviation activities (emissions and tonne-kilometre data)</v>
      </c>
      <c r="D29" s="413"/>
      <c r="E29" s="413"/>
      <c r="F29" s="413"/>
      <c r="G29" s="414"/>
      <c r="H29" s="132" t="str">
        <f>_xlfn.CONCAT(_xlfn.XLOOKUP("[S06_AccredCertVerifiersAnnexI][13][NumberAccredited]",Submission!$O:$O,Submission!$H:$N,""))</f>
        <v>0</v>
      </c>
      <c r="I29" s="132" t="str">
        <f>_xlfn.CONCAT(_xlfn.XLOOKUP("[S06_AccredCertVerifiersAnnexI][13][NumberCertified]",Submission!$O:$O,Submission!$H:$N,""))</f>
        <v>0</v>
      </c>
    </row>
    <row r="30" spans="2:9" ht="27.6" hidden="1" customHeight="1" outlineLevel="1" x14ac:dyDescent="0.3">
      <c r="B30" s="20"/>
      <c r="C30" s="412" t="str">
        <f>_xlfn.CONCAT(_xlfn.XLOOKUP("[S06_AccredCertVerifiersAnnexI][14][AccredCertScope]",Submission!$O:$O,Submission!$H:$N,""))</f>
        <v>98 - Other activities pursuant to Article 10a of Directive 2003/87/EC</v>
      </c>
      <c r="D30" s="413"/>
      <c r="E30" s="413"/>
      <c r="F30" s="413"/>
      <c r="G30" s="414"/>
      <c r="H30" s="132" t="str">
        <f>_xlfn.CONCAT(_xlfn.XLOOKUP("[S06_AccredCertVerifiersAnnexI][14][NumberAccredited]",Submission!$O:$O,Submission!$H:$N,""))</f>
        <v>3</v>
      </c>
      <c r="I30" s="132" t="str">
        <f>_xlfn.CONCAT(_xlfn.XLOOKUP("[S06_AccredCertVerifiersAnnexI][14][NumberCertified]",Submission!$O:$O,Submission!$H:$N,""))</f>
        <v/>
      </c>
    </row>
    <row r="31" spans="2:9" ht="27.6" hidden="1" customHeight="1" outlineLevel="1" x14ac:dyDescent="0.3">
      <c r="B31" s="20"/>
      <c r="C31" s="412" t="str">
        <f>_xlfn.CONCAT(_xlfn.XLOOKUP("[S06_AccredCertVerifiersAnnexI][15][AccredCertScope]",Submission!$O:$O,Submission!$H:$N,""))</f>
        <v xml:space="preserve">3 - Metal ore (including sulphide ore) roasting or sintering, including pelletisation </v>
      </c>
      <c r="D31" s="413"/>
      <c r="E31" s="413"/>
      <c r="F31" s="413"/>
      <c r="G31" s="414"/>
      <c r="H31" s="132" t="str">
        <f>_xlfn.CONCAT(_xlfn.XLOOKUP("[S06_AccredCertVerifiersAnnexI][15][NumberAccredited]",Submission!$O:$O,Submission!$H:$N,""))</f>
        <v>2</v>
      </c>
      <c r="I31" s="132" t="str">
        <f>_xlfn.CONCAT(_xlfn.XLOOKUP("[S06_AccredCertVerifiersAnnexI][15][NumberCertified]",Submission!$O:$O,Submission!$H:$N,""))</f>
        <v>0</v>
      </c>
    </row>
    <row r="32" spans="2:9" ht="27.6" hidden="1" customHeight="1" outlineLevel="1" x14ac:dyDescent="0.3">
      <c r="B32" s="20"/>
      <c r="C32" s="412" t="str">
        <f>_xlfn.CONCAT(_xlfn.XLOOKUP("[S06_AccredCertVerifiersAnnexI][16][AccredCertScope]",Submission!$O:$O,Submission!$H:$N,""))</f>
        <v>3 - Production of pig iron or steel (primary or secondary fusion) including continuous casting</v>
      </c>
      <c r="D32" s="413"/>
      <c r="E32" s="413"/>
      <c r="F32" s="413"/>
      <c r="G32" s="414"/>
      <c r="H32" s="132" t="str">
        <f>_xlfn.CONCAT(_xlfn.XLOOKUP("[S06_AccredCertVerifiersAnnexI][16][NumberAccredited]",Submission!$O:$O,Submission!$H:$N,""))</f>
        <v>2</v>
      </c>
      <c r="I32" s="132" t="str">
        <f>_xlfn.CONCAT(_xlfn.XLOOKUP("[S06_AccredCertVerifiersAnnexI][16][NumberCertified]",Submission!$O:$O,Submission!$H:$N,""))</f>
        <v>0</v>
      </c>
    </row>
    <row r="33" spans="2:9" ht="27.6" hidden="1" customHeight="1" outlineLevel="1" x14ac:dyDescent="0.3">
      <c r="B33" s="20"/>
      <c r="C33" s="412" t="str">
        <f>_xlfn.CONCAT(_xlfn.XLOOKUP("[S06_AccredCertVerifiersAnnexI][17][AccredCertScope]",Submission!$O:$O,Submission!$H:$N,""))</f>
        <v xml:space="preserve">8 - Production of ammonia </v>
      </c>
      <c r="D33" s="413"/>
      <c r="E33" s="413"/>
      <c r="F33" s="413"/>
      <c r="G33" s="414"/>
      <c r="H33" s="132" t="str">
        <f>_xlfn.CONCAT(_xlfn.XLOOKUP("[S06_AccredCertVerifiersAnnexI][17][NumberAccredited]",Submission!$O:$O,Submission!$H:$N,""))</f>
        <v>3</v>
      </c>
      <c r="I33" s="132" t="str">
        <f>_xlfn.CONCAT(_xlfn.XLOOKUP("[S06_AccredCertVerifiersAnnexI][17][NumberCertified]",Submission!$O:$O,Submission!$H:$N,""))</f>
        <v>0</v>
      </c>
    </row>
    <row r="34" spans="2:9" ht="27.6" hidden="1" customHeight="1" outlineLevel="1" x14ac:dyDescent="0.3">
      <c r="B34" s="20"/>
      <c r="C34" s="412" t="str">
        <f>_xlfn.CONCAT(_xlfn.XLOOKUP("[S06_AccredCertVerifiersAnnexI][18][AccredCertScope]",Submission!$O:$O,Submission!$H:$N,""))</f>
        <v xml:space="preserve">8 - Production of bulk organic chemicals by cracking, reforming, partial or full oxidation or by similar processes </v>
      </c>
      <c r="D34" s="413"/>
      <c r="E34" s="413"/>
      <c r="F34" s="413"/>
      <c r="G34" s="414"/>
      <c r="H34" s="132" t="str">
        <f>_xlfn.CONCAT(_xlfn.XLOOKUP("[S06_AccredCertVerifiersAnnexI][18][NumberAccredited]",Submission!$O:$O,Submission!$H:$N,""))</f>
        <v>3</v>
      </c>
      <c r="I34" s="132" t="str">
        <f>_xlfn.CONCAT(_xlfn.XLOOKUP("[S06_AccredCertVerifiersAnnexI][18][NumberCertified]",Submission!$O:$O,Submission!$H:$N,""))</f>
        <v>0</v>
      </c>
    </row>
    <row r="35" spans="2:9" ht="27.6" hidden="1" customHeight="1" outlineLevel="1" x14ac:dyDescent="0.3">
      <c r="B35" s="20"/>
      <c r="C35" s="412" t="str">
        <f>_xlfn.CONCAT(_xlfn.XLOOKUP("[S06_AccredCertVerifiersAnnexI][19][AccredCertScope]",Submission!$O:$O,Submission!$H:$N,""))</f>
        <v xml:space="preserve">8 - Production of hydrogen (H2) and synthesis gas by reforming or partial oxidation </v>
      </c>
      <c r="D35" s="413"/>
      <c r="E35" s="413"/>
      <c r="F35" s="413"/>
      <c r="G35" s="414"/>
      <c r="H35" s="132" t="str">
        <f>_xlfn.CONCAT(_xlfn.XLOOKUP("[S06_AccredCertVerifiersAnnexI][19][NumberAccredited]",Submission!$O:$O,Submission!$H:$N,""))</f>
        <v>3</v>
      </c>
      <c r="I35" s="132" t="str">
        <f>_xlfn.CONCAT(_xlfn.XLOOKUP("[S06_AccredCertVerifiersAnnexI][19][NumberCertified]",Submission!$O:$O,Submission!$H:$N,""))</f>
        <v>0</v>
      </c>
    </row>
    <row r="36" spans="2:9" ht="27.6" hidden="1" customHeight="1" outlineLevel="1" x14ac:dyDescent="0.3">
      <c r="B36" s="20"/>
      <c r="C36" s="412" t="str">
        <f>_xlfn.CONCAT(_xlfn.XLOOKUP("[S06_AccredCertVerifiersAnnexI][20][AccredCertScope]",Submission!$O:$O,Submission!$H:$N,""))</f>
        <v>8 - Production of soda ash (Na2CO3) and sodium bicarbonate (NaHCO3)</v>
      </c>
      <c r="D36" s="413"/>
      <c r="E36" s="413"/>
      <c r="F36" s="413"/>
      <c r="G36" s="414"/>
      <c r="H36" s="132" t="str">
        <f>_xlfn.CONCAT(_xlfn.XLOOKUP("[S06_AccredCertVerifiersAnnexI][20][NumberAccredited]",Submission!$O:$O,Submission!$H:$N,""))</f>
        <v>3</v>
      </c>
      <c r="I36" s="132" t="str">
        <f>_xlfn.CONCAT(_xlfn.XLOOKUP("[S06_AccredCertVerifiersAnnexI][20][NumberCertified]",Submission!$O:$O,Submission!$H:$N,""))</f>
        <v>0</v>
      </c>
    </row>
    <row r="37" spans="2:9" ht="27.6" hidden="1" customHeight="1" outlineLevel="1" x14ac:dyDescent="0.3">
      <c r="B37" s="20"/>
      <c r="C37" s="412" t="str">
        <f>_xlfn.CONCAT(_xlfn.XLOOKUP("[S06_AccredCertVerifiersAnnexI][21][AccredCertScope]",Submission!$O:$O,Submission!$H:$N,""))</f>
        <v xml:space="preserve">6 - Production of lime or calcination of dolomite or magnesite </v>
      </c>
      <c r="D37" s="413"/>
      <c r="E37" s="413"/>
      <c r="F37" s="413"/>
      <c r="G37" s="414"/>
      <c r="H37" s="132" t="str">
        <f>_xlfn.CONCAT(_xlfn.XLOOKUP("[S06_AccredCertVerifiersAnnexI][21][NumberAccredited]",Submission!$O:$O,Submission!$H:$N,""))</f>
        <v>2</v>
      </c>
      <c r="I37" s="132" t="str">
        <f>_xlfn.CONCAT(_xlfn.XLOOKUP("[S06_AccredCertVerifiersAnnexI][21][NumberCertified]",Submission!$O:$O,Submission!$H:$N,""))</f>
        <v>0</v>
      </c>
    </row>
    <row r="38" spans="2:9" ht="27.6" hidden="1" customHeight="1" outlineLevel="1" x14ac:dyDescent="0.3">
      <c r="B38" s="20"/>
      <c r="C38" s="412" t="str">
        <f>_xlfn.CONCAT(_xlfn.XLOOKUP("[S06_AccredCertVerifiersAnnexI][22][AccredCertScope]",Submission!$O:$O,Submission!$H:$N,""))</f>
        <v xml:space="preserve">6 - Manufacture of glass including glass fibre </v>
      </c>
      <c r="D38" s="413"/>
      <c r="E38" s="413"/>
      <c r="F38" s="413"/>
      <c r="G38" s="414"/>
      <c r="H38" s="132" t="str">
        <f>_xlfn.CONCAT(_xlfn.XLOOKUP("[S06_AccredCertVerifiersAnnexI][22][NumberAccredited]",Submission!$O:$O,Submission!$H:$N,""))</f>
        <v>2</v>
      </c>
      <c r="I38" s="132" t="str">
        <f>_xlfn.CONCAT(_xlfn.XLOOKUP("[S06_AccredCertVerifiersAnnexI][22][NumberCertified]",Submission!$O:$O,Submission!$H:$N,""))</f>
        <v>0</v>
      </c>
    </row>
    <row r="39" spans="2:9" ht="27.6" hidden="1" customHeight="1" outlineLevel="1" x14ac:dyDescent="0.3">
      <c r="B39" s="20"/>
      <c r="C39" s="412" t="str">
        <f>_xlfn.CONCAT(_xlfn.XLOOKUP("[S06_AccredCertVerifiersAnnexI][23][AccredCertScope]",Submission!$O:$O,Submission!$H:$N,""))</f>
        <v xml:space="preserve">6 - Manufacture of ceramic products by firing </v>
      </c>
      <c r="D39" s="413"/>
      <c r="E39" s="413"/>
      <c r="F39" s="413"/>
      <c r="G39" s="414"/>
      <c r="H39" s="132" t="str">
        <f>_xlfn.CONCAT(_xlfn.XLOOKUP("[S06_AccredCertVerifiersAnnexI][23][NumberAccredited]",Submission!$O:$O,Submission!$H:$N,""))</f>
        <v>2</v>
      </c>
      <c r="I39" s="132" t="str">
        <f>_xlfn.CONCAT(_xlfn.XLOOKUP("[S06_AccredCertVerifiersAnnexI][23][NumberCertified]",Submission!$O:$O,Submission!$H:$N,""))</f>
        <v>0</v>
      </c>
    </row>
    <row r="40" spans="2:9" ht="27.6" hidden="1" customHeight="1" outlineLevel="1" x14ac:dyDescent="0.3">
      <c r="B40" s="20"/>
      <c r="C40" s="412" t="str">
        <f>_xlfn.CONCAT(_xlfn.XLOOKUP("[S06_AccredCertVerifiersAnnexI][24][AccredCertScope]",Submission!$O:$O,Submission!$H:$N,""))</f>
        <v xml:space="preserve">6 - Manufacture of mineral wool insulation material </v>
      </c>
      <c r="D40" s="413"/>
      <c r="E40" s="413"/>
      <c r="F40" s="413"/>
      <c r="G40" s="414"/>
      <c r="H40" s="132" t="str">
        <f>_xlfn.CONCAT(_xlfn.XLOOKUP("[S06_AccredCertVerifiersAnnexI][24][NumberAccredited]",Submission!$O:$O,Submission!$H:$N,""))</f>
        <v>2</v>
      </c>
      <c r="I40" s="132" t="str">
        <f>_xlfn.CONCAT(_xlfn.XLOOKUP("[S06_AccredCertVerifiersAnnexI][24][NumberCertified]",Submission!$O:$O,Submission!$H:$N,""))</f>
        <v>0</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Yes</v>
      </c>
      <c r="H56" s="285"/>
      <c r="I56" s="47" t="str">
        <f>_xlfn.CONCAT(_xlfn.XLOOKUP("[S06_ApplicationInformationExchangeRequirements1][1][FromOtherMS]",Submission!$O:$O,Submission!$H:$N,""))</f>
        <v>Yes</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Yes</v>
      </c>
      <c r="H58" s="285"/>
      <c r="I58" s="47" t="str">
        <f>_xlfn.CONCAT(_xlfn.XLOOKUP("[S06_ApplicationInformationExchangeRequirements1][2][FromOtherMS]",Submission!$O:$O,Submission!$H:$N,""))</f>
        <v>Partially</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Yes</v>
      </c>
      <c r="H60" s="285"/>
      <c r="I60" s="47" t="str">
        <f>_xlfn.CONCAT(_xlfn.XLOOKUP("[S06_ApplicationInformationExchangeRequirements1][3][FromOtherMS]",Submission!$O:$O,Submission!$H:$N,""))</f>
        <v>Yes</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2</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1</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0</v>
      </c>
      <c r="H64" s="105" t="str">
        <f>_xlfn.CONCAT(_xlfn.XLOOKUP("[S06_ApplicationInformationExchangeRequirements2][2][NumberImposedOnVerifiersWithdrawal]",Submission!$O:$O,Submission!$H:$N,""))</f>
        <v>0</v>
      </c>
      <c r="I64" s="105" t="str">
        <f>_xlfn.CONCAT(_xlfn.XLOOKUP("[S06_ApplicationInformationExchangeRequirements2][2][NumberImposedOnVerifiersReductionOfScope]",Submission!$O:$O,Submission!$H:$N,""))</f>
        <v>0</v>
      </c>
    </row>
    <row r="65" spans="1:9" ht="45.6" customHeight="1" x14ac:dyDescent="0.3">
      <c r="C65" s="246" t="s">
        <v>1015</v>
      </c>
      <c r="D65" s="263"/>
      <c r="E65" s="263"/>
      <c r="F65" s="264"/>
      <c r="G65" s="341" t="str">
        <f>_xlfn.CONCAT(_xlfn.XLOOKUP("[S06_ApplicationInformationExchangeRequirements3][0][TimesSurveillanceRequested]",Submission!$O:$O,Submission!$H:$N,""))</f>
        <v>0</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0</v>
      </c>
      <c r="H69" s="105" t="str">
        <f>_xlfn.CONCAT(_xlfn.XLOOKUP("[S06_ApplicationInformationExchangeRequirements4][2][NumberOfIssuesResolved]",Submission!$O:$O,Submission!$H:$N,""))</f>
        <v>0</v>
      </c>
      <c r="I69" s="105" t="str">
        <f>_xlfn.CONCAT(_xlfn.XLOOKUP("[S06_ApplicationInformationExchangeRequirements4][2][NumberOfPriorIssuesResolved]",Submission!$O:$O,Submission!$H:$N,""))</f>
        <v>0</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5</v>
      </c>
      <c r="H71" s="105" t="str">
        <f>_xlfn.CONCAT(_xlfn.XLOOKUP("[S06_ApplicationInformationExchangeRequirements4][3][NumberOfIssuesResolved]",Submission!$O:$O,Submission!$H:$N,""))</f>
        <v>1</v>
      </c>
      <c r="I71" s="105" t="str">
        <f>_xlfn.CONCAT(_xlfn.XLOOKUP("[S06_ApplicationInformationExchangeRequirements4][3][NumberOfPriorIssuesResolved]",Submission!$O:$O,Submission!$H:$N,""))</f>
        <v>0</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3"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3</v>
      </c>
      <c r="I125" s="356"/>
    </row>
    <row r="126" spans="1:9" ht="18" customHeight="1" x14ac:dyDescent="0.3">
      <c r="C126" s="246" t="s">
        <v>1039</v>
      </c>
      <c r="D126" s="263"/>
      <c r="E126" s="263"/>
      <c r="F126" s="263"/>
      <c r="G126" s="264"/>
      <c r="H126" s="341" t="str">
        <f>_xlfn.CONCAT(_xlfn.XLOOKUP("[S06_NegativeOpinionInstallations][2][CountNegativeOpinions]",Submission!$O:$O,Submission!$H:$N,""))</f>
        <v>1</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20 - Combustion of fuels as specified in Annex I of Directive 2003/87/EC</v>
      </c>
      <c r="D133" s="347"/>
      <c r="E133" s="281" t="str">
        <f>_xlfn.CONCAT(_xlfn.XLOOKUP("[S06_InstallationsVerificationReportsIssueDetail]["&amp;1&amp;"][TypeOfIssue]",Submission!$O:$O,Submission!$H:$N,""))</f>
        <v>Non-material misstatements</v>
      </c>
      <c r="F133" s="347"/>
      <c r="G133" s="105" t="str">
        <f>_xlfn.CONCAT(_xlfn.XLOOKUP("[S06_InstallationsVerificationReportsIssueDetail]["&amp;1&amp;"][NumberOfInstallations]",Submission!$O:$O,Submission!$H:$N,""))</f>
        <v>2</v>
      </c>
      <c r="H133" s="108" t="str">
        <f>_xlfn.CONCAT(_xlfn.XLOOKUP("[S06_InstallationsVerificationReportsIssueDetail]["&amp;1&amp;"][NumberOfIssues]",Submission!$O:$O,Submission!$H:$N,""))</f>
        <v>2</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30 - Production of lime or calcination of dolomite or magnesite as specified in Annex I of Directive 2003/87/ EC</v>
      </c>
      <c r="D134" s="347"/>
      <c r="E134" s="281" t="str">
        <f>_xlfn.CONCAT(_xlfn.XLOOKUP("[S06_InstallationsVerificationReportsIssueDetail]["&amp;1+ROW(B134)-ROW($B$133)&amp;"][TypeOfIssue]",Submission!$O:$O,Submission!$H:$N,""))</f>
        <v>Non-material misstatements</v>
      </c>
      <c r="F134" s="347"/>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1</v>
      </c>
      <c r="I134" s="183" t="str">
        <f>_xlfn.CONCAT(_xlfn.XLOOKUP("[S06_InstallationsVerificationReportsIssueDetail]["&amp;1+ROW(B134)-ROW($B$133)&amp;"][ShareOfReportsConservativeEstimate]",Submission!$O:$O,Submission!$H:$N,""))</f>
        <v>0</v>
      </c>
    </row>
    <row r="135" spans="1:9" ht="26.4" customHeight="1" x14ac:dyDescent="0.3">
      <c r="A135" s="13"/>
      <c r="C135" s="281" t="str">
        <f>_xlfn.CONCAT(_xlfn.XLOOKUP("[S06_InstallationsVerificationReportsIssueDetail]["&amp;1+ROW(B135)-ROW($B$133)&amp;"][AnnexIActivity]",Submission!$O:$O,Submission!$H:$N,""))</f>
        <v>20 - Combustion of fuels as specified in Annex I of Directive 2003/87/EC</v>
      </c>
      <c r="D135" s="347"/>
      <c r="E135" s="281" t="str">
        <f>_xlfn.CONCAT(_xlfn.XLOOKUP("[S06_InstallationsVerificationReportsIssueDetail]["&amp;1+ROW(B135)-ROW($B$133)&amp;"][TypeOfIssue]",Submission!$O:$O,Submission!$H:$N,""))</f>
        <v>Non-conformities not leading to a negative verification opinion statement</v>
      </c>
      <c r="F135" s="347"/>
      <c r="G135" s="105" t="str">
        <f>_xlfn.CONCAT(_xlfn.XLOOKUP("[S06_InstallationsVerificationReportsIssueDetail]["&amp;1+ROW(B135)-ROW($B$133)&amp;"][NumberOfInstallations]",Submission!$O:$O,Submission!$H:$N,""))</f>
        <v>28</v>
      </c>
      <c r="H135" s="108" t="str">
        <f>_xlfn.CONCAT(_xlfn.XLOOKUP("[S06_InstallationsVerificationReportsIssueDetail]["&amp;1+ROW(B135)-ROW($B$133)&amp;"][NumberOfIssues]",Submission!$O:$O,Submission!$H:$N,""))</f>
        <v>9</v>
      </c>
      <c r="I135" s="183" t="str">
        <f>_xlfn.CONCAT(_xlfn.XLOOKUP("[S06_InstallationsVerificationReportsIssueDetail]["&amp;1+ROW(B135)-ROW($B$133)&amp;"][ShareOfReportsConservativeEstimate]",Submission!$O:$O,Submission!$H:$N,""))</f>
        <v>0</v>
      </c>
    </row>
    <row r="136" spans="1:9" ht="26.4" customHeight="1" x14ac:dyDescent="0.3">
      <c r="A136" s="13"/>
      <c r="C136" s="281" t="str">
        <f>_xlfn.CONCAT(_xlfn.XLOOKUP("[S06_InstallationsVerificationReportsIssueDetail]["&amp;1+ROW(B136)-ROW($B$133)&amp;"][AnnexIActivity]",Submission!$O:$O,Submission!$H:$N,""))</f>
        <v>32 - Manufacture of glass as specified in Annex I of Directive 2003/87/EC</v>
      </c>
      <c r="D136" s="347"/>
      <c r="E136" s="281" t="str">
        <f>_xlfn.CONCAT(_xlfn.XLOOKUP("[S06_InstallationsVerificationReportsIssueDetail]["&amp;1+ROW(B136)-ROW($B$133)&amp;"][TypeOfIssue]",Submission!$O:$O,Submission!$H:$N,""))</f>
        <v>Non-conformities not leading to a negative verification opinion statement</v>
      </c>
      <c r="F136" s="347"/>
      <c r="G136" s="105" t="str">
        <f>_xlfn.CONCAT(_xlfn.XLOOKUP("[S06_InstallationsVerificationReportsIssueDetail]["&amp;1+ROW(B136)-ROW($B$133)&amp;"][NumberOfInstallations]",Submission!$O:$O,Submission!$H:$N,""))</f>
        <v>1</v>
      </c>
      <c r="H136" s="108" t="str">
        <f>_xlfn.CONCAT(_xlfn.XLOOKUP("[S06_InstallationsVerificationReportsIssueDetail]["&amp;1+ROW(B136)-ROW($B$133)&amp;"][NumberOfIssues]",Submission!$O:$O,Submission!$H:$N,""))</f>
        <v>1</v>
      </c>
      <c r="I136" s="183" t="str">
        <f>_xlfn.CONCAT(_xlfn.XLOOKUP("[S06_InstallationsVerificationReportsIssueDetail]["&amp;1+ROW(B136)-ROW($B$133)&amp;"][ShareOfReportsConservativeEstimate]",Submission!$O:$O,Submission!$H:$N,""))</f>
        <v>0</v>
      </c>
    </row>
    <row r="137" spans="1:9" ht="26.4" customHeight="1" x14ac:dyDescent="0.3">
      <c r="A137" s="13"/>
      <c r="C137" s="281" t="str">
        <f>_xlfn.CONCAT(_xlfn.XLOOKUP("[S06_InstallationsVerificationReportsIssueDetail]["&amp;1+ROW(B137)-ROW($B$133)&amp;"][AnnexIActivity]",Submission!$O:$O,Submission!$H:$N,""))</f>
        <v xml:space="preserve">43 - Production of bulk organic chemicals as specified in Annex I of Directive 2003/87/EC </v>
      </c>
      <c r="D137" s="347"/>
      <c r="E137" s="281" t="str">
        <f>_xlfn.CONCAT(_xlfn.XLOOKUP("[S06_InstallationsVerificationReportsIssueDetail]["&amp;1+ROW(B137)-ROW($B$133)&amp;"][TypeOfIssue]",Submission!$O:$O,Submission!$H:$N,""))</f>
        <v>Non-conformities not leading to a negative verification opinion statement</v>
      </c>
      <c r="F137" s="347"/>
      <c r="G137" s="105" t="str">
        <f>_xlfn.CONCAT(_xlfn.XLOOKUP("[S06_InstallationsVerificationReportsIssueDetail]["&amp;1+ROW(B137)-ROW($B$133)&amp;"][NumberOfInstallations]",Submission!$O:$O,Submission!$H:$N,""))</f>
        <v>1</v>
      </c>
      <c r="H137" s="108" t="str">
        <f>_xlfn.CONCAT(_xlfn.XLOOKUP("[S06_InstallationsVerificationReportsIssueDetail]["&amp;1+ROW(B137)-ROW($B$133)&amp;"][NumberOfIssues]",Submission!$O:$O,Submission!$H:$N,""))</f>
        <v>2</v>
      </c>
      <c r="I137" s="183" t="str">
        <f>_xlfn.CONCAT(_xlfn.XLOOKUP("[S06_InstallationsVerificationReportsIssueDetail]["&amp;1+ROW(B137)-ROW($B$133)&amp;"][ShareOfReportsConservativeEstimate]",Submission!$O:$O,Submission!$H:$N,""))</f>
        <v>0</v>
      </c>
    </row>
    <row r="138" spans="1:9" ht="26.4" customHeight="1" x14ac:dyDescent="0.3">
      <c r="A138" s="13"/>
      <c r="C138" s="281" t="str">
        <f>_xlfn.CONCAT(_xlfn.XLOOKUP("[S06_InstallationsVerificationReportsIssueDetail]["&amp;1+ROW(B138)-ROW($B$133)&amp;"][AnnexIActivity]",Submission!$O:$O,Submission!$H:$N,""))</f>
        <v>30 - Production of cement clinker in rotary kilns as specified in Annex I of Directive 2003/87/ EC</v>
      </c>
      <c r="D138" s="347"/>
      <c r="E138" s="281" t="str">
        <f>_xlfn.CONCAT(_xlfn.XLOOKUP("[S06_InstallationsVerificationReportsIssueDetail]["&amp;1+ROW(B138)-ROW($B$133)&amp;"][TypeOfIssue]",Submission!$O:$O,Submission!$H:$N,""))</f>
        <v>Non-conformities not leading to a negative verification opinion statement</v>
      </c>
      <c r="F138" s="347"/>
      <c r="G138" s="105" t="str">
        <f>_xlfn.CONCAT(_xlfn.XLOOKUP("[S06_InstallationsVerificationReportsIssueDetail]["&amp;1+ROW(B138)-ROW($B$133)&amp;"][NumberOfInstallations]",Submission!$O:$O,Submission!$H:$N,""))</f>
        <v>1</v>
      </c>
      <c r="H138" s="108" t="str">
        <f>_xlfn.CONCAT(_xlfn.XLOOKUP("[S06_InstallationsVerificationReportsIssueDetail]["&amp;1+ROW(B138)-ROW($B$133)&amp;"][NumberOfIssues]",Submission!$O:$O,Submission!$H:$N,""))</f>
        <v>1</v>
      </c>
      <c r="I138" s="183" t="str">
        <f>_xlfn.CONCAT(_xlfn.XLOOKUP("[S06_InstallationsVerificationReportsIssueDetail]["&amp;1+ROW(B138)-ROW($B$133)&amp;"][ShareOfReportsConservativeEstimate]",Submission!$O:$O,Submission!$H:$N,""))</f>
        <v>0</v>
      </c>
    </row>
    <row r="139" spans="1:9" ht="26.4" customHeight="1" x14ac:dyDescent="0.3">
      <c r="A139" s="13"/>
      <c r="C139" s="281" t="str">
        <f>_xlfn.CONCAT(_xlfn.XLOOKUP("[S06_InstallationsVerificationReportsIssueDetail]["&amp;1+ROW(B139)-ROW($B$133)&amp;"][AnnexIActivity]",Submission!$O:$O,Submission!$H:$N,""))</f>
        <v>31 - Production of lime or calcination of dolomite or magnesite as specified in Annex I of Directive 2003/87/ EC</v>
      </c>
      <c r="D139" s="347"/>
      <c r="E139" s="281" t="str">
        <f>_xlfn.CONCAT(_xlfn.XLOOKUP("[S06_InstallationsVerificationReportsIssueDetail]["&amp;1+ROW(B139)-ROW($B$133)&amp;"][TypeOfIssue]",Submission!$O:$O,Submission!$H:$N,""))</f>
        <v>Non-conformities not leading to a negative verification opinion statement</v>
      </c>
      <c r="F139" s="347"/>
      <c r="G139" s="105" t="str">
        <f>_xlfn.CONCAT(_xlfn.XLOOKUP("[S06_InstallationsVerificationReportsIssueDetail]["&amp;1+ROW(B139)-ROW($B$133)&amp;"][NumberOfInstallations]",Submission!$O:$O,Submission!$H:$N,""))</f>
        <v>1</v>
      </c>
      <c r="H139" s="108" t="str">
        <f>_xlfn.CONCAT(_xlfn.XLOOKUP("[S06_InstallationsVerificationReportsIssueDetail]["&amp;1+ROW(B139)-ROW($B$133)&amp;"][NumberOfIssues]",Submission!$O:$O,Submission!$H:$N,""))</f>
        <v>1</v>
      </c>
      <c r="I139" s="183" t="str">
        <f>_xlfn.CONCAT(_xlfn.XLOOKUP("[S06_InstallationsVerificationReportsIssueDetail]["&amp;1+ROW(B139)-ROW($B$133)&amp;"][ShareOfReportsConservativeEstimate]",Submission!$O:$O,Submission!$H:$N,""))</f>
        <v>0</v>
      </c>
    </row>
    <row r="140" spans="1:9" ht="26.4" customHeight="1" x14ac:dyDescent="0.3">
      <c r="A140" s="13"/>
      <c r="C140" s="281" t="str">
        <f>_xlfn.CONCAT(_xlfn.XLOOKUP("[S06_InstallationsVerificationReportsIssueDetail]["&amp;1+ROW(B140)-ROW($B$133)&amp;"][AnnexIActivity]",Submission!$O:$O,Submission!$H:$N,""))</f>
        <v xml:space="preserve">37 - Production of paper or cardboard as specified in Annex I of Directive 2003/87/EC </v>
      </c>
      <c r="D140" s="347"/>
      <c r="E140" s="281" t="str">
        <f>_xlfn.CONCAT(_xlfn.XLOOKUP("[S06_InstallationsVerificationReportsIssueDetail]["&amp;1+ROW(B140)-ROW($B$133)&amp;"][TypeOfIssue]",Submission!$O:$O,Submission!$H:$N,""))</f>
        <v>Non-conformities not leading to a negative verification opinion statement</v>
      </c>
      <c r="F140" s="347"/>
      <c r="G140" s="105" t="str">
        <f>_xlfn.CONCAT(_xlfn.XLOOKUP("[S06_InstallationsVerificationReportsIssueDetail]["&amp;1+ROW(B140)-ROW($B$133)&amp;"][NumberOfInstallations]",Submission!$O:$O,Submission!$H:$N,""))</f>
        <v>1</v>
      </c>
      <c r="H140" s="108" t="str">
        <f>_xlfn.CONCAT(_xlfn.XLOOKUP("[S06_InstallationsVerificationReportsIssueDetail]["&amp;1+ROW(B140)-ROW($B$133)&amp;"][NumberOfIssues]",Submission!$O:$O,Submission!$H:$N,""))</f>
        <v>1</v>
      </c>
      <c r="I140" s="183" t="str">
        <f>_xlfn.CONCAT(_xlfn.XLOOKUP("[S06_InstallationsVerificationReportsIssueDetail]["&amp;1+ROW(B140)-ROW($B$133)&amp;"][ShareOfReportsConservativeEstimate]",Submission!$O:$O,Submission!$H:$N,""))</f>
        <v>0</v>
      </c>
    </row>
    <row r="141" spans="1:9" ht="26.4" customHeight="1" x14ac:dyDescent="0.3">
      <c r="A141" s="13"/>
      <c r="C141" s="281" t="str">
        <f>_xlfn.CONCAT(_xlfn.XLOOKUP("[S06_InstallationsVerificationReportsIssueDetail]["&amp;1+ROW(B141)-ROW($B$133)&amp;"][AnnexIActivity]",Submission!$O:$O,Submission!$H:$N,""))</f>
        <v>25 - Production of pig iron or steel as specified in Annex I of Directive 2003/87/EC</v>
      </c>
      <c r="D141" s="347"/>
      <c r="E141" s="281" t="str">
        <f>_xlfn.CONCAT(_xlfn.XLOOKUP("[S06_InstallationsVerificationReportsIssueDetail]["&amp;1+ROW(B141)-ROW($B$133)&amp;"][TypeOfIssue]",Submission!$O:$O,Submission!$H:$N,""))</f>
        <v>Non-conformities not leading to a negative verification opinion statement</v>
      </c>
      <c r="F141" s="347"/>
      <c r="G141" s="105" t="str">
        <f>_xlfn.CONCAT(_xlfn.XLOOKUP("[S06_InstallationsVerificationReportsIssueDetail]["&amp;1+ROW(B141)-ROW($B$133)&amp;"][NumberOfInstallations]",Submission!$O:$O,Submission!$H:$N,""))</f>
        <v>1</v>
      </c>
      <c r="H141" s="108" t="str">
        <f>_xlfn.CONCAT(_xlfn.XLOOKUP("[S06_InstallationsVerificationReportsIssueDetail]["&amp;1+ROW(B141)-ROW($B$133)&amp;"][NumberOfIssues]",Submission!$O:$O,Submission!$H:$N,""))</f>
        <v>1</v>
      </c>
      <c r="I141" s="183" t="str">
        <f>_xlfn.CONCAT(_xlfn.XLOOKUP("[S06_InstallationsVerificationReportsIssueDetail]["&amp;1+ROW(B141)-ROW($B$133)&amp;"][ShareOfReportsConservativeEstimate]",Submission!$O:$O,Submission!$H:$N,""))</f>
        <v>0</v>
      </c>
    </row>
    <row r="142" spans="1:9" ht="26.4" customHeight="1" x14ac:dyDescent="0.3">
      <c r="A142" s="13"/>
      <c r="C142" s="281" t="str">
        <f>_xlfn.CONCAT(_xlfn.XLOOKUP("[S06_InstallationsVerificationReportsIssueDetail]["&amp;1+ROW(B142)-ROW($B$133)&amp;"][AnnexIActivity]",Submission!$O:$O,Submission!$H:$N,""))</f>
        <v>26 - Production of primary aluminium</v>
      </c>
      <c r="D142" s="347"/>
      <c r="E142" s="281" t="str">
        <f>_xlfn.CONCAT(_xlfn.XLOOKUP("[S06_InstallationsVerificationReportsIssueDetail]["&amp;1+ROW(B142)-ROW($B$133)&amp;"][TypeOfIssue]",Submission!$O:$O,Submission!$H:$N,""))</f>
        <v>Non-conformities not leading to a negative verification opinion statement</v>
      </c>
      <c r="F142" s="347"/>
      <c r="G142" s="105" t="str">
        <f>_xlfn.CONCAT(_xlfn.XLOOKUP("[S06_InstallationsVerificationReportsIssueDetail]["&amp;1+ROW(B142)-ROW($B$133)&amp;"][NumberOfInstallations]",Submission!$O:$O,Submission!$H:$N,""))</f>
        <v>3</v>
      </c>
      <c r="H142" s="108" t="str">
        <f>_xlfn.CONCAT(_xlfn.XLOOKUP("[S06_InstallationsVerificationReportsIssueDetail]["&amp;1+ROW(B142)-ROW($B$133)&amp;"][NumberOfIssues]",Submission!$O:$O,Submission!$H:$N,""))</f>
        <v>3</v>
      </c>
      <c r="I142" s="183" t="str">
        <f>_xlfn.CONCAT(_xlfn.XLOOKUP("[S06_InstallationsVerificationReportsIssueDetail]["&amp;1+ROW(B142)-ROW($B$133)&amp;"][ShareOfReportsConservativeEstimate]",Submission!$O:$O,Submission!$H:$N,""))</f>
        <v>0</v>
      </c>
    </row>
    <row r="143" spans="1:9" ht="26.4" customHeight="1" x14ac:dyDescent="0.3">
      <c r="A143" s="13"/>
      <c r="C143" s="281" t="str">
        <f>_xlfn.CONCAT(_xlfn.XLOOKUP("[S06_InstallationsVerificationReportsIssueDetail]["&amp;1+ROW(B143)-ROW($B$133)&amp;"][AnnexIActivity]",Submission!$O:$O,Submission!$H:$N,""))</f>
        <v>25 - Production or processing of ferrous metals as specified in Annex I of Directive 2003/87/EC</v>
      </c>
      <c r="D143" s="347"/>
      <c r="E143" s="281" t="str">
        <f>_xlfn.CONCAT(_xlfn.XLOOKUP("[S06_InstallationsVerificationReportsIssueDetail]["&amp;1+ROW(B143)-ROW($B$133)&amp;"][TypeOfIssue]",Submission!$O:$O,Submission!$H:$N,""))</f>
        <v>Non-conformities not leading to a negative verification opinion statement</v>
      </c>
      <c r="F143" s="347"/>
      <c r="G143" s="105" t="str">
        <f>_xlfn.CONCAT(_xlfn.XLOOKUP("[S06_InstallationsVerificationReportsIssueDetail]["&amp;1+ROW(B143)-ROW($B$133)&amp;"][NumberOfInstallations]",Submission!$O:$O,Submission!$H:$N,""))</f>
        <v>3</v>
      </c>
      <c r="H143" s="108" t="str">
        <f>_xlfn.CONCAT(_xlfn.XLOOKUP("[S06_InstallationsVerificationReportsIssueDetail]["&amp;1+ROW(B143)-ROW($B$133)&amp;"][NumberOfIssues]",Submission!$O:$O,Submission!$H:$N,""))</f>
        <v>4</v>
      </c>
      <c r="I143" s="183" t="str">
        <f>_xlfn.CONCAT(_xlfn.XLOOKUP("[S06_InstallationsVerificationReportsIssueDetail]["&amp;1+ROW(B143)-ROW($B$133)&amp;"][ShareOfReportsConservativeEstimate]",Submission!$O:$O,Submission!$H:$N,""))</f>
        <v>0</v>
      </c>
    </row>
    <row r="144" spans="1:9" ht="26.4" customHeight="1" x14ac:dyDescent="0.3">
      <c r="A144" s="13"/>
      <c r="C144" s="281" t="str">
        <f>_xlfn.CONCAT(_xlfn.XLOOKUP("[S06_InstallationsVerificationReportsIssueDetail]["&amp;1+ROW(B144)-ROW($B$133)&amp;"][AnnexIActivity]",Submission!$O:$O,Submission!$H:$N,""))</f>
        <v>28 - Production or processing of non-ferrous metals as specified in Annex I of Directive 2003/87/EC</v>
      </c>
      <c r="D144" s="347"/>
      <c r="E144" s="281" t="str">
        <f>_xlfn.CONCAT(_xlfn.XLOOKUP("[S06_InstallationsVerificationReportsIssueDetail]["&amp;1+ROW(B144)-ROW($B$133)&amp;"][TypeOfIssue]",Submission!$O:$O,Submission!$H:$N,""))</f>
        <v>Non-conformities not leading to a negative verification opinion statement</v>
      </c>
      <c r="F144" s="347"/>
      <c r="G144" s="105" t="str">
        <f>_xlfn.CONCAT(_xlfn.XLOOKUP("[S06_InstallationsVerificationReportsIssueDetail]["&amp;1+ROW(B144)-ROW($B$133)&amp;"][NumberOfInstallations]",Submission!$O:$O,Submission!$H:$N,""))</f>
        <v>1</v>
      </c>
      <c r="H144" s="108" t="str">
        <f>_xlfn.CONCAT(_xlfn.XLOOKUP("[S06_InstallationsVerificationReportsIssueDetail]["&amp;1+ROW(B144)-ROW($B$133)&amp;"][NumberOfIssues]",Submission!$O:$O,Submission!$H:$N,""))</f>
        <v>2</v>
      </c>
      <c r="I144" s="183" t="str">
        <f>_xlfn.CONCAT(_xlfn.XLOOKUP("[S06_InstallationsVerificationReportsIssueDetail]["&amp;1+ROW(B144)-ROW($B$133)&amp;"][ShareOfReportsConservativeEstimate]",Submission!$O:$O,Submission!$H:$N,""))</f>
        <v>0</v>
      </c>
    </row>
    <row r="145" spans="1:9" ht="26.4" customHeight="1" x14ac:dyDescent="0.3">
      <c r="A145" s="13"/>
      <c r="C145" s="281" t="str">
        <f>_xlfn.CONCAT(_xlfn.XLOOKUP("[S06_InstallationsVerificationReportsIssueDetail]["&amp;1+ROW(B145)-ROW($B$133)&amp;"][AnnexIActivity]",Submission!$O:$O,Submission!$H:$N,""))</f>
        <v>21 - Refining of mineral oil</v>
      </c>
      <c r="D145" s="347"/>
      <c r="E145" s="281" t="str">
        <f>_xlfn.CONCAT(_xlfn.XLOOKUP("[S06_InstallationsVerificationReportsIssueDetail]["&amp;1+ROW(B145)-ROW($B$133)&amp;"][TypeOfIssue]",Submission!$O:$O,Submission!$H:$N,""))</f>
        <v>Non-conformities not leading to a negative verification opinion statement</v>
      </c>
      <c r="F145" s="347"/>
      <c r="G145" s="105" t="str">
        <f>_xlfn.CONCAT(_xlfn.XLOOKUP("[S06_InstallationsVerificationReportsIssueDetail]["&amp;1+ROW(B145)-ROW($B$133)&amp;"][NumberOfInstallations]",Submission!$O:$O,Submission!$H:$N,""))</f>
        <v>2</v>
      </c>
      <c r="H145" s="108" t="str">
        <f>_xlfn.CONCAT(_xlfn.XLOOKUP("[S06_InstallationsVerificationReportsIssueDetail]["&amp;1+ROW(B145)-ROW($B$133)&amp;"][NumberOfIssues]",Submission!$O:$O,Submission!$H:$N,""))</f>
        <v>5</v>
      </c>
      <c r="I145" s="183" t="str">
        <f>_xlfn.CONCAT(_xlfn.XLOOKUP("[S06_InstallationsVerificationReportsIssueDetail]["&amp;1+ROW(B145)-ROW($B$133)&amp;"][ShareOfReportsConservativeEstimate]",Submission!$O:$O,Submission!$H:$N,""))</f>
        <v>0</v>
      </c>
    </row>
    <row r="146" spans="1:9" ht="26.4" customHeight="1" x14ac:dyDescent="0.3">
      <c r="A146" s="13"/>
      <c r="C146" s="281" t="str">
        <f>_xlfn.CONCAT(_xlfn.XLOOKUP("[S06_InstallationsVerificationReportsIssueDetail]["&amp;1+ROW(B146)-ROW($B$133)&amp;"][AnnexIActivity]",Submission!$O:$O,Submission!$H:$N,""))</f>
        <v>20 - Combustion of fuels as specified in Annex I of Directive 2003/87/EC</v>
      </c>
      <c r="D146" s="347"/>
      <c r="E146" s="281" t="str">
        <f>_xlfn.CONCAT(_xlfn.XLOOKUP("[S06_InstallationsVerificationReportsIssueDetail]["&amp;1+ROW(B146)-ROW($B$133)&amp;"][TypeOfIssue]",Submission!$O:$O,Submission!$H:$N,""))</f>
        <v>Non-compliance with Implementing Regulation (EU) 2018/2066</v>
      </c>
      <c r="F146" s="347"/>
      <c r="G146" s="105" t="str">
        <f>_xlfn.CONCAT(_xlfn.XLOOKUP("[S06_InstallationsVerificationReportsIssueDetail]["&amp;1+ROW(B146)-ROW($B$133)&amp;"][NumberOfInstallations]",Submission!$O:$O,Submission!$H:$N,""))</f>
        <v>4</v>
      </c>
      <c r="H146" s="108" t="str">
        <f>_xlfn.CONCAT(_xlfn.XLOOKUP("[S06_InstallationsVerificationReportsIssueDetail]["&amp;1+ROW(B146)-ROW($B$133)&amp;"][NumberOfIssues]",Submission!$O:$O,Submission!$H:$N,""))</f>
        <v>4</v>
      </c>
      <c r="I146" s="183" t="str">
        <f>_xlfn.CONCAT(_xlfn.XLOOKUP("[S06_InstallationsVerificationReportsIssueDetail]["&amp;1+ROW(B146)-ROW($B$133)&amp;"][ShareOfReportsConservativeEstimate]",Submission!$O:$O,Submission!$H:$N,""))</f>
        <v>0</v>
      </c>
    </row>
    <row r="147" spans="1:9" ht="26.4" customHeight="1" x14ac:dyDescent="0.3">
      <c r="A147" s="13"/>
      <c r="C147" s="281" t="str">
        <f>_xlfn.CONCAT(_xlfn.XLOOKUP("[S06_InstallationsVerificationReportsIssueDetail]["&amp;1+ROW(B147)-ROW($B$133)&amp;"][AnnexIActivity]",Submission!$O:$O,Submission!$H:$N,""))</f>
        <v>23 - Metal ore (including sulphide ore) roasting or sintering, including pelletisation</v>
      </c>
      <c r="D147" s="347"/>
      <c r="E147" s="281" t="str">
        <f>_xlfn.CONCAT(_xlfn.XLOOKUP("[S06_InstallationsVerificationReportsIssueDetail]["&amp;1+ROW(B147)-ROW($B$133)&amp;"][TypeOfIssue]",Submission!$O:$O,Submission!$H:$N,""))</f>
        <v>Non-compliance with Implementing Regulation (EU) 2018/2067</v>
      </c>
      <c r="F147" s="347"/>
      <c r="G147" s="105" t="str">
        <f>_xlfn.CONCAT(_xlfn.XLOOKUP("[S06_InstallationsVerificationReportsIssueDetail]["&amp;1+ROW(B147)-ROW($B$133)&amp;"][NumberOfInstallations]",Submission!$O:$O,Submission!$H:$N,""))</f>
        <v>1</v>
      </c>
      <c r="H147" s="108" t="str">
        <f>_xlfn.CONCAT(_xlfn.XLOOKUP("[S06_InstallationsVerificationReportsIssueDetail]["&amp;1+ROW(B147)-ROW($B$133)&amp;"][NumberOfIssues]",Submission!$O:$O,Submission!$H:$N,""))</f>
        <v>1</v>
      </c>
      <c r="I147" s="183" t="str">
        <f>_xlfn.CONCAT(_xlfn.XLOOKUP("[S06_InstallationsVerificationReportsIssueDetail]["&amp;1+ROW(B147)-ROW($B$133)&amp;"][ShareOfReportsConservativeEstimate]",Submission!$O:$O,Submission!$H:$N,""))</f>
        <v>0</v>
      </c>
    </row>
    <row r="148" spans="1:9" ht="26.4" customHeight="1" x14ac:dyDescent="0.3">
      <c r="A148" s="13"/>
      <c r="C148" s="281" t="str">
        <f>_xlfn.CONCAT(_xlfn.XLOOKUP("[S06_InstallationsVerificationReportsIssueDetail]["&amp;1+ROW(B148)-ROW($B$133)&amp;"][AnnexIActivity]",Submission!$O:$O,Submission!$H:$N,""))</f>
        <v>30 - Production of lime or calcination of dolomite or magnesite as specified in Annex I of Directive 2003/87/ EC</v>
      </c>
      <c r="D148" s="347"/>
      <c r="E148" s="281" t="str">
        <f>_xlfn.CONCAT(_xlfn.XLOOKUP("[S06_InstallationsVerificationReportsIssueDetail]["&amp;1+ROW(B148)-ROW($B$133)&amp;"][TypeOfIssue]",Submission!$O:$O,Submission!$H:$N,""))</f>
        <v>Non-compliance with Implementing Regulation (EU) 2018/2068</v>
      </c>
      <c r="F148" s="347"/>
      <c r="G148" s="105" t="str">
        <f>_xlfn.CONCAT(_xlfn.XLOOKUP("[S06_InstallationsVerificationReportsIssueDetail]["&amp;1+ROW(B148)-ROW($B$133)&amp;"][NumberOfInstallations]",Submission!$O:$O,Submission!$H:$N,""))</f>
        <v>1</v>
      </c>
      <c r="H148" s="108" t="str">
        <f>_xlfn.CONCAT(_xlfn.XLOOKUP("[S06_InstallationsVerificationReportsIssueDetail]["&amp;1+ROW(B148)-ROW($B$133)&amp;"][NumberOfIssues]",Submission!$O:$O,Submission!$H:$N,""))</f>
        <v>1</v>
      </c>
      <c r="I148" s="183" t="str">
        <f>_xlfn.CONCAT(_xlfn.XLOOKUP("[S06_InstallationsVerificationReportsIssueDetail]["&amp;1+ROW(B148)-ROW($B$133)&amp;"][ShareOfReportsConservativeEstimate]",Submission!$O:$O,Submission!$H:$N,""))</f>
        <v>0</v>
      </c>
    </row>
    <row r="149" spans="1:9" ht="26.4" customHeight="1" x14ac:dyDescent="0.3">
      <c r="A149" s="13"/>
      <c r="C149" s="281" t="str">
        <f>_xlfn.CONCAT(_xlfn.XLOOKUP("[S06_InstallationsVerificationReportsIssueDetail]["&amp;1+ROW(B149)-ROW($B$133)&amp;"][AnnexIActivity]",Submission!$O:$O,Submission!$H:$N,""))</f>
        <v>21 - Refining of mineral oil</v>
      </c>
      <c r="D149" s="347"/>
      <c r="E149" s="281" t="str">
        <f>_xlfn.CONCAT(_xlfn.XLOOKUP("[S06_InstallationsVerificationReportsIssueDetail]["&amp;1+ROW(B149)-ROW($B$133)&amp;"][TypeOfIssue]",Submission!$O:$O,Submission!$H:$N,""))</f>
        <v>Non-compliance with Implementing Regulation (EU) 2018/2069</v>
      </c>
      <c r="F149" s="347"/>
      <c r="G149" s="105" t="str">
        <f>_xlfn.CONCAT(_xlfn.XLOOKUP("[S06_InstallationsVerificationReportsIssueDetail]["&amp;1+ROW(B149)-ROW($B$133)&amp;"][NumberOfInstallations]",Submission!$O:$O,Submission!$H:$N,""))</f>
        <v>2</v>
      </c>
      <c r="H149" s="108" t="str">
        <f>_xlfn.CONCAT(_xlfn.XLOOKUP("[S06_InstallationsVerificationReportsIssueDetail]["&amp;1+ROW(B149)-ROW($B$133)&amp;"][NumberOfIssues]",Submission!$O:$O,Submission!$H:$N,""))</f>
        <v>2</v>
      </c>
      <c r="I149" s="183" t="str">
        <f>_xlfn.CONCAT(_xlfn.XLOOKUP("[S06_InstallationsVerificationReportsIssueDetail]["&amp;1+ROW(B149)-ROW($B$133)&amp;"][ShareOfReportsConservativeEstimate]",Submission!$O:$O,Submission!$H:$N,""))</f>
        <v>0</v>
      </c>
    </row>
    <row r="150" spans="1:9" ht="26.4" customHeight="1" x14ac:dyDescent="0.3">
      <c r="A150" s="13"/>
      <c r="C150" s="281" t="str">
        <f>_xlfn.CONCAT(_xlfn.XLOOKUP("[S06_InstallationsVerificationReportsIssueDetail]["&amp;1+ROW(B150)-ROW($B$133)&amp;"][AnnexIActivity]",Submission!$O:$O,Submission!$H:$N,""))</f>
        <v>20 - Combustion of fuels as specified in Annex I of Directive 2003/87/EC</v>
      </c>
      <c r="D150" s="347"/>
      <c r="E150" s="281" t="str">
        <f>_xlfn.CONCAT(_xlfn.XLOOKUP("[S06_InstallationsVerificationReportsIssueDetail]["&amp;1+ROW(B150)-ROW($B$133)&amp;"][TypeOfIssue]",Submission!$O:$O,Submission!$H:$N,""))</f>
        <v>Recommendations for improvement</v>
      </c>
      <c r="F150" s="347"/>
      <c r="G150" s="105" t="str">
        <f>_xlfn.CONCAT(_xlfn.XLOOKUP("[S06_InstallationsVerificationReportsIssueDetail]["&amp;1+ROW(B150)-ROW($B$133)&amp;"][NumberOfInstallations]",Submission!$O:$O,Submission!$H:$N,""))</f>
        <v>14</v>
      </c>
      <c r="H150" s="108" t="str">
        <f>_xlfn.CONCAT(_xlfn.XLOOKUP("[S06_InstallationsVerificationReportsIssueDetail]["&amp;1+ROW(B150)-ROW($B$133)&amp;"][NumberOfIssues]",Submission!$O:$O,Submission!$H:$N,""))</f>
        <v>11</v>
      </c>
      <c r="I150" s="183" t="str">
        <f>_xlfn.CONCAT(_xlfn.XLOOKUP("[S06_InstallationsVerificationReportsIssueDetail]["&amp;1+ROW(B150)-ROW($B$133)&amp;"][ShareOfReportsConservativeEstimate]",Submission!$O:$O,Submission!$H:$N,""))</f>
        <v>0</v>
      </c>
    </row>
    <row r="151" spans="1:9" ht="26.4" customHeight="1" x14ac:dyDescent="0.3">
      <c r="A151" s="13"/>
      <c r="C151" s="281" t="str">
        <f>_xlfn.CONCAT(_xlfn.XLOOKUP("[S06_InstallationsVerificationReportsIssueDetail]["&amp;1+ROW(B151)-ROW($B$133)&amp;"][AnnexIActivity]",Submission!$O:$O,Submission!$H:$N,""))</f>
        <v>32 - Manufacture of ceramic products as specified in Annex I of Directive 2003/87/EC</v>
      </c>
      <c r="D151" s="347"/>
      <c r="E151" s="281" t="str">
        <f>_xlfn.CONCAT(_xlfn.XLOOKUP("[S06_InstallationsVerificationReportsIssueDetail]["&amp;1+ROW(B151)-ROW($B$133)&amp;"][TypeOfIssue]",Submission!$O:$O,Submission!$H:$N,""))</f>
        <v>Recommendations for improvement</v>
      </c>
      <c r="F151" s="347"/>
      <c r="G151" s="105" t="str">
        <f>_xlfn.CONCAT(_xlfn.XLOOKUP("[S06_InstallationsVerificationReportsIssueDetail]["&amp;1+ROW(B151)-ROW($B$133)&amp;"][NumberOfInstallations]",Submission!$O:$O,Submission!$H:$N,""))</f>
        <v>1</v>
      </c>
      <c r="H151" s="108" t="str">
        <f>_xlfn.CONCAT(_xlfn.XLOOKUP("[S06_InstallationsVerificationReportsIssueDetail]["&amp;1+ROW(B151)-ROW($B$133)&amp;"][NumberOfIssues]",Submission!$O:$O,Submission!$H:$N,""))</f>
        <v>2</v>
      </c>
      <c r="I151" s="183" t="str">
        <f>_xlfn.CONCAT(_xlfn.XLOOKUP("[S06_InstallationsVerificationReportsIssueDetail]["&amp;1+ROW(B151)-ROW($B$133)&amp;"][ShareOfReportsConservativeEstimate]",Submission!$O:$O,Submission!$H:$N,""))</f>
        <v>0</v>
      </c>
    </row>
    <row r="152" spans="1:9" ht="26.4" customHeight="1" x14ac:dyDescent="0.3">
      <c r="A152" s="13"/>
      <c r="C152" s="281" t="str">
        <f>_xlfn.CONCAT(_xlfn.XLOOKUP("[S06_InstallationsVerificationReportsIssueDetail]["&amp;1+ROW(B152)-ROW($B$133)&amp;"][AnnexIActivity]",Submission!$O:$O,Submission!$H:$N,""))</f>
        <v>31 - Manufacture of glass as specified in Annex I of Directive 2003/87/EC</v>
      </c>
      <c r="D152" s="347"/>
      <c r="E152" s="281" t="str">
        <f>_xlfn.CONCAT(_xlfn.XLOOKUP("[S06_InstallationsVerificationReportsIssueDetail]["&amp;1+ROW(B152)-ROW($B$133)&amp;"][TypeOfIssue]",Submission!$O:$O,Submission!$H:$N,""))</f>
        <v>Recommendations for improvement</v>
      </c>
      <c r="F152" s="347"/>
      <c r="G152" s="105" t="str">
        <f>_xlfn.CONCAT(_xlfn.XLOOKUP("[S06_InstallationsVerificationReportsIssueDetail]["&amp;1+ROW(B152)-ROW($B$133)&amp;"][NumberOfInstallations]",Submission!$O:$O,Submission!$H:$N,""))</f>
        <v>1</v>
      </c>
      <c r="H152" s="108" t="str">
        <f>_xlfn.CONCAT(_xlfn.XLOOKUP("[S06_InstallationsVerificationReportsIssueDetail]["&amp;1+ROW(B152)-ROW($B$133)&amp;"][NumberOfIssues]",Submission!$O:$O,Submission!$H:$N,""))</f>
        <v>2</v>
      </c>
      <c r="I152" s="183" t="str">
        <f>_xlfn.CONCAT(_xlfn.XLOOKUP("[S06_InstallationsVerificationReportsIssueDetail]["&amp;1+ROW(B152)-ROW($B$133)&amp;"][ShareOfReportsConservativeEstimate]",Submission!$O:$O,Submission!$H:$N,""))</f>
        <v>0</v>
      </c>
    </row>
    <row r="153" spans="1:9" ht="26.4" hidden="1" customHeight="1" outlineLevel="1" x14ac:dyDescent="0.3">
      <c r="A153" s="13"/>
      <c r="C153" s="281" t="str">
        <f>_xlfn.CONCAT(_xlfn.XLOOKUP("[S06_InstallationsVerificationReportsIssueDetail]["&amp;1+ROW(B153)-ROW($B$133)&amp;"][AnnexIActivity]",Submission!$O:$O,Submission!$H:$N,""))</f>
        <v>29 - Production of cement clinker in rotary kilns as specified in Annex I of Directive 2003/87/ EC</v>
      </c>
      <c r="D153" s="347"/>
      <c r="E153" s="281" t="str">
        <f>_xlfn.CONCAT(_xlfn.XLOOKUP("[S06_InstallationsVerificationReportsIssueDetail]["&amp;1+ROW(B153)-ROW($B$133)&amp;"][TypeOfIssue]",Submission!$O:$O,Submission!$H:$N,""))</f>
        <v>Recommendations for improvement</v>
      </c>
      <c r="F153" s="347"/>
      <c r="G153" s="105" t="str">
        <f>_xlfn.CONCAT(_xlfn.XLOOKUP("[S06_InstallationsVerificationReportsIssueDetail]["&amp;1+ROW(B153)-ROW($B$133)&amp;"][NumberOfInstallations]",Submission!$O:$O,Submission!$H:$N,""))</f>
        <v>1</v>
      </c>
      <c r="H153" s="108" t="str">
        <f>_xlfn.CONCAT(_xlfn.XLOOKUP("[S06_InstallationsVerificationReportsIssueDetail]["&amp;1+ROW(B153)-ROW($B$133)&amp;"][NumberOfIssues]",Submission!$O:$O,Submission!$H:$N,""))</f>
        <v>2</v>
      </c>
      <c r="I153" s="183" t="str">
        <f>_xlfn.CONCAT(_xlfn.XLOOKUP("[S06_InstallationsVerificationReportsIssueDetail]["&amp;1+ROW(B153)-ROW($B$133)&amp;"][ShareOfReportsConservativeEstimate]",Submission!$O:$O,Submission!$H:$N,""))</f>
        <v>0</v>
      </c>
    </row>
    <row r="154" spans="1:9" ht="26.4" hidden="1" customHeight="1" outlineLevel="1" x14ac:dyDescent="0.3">
      <c r="A154" s="13"/>
      <c r="C154" s="281" t="str">
        <f>_xlfn.CONCAT(_xlfn.XLOOKUP("[S06_InstallationsVerificationReportsIssueDetail]["&amp;1+ROW(B154)-ROW($B$133)&amp;"][AnnexIActivity]",Submission!$O:$O,Submission!$H:$N,""))</f>
        <v xml:space="preserve">38 - Production of nitric acid </v>
      </c>
      <c r="D154" s="347"/>
      <c r="E154" s="281" t="str">
        <f>_xlfn.CONCAT(_xlfn.XLOOKUP("[S06_InstallationsVerificationReportsIssueDetail]["&amp;1+ROW(B154)-ROW($B$133)&amp;"][TypeOfIssue]",Submission!$O:$O,Submission!$H:$N,""))</f>
        <v>Recommendations for improvement</v>
      </c>
      <c r="F154" s="347"/>
      <c r="G154" s="105" t="str">
        <f>_xlfn.CONCAT(_xlfn.XLOOKUP("[S06_InstallationsVerificationReportsIssueDetail]["&amp;1+ROW(B154)-ROW($B$133)&amp;"][NumberOfInstallations]",Submission!$O:$O,Submission!$H:$N,""))</f>
        <v>1</v>
      </c>
      <c r="H154" s="108" t="str">
        <f>_xlfn.CONCAT(_xlfn.XLOOKUP("[S06_InstallationsVerificationReportsIssueDetail]["&amp;1+ROW(B154)-ROW($B$133)&amp;"][NumberOfIssues]",Submission!$O:$O,Submission!$H:$N,""))</f>
        <v>1</v>
      </c>
      <c r="I154" s="183" t="str">
        <f>_xlfn.CONCAT(_xlfn.XLOOKUP("[S06_InstallationsVerificationReportsIssueDetail]["&amp;1+ROW(B154)-ROW($B$133)&amp;"][ShareOfReportsConservativeEstimate]",Submission!$O:$O,Submission!$H:$N,""))</f>
        <v>0</v>
      </c>
    </row>
    <row r="155" spans="1:9" ht="26.4" hidden="1" customHeight="1" outlineLevel="1" x14ac:dyDescent="0.3">
      <c r="A155" s="13"/>
      <c r="C155" s="281" t="str">
        <f>_xlfn.CONCAT(_xlfn.XLOOKUP("[S06_InstallationsVerificationReportsIssueDetail]["&amp;1+ROW(B155)-ROW($B$133)&amp;"][AnnexIActivity]",Submission!$O:$O,Submission!$H:$N,""))</f>
        <v>24 - Production of pig iron or steel as specified in Annex I of Directive 2003/87/EC</v>
      </c>
      <c r="D155" s="347"/>
      <c r="E155" s="281" t="str">
        <f>_xlfn.CONCAT(_xlfn.XLOOKUP("[S06_InstallationsVerificationReportsIssueDetail]["&amp;1+ROW(B155)-ROW($B$133)&amp;"][TypeOfIssue]",Submission!$O:$O,Submission!$H:$N,""))</f>
        <v>Recommendations for improvement</v>
      </c>
      <c r="F155" s="347"/>
      <c r="G155" s="105" t="str">
        <f>_xlfn.CONCAT(_xlfn.XLOOKUP("[S06_InstallationsVerificationReportsIssueDetail]["&amp;1+ROW(B155)-ROW($B$133)&amp;"][NumberOfInstallations]",Submission!$O:$O,Submission!$H:$N,""))</f>
        <v>1</v>
      </c>
      <c r="H155" s="108" t="str">
        <f>_xlfn.CONCAT(_xlfn.XLOOKUP("[S06_InstallationsVerificationReportsIssueDetail]["&amp;1+ROW(B155)-ROW($B$133)&amp;"][NumberOfIssues]",Submission!$O:$O,Submission!$H:$N,""))</f>
        <v>1</v>
      </c>
      <c r="I155" s="183" t="str">
        <f>_xlfn.CONCAT(_xlfn.XLOOKUP("[S06_InstallationsVerificationReportsIssueDetail]["&amp;1+ROW(B155)-ROW($B$133)&amp;"][ShareOfReportsConservativeEstimate]",Submission!$O:$O,Submission!$H:$N,""))</f>
        <v>0</v>
      </c>
    </row>
    <row r="156" spans="1:9" ht="26.4" hidden="1" customHeight="1" outlineLevel="1" x14ac:dyDescent="0.3">
      <c r="A156" s="13"/>
      <c r="C156" s="281" t="str">
        <f>_xlfn.CONCAT(_xlfn.XLOOKUP("[S06_InstallationsVerificationReportsIssueDetail]["&amp;1+ROW(B156)-ROW($B$133)&amp;"][AnnexIActivity]",Submission!$O:$O,Submission!$H:$N,""))</f>
        <v>26 - Production of primary aluminium</v>
      </c>
      <c r="D156" s="347"/>
      <c r="E156" s="281" t="str">
        <f>_xlfn.CONCAT(_xlfn.XLOOKUP("[S06_InstallationsVerificationReportsIssueDetail]["&amp;1+ROW(B156)-ROW($B$133)&amp;"][TypeOfIssue]",Submission!$O:$O,Submission!$H:$N,""))</f>
        <v>Recommendations for improvement</v>
      </c>
      <c r="F156" s="347"/>
      <c r="G156" s="105" t="str">
        <f>_xlfn.CONCAT(_xlfn.XLOOKUP("[S06_InstallationsVerificationReportsIssueDetail]["&amp;1+ROW(B156)-ROW($B$133)&amp;"][NumberOfInstallations]",Submission!$O:$O,Submission!$H:$N,""))</f>
        <v>2</v>
      </c>
      <c r="H156" s="108" t="str">
        <f>_xlfn.CONCAT(_xlfn.XLOOKUP("[S06_InstallationsVerificationReportsIssueDetail]["&amp;1+ROW(B156)-ROW($B$133)&amp;"][NumberOfIssues]",Submission!$O:$O,Submission!$H:$N,""))</f>
        <v>3</v>
      </c>
      <c r="I156" s="183" t="str">
        <f>_xlfn.CONCAT(_xlfn.XLOOKUP("[S06_InstallationsVerificationReportsIssueDetail]["&amp;1+ROW(B156)-ROW($B$133)&amp;"][ShareOfReportsConservativeEstimate]",Submission!$O:$O,Submission!$H:$N,""))</f>
        <v>0</v>
      </c>
    </row>
    <row r="157" spans="1:9" ht="26.4" hidden="1" customHeight="1" outlineLevel="1" x14ac:dyDescent="0.3">
      <c r="A157" s="13"/>
      <c r="C157" s="281" t="str">
        <f>_xlfn.CONCAT(_xlfn.XLOOKUP("[S06_InstallationsVerificationReportsIssueDetail]["&amp;1+ROW(B157)-ROW($B$133)&amp;"][AnnexIActivity]",Submission!$O:$O,Submission!$H:$N,""))</f>
        <v>25 - Production or processing of ferrous metals as specified in Annex I of Directive 2003/87/EC</v>
      </c>
      <c r="D157" s="347"/>
      <c r="E157" s="281" t="str">
        <f>_xlfn.CONCAT(_xlfn.XLOOKUP("[S06_InstallationsVerificationReportsIssueDetail]["&amp;1+ROW(B157)-ROW($B$133)&amp;"][TypeOfIssue]",Submission!$O:$O,Submission!$H:$N,""))</f>
        <v>Recommendations for improvement</v>
      </c>
      <c r="F157" s="347"/>
      <c r="G157" s="105" t="str">
        <f>_xlfn.CONCAT(_xlfn.XLOOKUP("[S06_InstallationsVerificationReportsIssueDetail]["&amp;1+ROW(B157)-ROW($B$133)&amp;"][NumberOfInstallations]",Submission!$O:$O,Submission!$H:$N,""))</f>
        <v>1</v>
      </c>
      <c r="H157" s="108" t="str">
        <f>_xlfn.CONCAT(_xlfn.XLOOKUP("[S06_InstallationsVerificationReportsIssueDetail]["&amp;1+ROW(B157)-ROW($B$133)&amp;"][NumberOfIssues]",Submission!$O:$O,Submission!$H:$N,""))</f>
        <v>1</v>
      </c>
      <c r="I157" s="183" t="str">
        <f>_xlfn.CONCAT(_xlfn.XLOOKUP("[S06_InstallationsVerificationReportsIssueDetail]["&amp;1+ROW(B157)-ROW($B$133)&amp;"][ShareOfReportsConservativeEstimate]",Submission!$O:$O,Submission!$H:$N,""))</f>
        <v>0</v>
      </c>
    </row>
    <row r="158" spans="1:9" ht="26.4" hidden="1" customHeight="1" outlineLevel="1" x14ac:dyDescent="0.3">
      <c r="A158" s="13"/>
      <c r="C158" s="281" t="str">
        <f>_xlfn.CONCAT(_xlfn.XLOOKUP("[S06_InstallationsVerificationReportsIssueDetail]["&amp;1+ROW(B158)-ROW($B$133)&amp;"][AnnexIActivity]",Submission!$O:$O,Submission!$H:$N,""))</f>
        <v>28 - Production or processing of non-ferrous metals as specified in Annex I of Directive 2003/87/EC</v>
      </c>
      <c r="D158" s="347"/>
      <c r="E158" s="281" t="str">
        <f>_xlfn.CONCAT(_xlfn.XLOOKUP("[S06_InstallationsVerificationReportsIssueDetail]["&amp;1+ROW(B158)-ROW($B$133)&amp;"][TypeOfIssue]",Submission!$O:$O,Submission!$H:$N,""))</f>
        <v>Recommendations for improvement</v>
      </c>
      <c r="F158" s="347"/>
      <c r="G158" s="105" t="str">
        <f>_xlfn.CONCAT(_xlfn.XLOOKUP("[S06_InstallationsVerificationReportsIssueDetail]["&amp;1+ROW(B158)-ROW($B$133)&amp;"][NumberOfInstallations]",Submission!$O:$O,Submission!$H:$N,""))</f>
        <v>1</v>
      </c>
      <c r="H158" s="108" t="str">
        <f>_xlfn.CONCAT(_xlfn.XLOOKUP("[S06_InstallationsVerificationReportsIssueDetail]["&amp;1+ROW(B158)-ROW($B$133)&amp;"][NumberOfIssues]",Submission!$O:$O,Submission!$H:$N,""))</f>
        <v>1</v>
      </c>
      <c r="I158" s="183" t="str">
        <f>_xlfn.CONCAT(_xlfn.XLOOKUP("[S06_InstallationsVerificationReportsIssueDetail]["&amp;1+ROW(B158)-ROW($B$133)&amp;"][ShareOfReportsConservativeEstimate]",Submission!$O:$O,Submission!$H:$N,""))</f>
        <v>0</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1</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0</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1</v>
      </c>
      <c r="H232" s="251" t="str">
        <f>_xlfn.CONCAT(_xlfn.XLOOKUP("[S06_InstallationsVerificationReportChecksDetail1][4][FurtherInformation]",Submission!$O:$O,Submission!$H:$N,""))</f>
        <v>We have cross-checked with annual emission reports for previous reporting years.</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1</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We have conducted a check of all emission reports by going through details connected to activity data and emission factors for all source streams and emission sources for each installation.</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3</v>
      </c>
      <c r="H235" s="251" t="str">
        <f>_xlfn.CONCAT(_xlfn.XLOOKUP("[S06_InstallationsVerificationReportChecksDetail2][2][FurtherInformation]",Submission!$O:$O,Submission!$H:$N,""))</f>
        <v>None of the AERs have been rejected, but we have returned the AERs on three occasions for corrections by the operator/verifier due to minor inconsistencies in the reports. All three have been corrected by the operators, verified once more and have now been accepted by the CA.</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NA</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Dialogue/information exchange with operators and verifiers to explain confusing elements of the AERs/VRs. This dialogue has sometimes led to the submission of a new/updated report by the operator with corrected numbers.</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Yes</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Condition V</v>
      </c>
      <c r="D243" s="414"/>
      <c r="E243" s="281" t="str">
        <f>_xlfn.CONCAT(_xlfn.XLOOKUP("[S06_InstallationsVisitsWaivedHighEmittersDetail][1][AnnexIActivity]",Submission!$O:$O,Submission!$H:$N,""))</f>
        <v>20 - Combustion of fuels as specified in Annex I of Directive 2003/87/EC</v>
      </c>
      <c r="F243" s="348"/>
      <c r="G243" s="285"/>
      <c r="H243" s="322" t="str">
        <f>_xlfn.CONCAT(_xlfn.XLOOKUP("[S06_InstallationsVisitsWaivedHighEmittersDetail][1][NumberOfInstallations]",Submission!$O:$O,Submission!$H:$N,""))</f>
        <v>3</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Yes</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8</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Yes</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Covid-19 pandemic</v>
      </c>
      <c r="D276" s="425" t="str">
        <f>_xlfn.CONCAT(_xlfn.XLOOKUP("[S06_VirtualVisitsInstallationsDetails][1][NumberOfInstallationsVV]",Submission!$O:$O,Submission!$H:$N,""))</f>
        <v>77</v>
      </c>
      <c r="E276" s="426"/>
      <c r="F276" s="284" t="str">
        <f>_xlfn.CONCAT(_xlfn.XLOOKUP("[S06_VirtualVisitsInstallationsDetails][1][AuthorityApproval]",Submission!$O:$O,Submission!$H:$N,""))</f>
        <v>Generic authorisation under Article 34a(4) of Commission Regulation 2018/2067</v>
      </c>
      <c r="G276" s="285"/>
      <c r="H276" s="284" t="str">
        <f>_xlfn.CONCAT(_xlfn.XLOOKUP("[S06_VirtualVisitsInstallationsDetails][1][ConfirmationConditionsMet]",Submission!$O:$O,Submission!$H:$N,""))</f>
        <v>Yes</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0</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Yes</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Non-material misstatements</v>
      </c>
      <c r="D332" s="413"/>
      <c r="E332" s="414"/>
      <c r="F332" s="132" t="str">
        <f>_xlfn.CONCAT(_xlfn.XLOOKUP("[S06_AircraftOperatorsVerificationReportIssuesEmissions][1][NumberOfAircraftOperators]",Submission!$O:$O,Submission!$H:$N,""))</f>
        <v>1</v>
      </c>
      <c r="G332" s="132" t="str">
        <f>_xlfn.CONCAT(_xlfn.XLOOKUP("[S06_AircraftOperatorsVerificationReportIssuesEmissions][1][NumberOfIssues]",Submission!$O:$O,Submission!$H:$N,""))</f>
        <v>1</v>
      </c>
      <c r="H332" s="429" t="str">
        <f>_xlfn.CONCAT(_xlfn.XLOOKUP("[S06_AircraftOperatorsVerificationReportIssuesEmissions][1][ShareOfReportsConservativeEstimate]",Submission!$O:$O,Submission!$H:$N,""))</f>
        <v>0</v>
      </c>
      <c r="I332" s="430"/>
    </row>
    <row r="333" spans="1:9" ht="15.9" customHeight="1" x14ac:dyDescent="0.3">
      <c r="A333" s="12"/>
      <c r="B333" s="23"/>
      <c r="C333" s="412" t="str">
        <f>_xlfn.CONCAT(_xlfn.XLOOKUP("[S06_AircraftOperatorsVerificationReportIssuesEmissions][2][TypeOfIssue]",Submission!$O:$O,Submission!$H:$N,""))</f>
        <v>Non-conformities not leading to a negative verification opinion statement</v>
      </c>
      <c r="D333" s="413"/>
      <c r="E333" s="414"/>
      <c r="F333" s="132" t="str">
        <f>_xlfn.CONCAT(_xlfn.XLOOKUP("[S06_AircraftOperatorsVerificationReportIssuesEmissions][2][NumberOfAircraftOperators]",Submission!$O:$O,Submission!$H:$N,""))</f>
        <v>2</v>
      </c>
      <c r="G333" s="132" t="str">
        <f>_xlfn.CONCAT(_xlfn.XLOOKUP("[S06_AircraftOperatorsVerificationReportIssuesEmissions][2][NumberOfIssues]",Submission!$O:$O,Submission!$H:$N,""))</f>
        <v>3</v>
      </c>
      <c r="H333" s="429" t="str">
        <f>_xlfn.CONCAT(_xlfn.XLOOKUP("[S06_AircraftOperatorsVerificationReportIssuesEmissions][2][ShareOfReportsConservativeEstimate]",Submission!$O:$O,Submission!$H:$N,""))</f>
        <v>0</v>
      </c>
      <c r="I333" s="430"/>
    </row>
    <row r="334" spans="1:9" ht="15.9" hidden="1" customHeight="1" outlineLevel="1" x14ac:dyDescent="0.3">
      <c r="A334" s="12"/>
      <c r="B334" s="23"/>
      <c r="C334" s="412" t="str">
        <f>_xlfn.CONCAT(_xlfn.XLOOKUP("[S06_AircraftOperatorsVerificationReportIssuesEmissions][3][TypeOfIssue]",Submission!$O:$O,Submission!$H:$N,""))</f>
        <v>Non-compliance with Implementing Regulation (EU) 2018/2066</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Recommendations for improvement</v>
      </c>
      <c r="D335" s="413"/>
      <c r="E335" s="414"/>
      <c r="F335" s="132" t="str">
        <f>_xlfn.CONCAT(_xlfn.XLOOKUP("[S06_AircraftOperatorsVerificationReportIssuesEmissions][4][NumberOfAircraftOperators]",Submission!$O:$O,Submission!$H:$N,""))</f>
        <v>4</v>
      </c>
      <c r="G335" s="132" t="str">
        <f>_xlfn.CONCAT(_xlfn.XLOOKUP("[S06_AircraftOperatorsVerificationReportIssuesEmissions][4][NumberOfIssues]",Submission!$O:$O,Submission!$H:$N,""))</f>
        <v>7</v>
      </c>
      <c r="H335" s="429" t="str">
        <f>_xlfn.CONCAT(_xlfn.XLOOKUP("[S06_AircraftOperatorsVerificationReportIssuesEmissions][4][ShareOfReportsConservativeEstimate]",Submission!$O:$O,Submission!$H:$N,""))</f>
        <v>0</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Yes</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1</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1</v>
      </c>
      <c r="H354" s="251" t="str">
        <f>_xlfn.CONCAT(_xlfn.XLOOKUP("[S06_AircraftOperatorsVerificationEmissionReportChecks1][3][FurtherInformation]",Submission!$O:$O,Submission!$H:$N,""))</f>
        <v>Eurocontrol data</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0.5</v>
      </c>
      <c r="H355" s="129" t="str">
        <f>_xlfn.CONCAT(_xlfn.XLOOKUP("[S06_AircraftOperatorsVerificationEmissionReportChecks1][4][SelectingCriteria]",Submission!$O:$O,Submission!$H:$N,""))</f>
        <v>Risk based assessment</v>
      </c>
      <c r="I355" s="130" t="str">
        <f>_xlfn.CONCAT(_xlfn.XLOOKUP("[S06_AircraftOperatorsVerificationEmissionReportChecks1][4][FurtherInformation]",Submission!$O:$O,Submission!$H:$N,""))</f>
        <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No</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Yes</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Covid-19 pandemic</v>
      </c>
      <c r="D383" s="341" t="str">
        <f>_xlfn.CONCAT(_xlfn.XLOOKUP("[S06_VirtualVisitsAircraftDetails][1][NumberOfAirOperatorsVV]",Submission!$O:$O,Submission!$H:$N,""))</f>
        <v>1</v>
      </c>
      <c r="E383" s="356"/>
      <c r="F383" s="284" t="str">
        <f>_xlfn.CONCAT(_xlfn.XLOOKUP("[S06_VirtualVisitsAircraftDetails][1][AuthorityApproval]",Submission!$O:$O,Submission!$H:$N,""))</f>
        <v>Generic authorisation under Article 34a(4) of Commission Regulation 2018/2067</v>
      </c>
      <c r="G383" s="285"/>
      <c r="H383" s="284" t="str">
        <f>_xlfn.CONCAT(_xlfn.XLOOKUP("[S06_VirtualVisitsAircraftDetails][1][ConfirmationConditionsMet]",Submission!$O:$O,Submission!$H:$N,""))</f>
        <v>Yes</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2023-05-30T00:29:07Z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