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29" documentId="8_{E13085B7-851C-4092-B607-9EA103783F90}" xr6:coauthVersionLast="47" xr6:coauthVersionMax="47" xr10:uidLastSave="{B78F450B-105A-4855-872B-2ACDBB7DB604}"/>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56" i="43" l="1"/>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E11" i="29" s="1"/>
  <c r="O4" i="43"/>
  <c r="O3" i="43"/>
  <c r="O2" i="43"/>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F55" i="17"/>
  <c r="D54" i="17"/>
  <c r="AK37" i="8" s="1"/>
  <c r="H52" i="17"/>
  <c r="F51" i="17"/>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E55" i="17"/>
  <c r="I53" i="17"/>
  <c r="G52" i="17"/>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54" i="17"/>
  <c r="G53" i="17"/>
  <c r="E52" i="17"/>
  <c r="I50" i="17"/>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AK39" i="8" s="1"/>
  <c r="H54" i="17"/>
  <c r="F53" i="17"/>
  <c r="D52" i="17"/>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D53" i="17"/>
  <c r="AK36" i="8" s="1"/>
  <c r="H50" i="17"/>
  <c r="F49" i="17"/>
  <c r="D48" i="17"/>
  <c r="H46" i="17"/>
  <c r="F45" i="17"/>
  <c r="D44" i="17"/>
  <c r="H42" i="17"/>
  <c r="F41" i="17"/>
  <c r="D40" i="17"/>
  <c r="H38" i="17"/>
  <c r="F37" i="17"/>
  <c r="D36" i="17"/>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52" i="17"/>
  <c r="G50" i="17"/>
  <c r="E49" i="17"/>
  <c r="I47" i="17"/>
  <c r="G46" i="17"/>
  <c r="E45" i="17"/>
  <c r="I43" i="17"/>
  <c r="G42" i="17"/>
  <c r="E41" i="17"/>
  <c r="I39" i="17"/>
  <c r="G38" i="17"/>
  <c r="E37" i="17"/>
  <c r="I35" i="17"/>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F50" i="17"/>
  <c r="D49" i="17"/>
  <c r="H47" i="17"/>
  <c r="F46" i="17"/>
  <c r="D45" i="17"/>
  <c r="H43" i="17"/>
  <c r="F42" i="17"/>
  <c r="D41" i="17"/>
  <c r="H39" i="17"/>
  <c r="F38" i="17"/>
  <c r="D37" i="17"/>
  <c r="H35" i="17"/>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51" i="17"/>
  <c r="E50" i="17"/>
  <c r="I48" i="17"/>
  <c r="G47" i="17"/>
  <c r="E46" i="17"/>
  <c r="I44" i="17"/>
  <c r="G43" i="17"/>
  <c r="E42" i="17"/>
  <c r="I40" i="17"/>
  <c r="G39" i="17"/>
  <c r="E38" i="17"/>
  <c r="I36" i="17"/>
  <c r="G35" i="17"/>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H51" i="17"/>
  <c r="D50" i="17"/>
  <c r="H48" i="17"/>
  <c r="F47" i="17"/>
  <c r="D46" i="17"/>
  <c r="H44" i="17"/>
  <c r="F43" i="17"/>
  <c r="D42" i="17"/>
  <c r="H40" i="17"/>
  <c r="F39" i="17"/>
  <c r="D38" i="17"/>
  <c r="H36" i="17"/>
  <c r="F35" i="17"/>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H53" i="17"/>
  <c r="E51" i="17"/>
  <c r="H49" i="17"/>
  <c r="F48" i="17"/>
  <c r="D47" i="17"/>
  <c r="AK30" i="8" s="1"/>
  <c r="H45" i="17"/>
  <c r="F44" i="17"/>
  <c r="D43" i="17"/>
  <c r="AK26" i="8" s="1"/>
  <c r="H41" i="17"/>
  <c r="F40" i="17"/>
  <c r="D39" i="17"/>
  <c r="AK22" i="8" s="1"/>
  <c r="H37" i="17"/>
  <c r="F36" i="17"/>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G48" i="17"/>
  <c r="E43" i="17"/>
  <c r="I37" i="17"/>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E48" i="17"/>
  <c r="I42" i="17"/>
  <c r="G37" i="17"/>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E47" i="17"/>
  <c r="I41" i="17"/>
  <c r="G36" i="17"/>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46" i="17"/>
  <c r="G41" i="17"/>
  <c r="E36" i="17"/>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45" i="17"/>
  <c r="G40" i="17"/>
  <c r="E35" i="17"/>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G44" i="17"/>
  <c r="E39" i="17"/>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E44" i="17"/>
  <c r="I38" i="17"/>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E1315" i="10"/>
  <c r="D1314" i="10"/>
  <c r="C1313" i="10"/>
  <c r="I1311" i="10"/>
  <c r="H1310" i="10"/>
  <c r="G1309" i="10"/>
  <c r="F1308" i="10"/>
  <c r="E1307" i="10"/>
  <c r="D1306" i="10"/>
  <c r="C1305" i="10"/>
  <c r="I1303" i="10"/>
  <c r="H1302" i="10"/>
  <c r="G1301" i="10"/>
  <c r="F1300" i="10"/>
  <c r="E1299" i="10"/>
  <c r="D1298" i="10"/>
  <c r="C1297" i="10"/>
  <c r="I1295" i="10"/>
  <c r="H1294" i="10"/>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C1314" i="10"/>
  <c r="I1312" i="10"/>
  <c r="H1311" i="10"/>
  <c r="G1310" i="10"/>
  <c r="F1309" i="10"/>
  <c r="E1308" i="10"/>
  <c r="D1307" i="10"/>
  <c r="C1306" i="10"/>
  <c r="I1304" i="10"/>
  <c r="H1303" i="10"/>
  <c r="G1302" i="10"/>
  <c r="F1301" i="10"/>
  <c r="E1300" i="10"/>
  <c r="D1299" i="10"/>
  <c r="C1298" i="10"/>
  <c r="I1296" i="10"/>
  <c r="H1295" i="10"/>
  <c r="G1294" i="10"/>
  <c r="F1293" i="10"/>
  <c r="E1292" i="10"/>
  <c r="D1291" i="10"/>
  <c r="C1290" i="10"/>
  <c r="I1288" i="10"/>
  <c r="H1287" i="10"/>
  <c r="G1286" i="10"/>
  <c r="F1285" i="10"/>
  <c r="E1284" i="10"/>
  <c r="D1283" i="10"/>
  <c r="C1282" i="10"/>
  <c r="I1280" i="10"/>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I1313" i="10"/>
  <c r="H1312" i="10"/>
  <c r="G1311" i="10"/>
  <c r="F1310" i="10"/>
  <c r="E1309" i="10"/>
  <c r="D1308" i="10"/>
  <c r="C1307" i="10"/>
  <c r="I1305" i="10"/>
  <c r="H1304" i="10"/>
  <c r="G1303" i="10"/>
  <c r="F1302" i="10"/>
  <c r="E1301" i="10"/>
  <c r="D1300" i="10"/>
  <c r="C1299" i="10"/>
  <c r="I1297" i="10"/>
  <c r="H1296" i="10"/>
  <c r="G1295" i="10"/>
  <c r="F1294" i="10"/>
  <c r="E1293" i="10"/>
  <c r="D1292" i="10"/>
  <c r="C1291" i="10"/>
  <c r="I1289" i="10"/>
  <c r="H1288" i="10"/>
  <c r="G1287" i="10"/>
  <c r="F1286" i="10"/>
  <c r="E1285" i="10"/>
  <c r="D1284" i="10"/>
  <c r="C1283" i="10"/>
  <c r="I1281" i="10"/>
  <c r="H1280" i="10"/>
  <c r="G1279" i="10"/>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G1312" i="10"/>
  <c r="F1311" i="10"/>
  <c r="E1310" i="10"/>
  <c r="D1309" i="10"/>
  <c r="C1308" i="10"/>
  <c r="I1306" i="10"/>
  <c r="H1305" i="10"/>
  <c r="G1304" i="10"/>
  <c r="F1303" i="10"/>
  <c r="E1302" i="10"/>
  <c r="D1301" i="10"/>
  <c r="C1300" i="10"/>
  <c r="I1298" i="10"/>
  <c r="H1297" i="10"/>
  <c r="G1296" i="10"/>
  <c r="F1295" i="10"/>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H1314" i="10"/>
  <c r="G1313" i="10"/>
  <c r="F1312" i="10"/>
  <c r="E1311" i="10"/>
  <c r="D1310" i="10"/>
  <c r="C1309" i="10"/>
  <c r="I1307" i="10"/>
  <c r="H1306" i="10"/>
  <c r="G1305" i="10"/>
  <c r="F1304" i="10"/>
  <c r="E1303" i="10"/>
  <c r="D1302" i="10"/>
  <c r="C1301" i="10"/>
  <c r="I1299" i="10"/>
  <c r="H1298" i="10"/>
  <c r="G1297" i="10"/>
  <c r="F1296" i="10"/>
  <c r="E1295" i="10"/>
  <c r="D1294" i="10"/>
  <c r="C1293" i="10"/>
  <c r="I1291" i="10"/>
  <c r="H1290" i="10"/>
  <c r="G1289" i="10"/>
  <c r="F1288" i="10"/>
  <c r="E1287" i="10"/>
  <c r="D1286" i="10"/>
  <c r="C1285" i="10"/>
  <c r="I1283" i="10"/>
  <c r="H1282" i="10"/>
  <c r="G1281" i="10"/>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H1315" i="10"/>
  <c r="G1314" i="10"/>
  <c r="F1313" i="10"/>
  <c r="E1312" i="10"/>
  <c r="D1311" i="10"/>
  <c r="C1310" i="10"/>
  <c r="I1308" i="10"/>
  <c r="H1307" i="10"/>
  <c r="G1306" i="10"/>
  <c r="F1305" i="10"/>
  <c r="E1304" i="10"/>
  <c r="D1303" i="10"/>
  <c r="C1302" i="10"/>
  <c r="I1300" i="10"/>
  <c r="H1299" i="10"/>
  <c r="G1298" i="10"/>
  <c r="F1297" i="10"/>
  <c r="E1296" i="10"/>
  <c r="D1295" i="10"/>
  <c r="C1294" i="10"/>
  <c r="I1292" i="10"/>
  <c r="H1291" i="10"/>
  <c r="G1290" i="10"/>
  <c r="F1289" i="10"/>
  <c r="E1288" i="10"/>
  <c r="D1287" i="10"/>
  <c r="C1286" i="10"/>
  <c r="I1284" i="10"/>
  <c r="H1283" i="10"/>
  <c r="G1282" i="10"/>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G1315" i="10"/>
  <c r="F1314" i="10"/>
  <c r="E1313" i="10"/>
  <c r="D1312" i="10"/>
  <c r="C1311" i="10"/>
  <c r="I1309" i="10"/>
  <c r="H1308" i="10"/>
  <c r="G1307" i="10"/>
  <c r="F1306" i="10"/>
  <c r="E1305" i="10"/>
  <c r="D1304" i="10"/>
  <c r="C1303" i="10"/>
  <c r="I1301" i="10"/>
  <c r="H1300" i="10"/>
  <c r="G1299" i="10"/>
  <c r="F1298" i="10"/>
  <c r="E1297" i="10"/>
  <c r="D1296" i="10"/>
  <c r="C1295" i="10"/>
  <c r="I1293" i="10"/>
  <c r="H1292" i="10"/>
  <c r="G1291" i="10"/>
  <c r="F1290" i="10"/>
  <c r="E1289" i="10"/>
  <c r="D1288" i="10"/>
  <c r="C1287" i="10"/>
  <c r="I1285" i="10"/>
  <c r="H1284" i="10"/>
  <c r="G1283" i="10"/>
  <c r="F1282" i="10"/>
  <c r="E1281" i="10"/>
  <c r="D1280" i="10"/>
  <c r="C1279" i="10"/>
  <c r="I1277" i="10"/>
  <c r="F150" i="14"/>
  <c r="C211" i="39"/>
  <c r="I135" i="39"/>
  <c r="E88" i="39"/>
  <c r="I40" i="39"/>
  <c r="C17" i="39"/>
  <c r="D1438" i="10"/>
  <c r="C1431" i="10"/>
  <c r="K1423" i="10"/>
  <c r="J1416" i="10"/>
  <c r="I1409" i="10"/>
  <c r="H1402" i="10"/>
  <c r="G1395" i="10"/>
  <c r="I1375" i="10"/>
  <c r="C1363" i="10"/>
  <c r="E1350" i="10"/>
  <c r="G1337" i="10"/>
  <c r="F1315" i="10"/>
  <c r="E1306" i="10"/>
  <c r="D1297" i="10"/>
  <c r="C1292" i="10"/>
  <c r="C1289" i="10"/>
  <c r="H1285" i="10"/>
  <c r="I1282" i="10"/>
  <c r="E1280" i="10"/>
  <c r="H1278" i="10"/>
  <c r="E1277" i="10"/>
  <c r="D1276" i="10"/>
  <c r="C1275" i="10"/>
  <c r="I1273" i="10"/>
  <c r="H1272" i="10"/>
  <c r="G1271" i="10"/>
  <c r="F1270" i="10"/>
  <c r="E1269" i="10"/>
  <c r="D1268" i="10"/>
  <c r="C1267" i="10"/>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D1305" i="10"/>
  <c r="C1296" i="10"/>
  <c r="F1291" i="10"/>
  <c r="G1288" i="10"/>
  <c r="G1285" i="10"/>
  <c r="E1282" i="10"/>
  <c r="C1280" i="10"/>
  <c r="G1278" i="10"/>
  <c r="D1277" i="10"/>
  <c r="C1276" i="10"/>
  <c r="I1274" i="10"/>
  <c r="H1273" i="10"/>
  <c r="G1272" i="10"/>
  <c r="F1271" i="10"/>
  <c r="E1270" i="10"/>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C1304" i="10"/>
  <c r="I1294" i="10"/>
  <c r="E1291" i="10"/>
  <c r="C1288" i="10"/>
  <c r="D1285" i="10"/>
  <c r="D1282" i="10"/>
  <c r="I1279" i="10"/>
  <c r="E1278" i="10"/>
  <c r="C1277" i="10"/>
  <c r="I1275" i="10"/>
  <c r="H1274" i="10"/>
  <c r="G1273" i="10"/>
  <c r="F1272" i="10"/>
  <c r="E1271" i="10"/>
  <c r="D1270" i="10"/>
  <c r="C1269" i="10"/>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H1293" i="10"/>
  <c r="I1290" i="10"/>
  <c r="I1287" i="10"/>
  <c r="G1284" i="10"/>
  <c r="H1281" i="10"/>
  <c r="H1279" i="10"/>
  <c r="D1278" i="10"/>
  <c r="I1276" i="10"/>
  <c r="H1275" i="10"/>
  <c r="G1274" i="10"/>
  <c r="F1273" i="10"/>
  <c r="E1272" i="10"/>
  <c r="D1271" i="10"/>
  <c r="C1270" i="10"/>
  <c r="I1268" i="10"/>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H1301" i="10"/>
  <c r="G1293" i="10"/>
  <c r="E1290" i="10"/>
  <c r="F1287" i="10"/>
  <c r="F1284" i="10"/>
  <c r="D1281" i="10"/>
  <c r="F1279" i="10"/>
  <c r="C1278" i="10"/>
  <c r="H1276" i="10"/>
  <c r="G1275" i="10"/>
  <c r="F1274" i="10"/>
  <c r="E1273" i="10"/>
  <c r="D1272" i="10"/>
  <c r="C1271" i="10"/>
  <c r="I1269" i="10"/>
  <c r="H1268" i="10"/>
  <c r="G1267" i="10"/>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G1300" i="10"/>
  <c r="D1293" i="10"/>
  <c r="D1290" i="10"/>
  <c r="I1286" i="10"/>
  <c r="C1284" i="10"/>
  <c r="C1281" i="10"/>
  <c r="E1279" i="10"/>
  <c r="H1277" i="10"/>
  <c r="G1276" i="10"/>
  <c r="F1275" i="10"/>
  <c r="E1274" i="10"/>
  <c r="D1273" i="10"/>
  <c r="C1272" i="10"/>
  <c r="I1270" i="10"/>
  <c r="H1269" i="10"/>
  <c r="G1268" i="10"/>
  <c r="F1267" i="10"/>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F1299" i="10"/>
  <c r="G1292" i="10"/>
  <c r="H1289" i="10"/>
  <c r="H1286" i="10"/>
  <c r="F1283" i="10"/>
  <c r="G1280" i="10"/>
  <c r="D1279" i="10"/>
  <c r="G1277" i="10"/>
  <c r="F1276" i="10"/>
  <c r="E1275" i="10"/>
  <c r="D1274" i="10"/>
  <c r="C1273" i="10"/>
  <c r="I1271" i="10"/>
  <c r="H1270" i="10"/>
  <c r="G1269" i="10"/>
  <c r="F1268" i="10"/>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E1298" i="10"/>
  <c r="F1292" i="10"/>
  <c r="D1289" i="10"/>
  <c r="E1286" i="10"/>
  <c r="E1283" i="10"/>
  <c r="F1280" i="10"/>
  <c r="I1278" i="10"/>
  <c r="F1277" i="10"/>
  <c r="E1276" i="10"/>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AK29" i="8"/>
  <c r="AK28" i="8"/>
  <c r="AK27" i="8"/>
  <c r="AK23" i="8"/>
  <c r="AK25" i="8" l="1"/>
  <c r="AK35" i="8"/>
  <c r="AK31" i="8"/>
  <c r="AK19" i="8"/>
  <c r="AK33" i="8"/>
  <c r="AK32" i="8"/>
  <c r="AK21" i="8"/>
  <c r="AK20" i="8"/>
  <c r="AK24" i="8"/>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<sst xmlns="http://schemas.openxmlformats.org/spreadsheetml/2006/main" count="7416" uniqueCount="2103">
  <si>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</si>
  <si>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</si>
  <si>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</si>
  <si>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</si>
  <si>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</si>
  <si>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</si>
  <si>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</si>
  <si>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</si>
  <si>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</si>
  <si>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</si>
  <si>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</si>
  <si>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</si>
  <si>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</si>
  <si>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</si>
  <si>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</si>
  <si>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</si>
  <si>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</si>
  <si>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</si>
  <si>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</si>
  <si>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</si>
  <si>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</si>
  <si>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</si>
  <si>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</si>
  <si>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</si>
  <si>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</si>
  <si>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</si>
  <si>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</si>
  <si>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</si>
  <si>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</si>
  <si>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</si>
  <si>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</si>
  <si>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</si>
  <si>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</si>
  <si>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</si>
  <si>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</si>
  <si>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</si>
  <si>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</si>
  <si>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</si>
  <si>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</si>
  <si>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</si>
  <si>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</si>
  <si>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</si>
  <si>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</si>
  <si>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</si>
  <si>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</si>
  <si>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</si>
  <si>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</si>
  <si>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</si>
  <si>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</si>
  <si>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</si>
  <si>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</si>
  <si>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</si>
  <si>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</si>
  <si>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</si>
  <si>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</si>
  <si>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</si>
  <si>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</si>
  <si>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</si>
  <si>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</si>
  <si>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</si>
  <si>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</si>
  <si>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</si>
  <si>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</si>
  <si>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</si>
  <si>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</si>
  <si>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</si>
  <si>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</si>
  <si>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</si>
  <si>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</si>
  <si>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</si>
  <si>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</si>
  <si>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</si>
  <si>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</si>
  <si>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</si>
  <si>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</si>
  <si>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</si>
  <si>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</si>
  <si>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</si>
  <si>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</si>
  <si>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</si>
  <si>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</si>
  <si>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</si>
  <si>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</si>
  <si>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</si>
  <si>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</si>
  <si>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</si>
  <si>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</si>
  <si>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</si>
  <si>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</si>
  <si>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</si>
  <si>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</si>
  <si>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</si>
  <si>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</si>
  <si>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</si>
  <si>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</si>
  <si>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</si>
  <si>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</si>
  <si>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</si>
  <si>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</si>
  <si>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</si>
  <si>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</si>
  <si>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</si>
  <si>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</si>
  <si>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</si>
  <si>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</si>
  <si>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</si>
  <si>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</si>
  <si>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</si>
  <si>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</si>
  <si>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</si>
  <si>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</si>
  <si>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</si>
  <si>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</si>
  <si>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</si>
  <si>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</si>
  <si>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</si>
  <si>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</si>
  <si>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</si>
  <si>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</si>
  <si>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</si>
  <si>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</si>
  <si>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</si>
  <si>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</si>
  <si>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</si>
  <si>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</si>
  <si>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</si>
  <si>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</si>
  <si>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</si>
  <si>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</si>
  <si>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</si>
  <si>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</si>
  <si>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</si>
  <si>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</si>
  <si>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</si>
  <si>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</si>
  <si>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</si>
  <si>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</si>
  <si>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</si>
  <si>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</si>
  <si>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</si>
  <si>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</si>
  <si>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</si>
  <si>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</si>
  <si>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</si>
  <si>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</si>
  <si>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</si>
  <si>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</si>
  <si>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</si>
  <si>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</si>
  <si>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</si>
  <si>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</si>
  <si>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</si>
  <si>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</si>
  <si>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</si>
  <si>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</si>
  <si>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</si>
  <si>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</si>
  <si>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</si>
  <si>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</si>
  <si>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</si>
  <si>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</si>
  <si>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</si>
  <si>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</si>
  <si>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</si>
  <si>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</si>
  <si>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</si>
  <si>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</si>
  <si>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</si>
  <si>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</si>
  <si>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</si>
  <si>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</si>
  <si>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</si>
  <si>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</si>
  <si>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</si>
  <si>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</si>
  <si>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</si>
  <si>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</si>
  <si>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</si>
  <si>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</si>
  <si>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</si>
  <si>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</si>
  <si>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</si>
  <si>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</si>
  <si>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</si>
  <si>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</si>
  <si>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</si>
  <si>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</si>
  <si>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</si>
  <si>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</si>
  <si>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</si>
  <si>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</si>
  <si>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</si>
  <si>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</si>
  <si>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</si>
  <si>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</si>
  <si>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</si>
  <si>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</si>
  <si>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</si>
  <si>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</si>
  <si>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</si>
  <si>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</si>
  <si>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</si>
  <si>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</si>
  <si>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</si>
  <si>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</si>
  <si>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</si>
  <si>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</si>
  <si>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</si>
  <si>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</si>
  <si>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</si>
  <si>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</si>
  <si>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</si>
  <si>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</si>
  <si>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</si>
  <si>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</si>
  <si>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</si>
  <si>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</si>
  <si>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</si>
  <si>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</si>
  <si>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</si>
  <si>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</si>
  <si>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</si>
  <si>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</si>
  <si>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</si>
  <si>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</si>
  <si>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</si>
  <si>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</si>
  <si>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</si>
  <si>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</si>
  <si>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</si>
  <si>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</si>
  <si>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</si>
  <si>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</si>
  <si>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</si>
  <si>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</si>
  <si>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</si>
  <si>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</si>
  <si>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</si>
  <si>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</si>
  <si>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</si>
  <si>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</si>
  <si>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</si>
  <si>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</si>
  <si>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</si>
  <si>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</si>
  <si>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</si>
  <si>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</si>
  <si>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</si>
  <si>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</si>
  <si>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</si>
  <si>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</si>
  <si>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</si>
  <si>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</si>
  <si>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</si>
  <si>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</si>
  <si>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</si>
  <si>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</si>
  <si>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</si>
  <si>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</si>
  <si>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</si>
  <si>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</si>
  <si>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</si>
  <si>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</si>
  <si>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</si>
  <si>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</si>
  <si>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</si>
  <si>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</si>
  <si>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</si>
  <si>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</si>
  <si>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</si>
  <si>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</si>
  <si>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</si>
  <si>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</si>
  <si>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</si>
  <si>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</si>
  <si>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</si>
  <si>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</si>
  <si>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</si>
  <si>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</si>
  <si>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</si>
  <si>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</si>
  <si>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</si>
  <si>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</si>
  <si>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</si>
  <si>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</si>
  <si>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</si>
  <si>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</si>
  <si>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</si>
  <si>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</si>
  <si>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</si>
  <si>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</si>
  <si>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</si>
  <si>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</si>
  <si>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</si>
  <si>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</si>
  <si>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</si>
  <si>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</si>
  <si>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</si>
  <si>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</si>
  <si>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</si>
  <si>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</si>
  <si>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</si>
  <si>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</si>
  <si>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</si>
  <si>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</si>
  <si>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</si>
  <si>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</si>
  <si>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</si>
  <si>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</si>
  <si>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</si>
  <si>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</si>
  <si>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</si>
  <si>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</si>
  <si>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</si>
  <si>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</si>
  <si>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</si>
  <si>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</si>
  <si>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</si>
  <si>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</si>
  <si>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</si>
  <si>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</si>
  <si>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</si>
  <si>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</si>
  <si>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</si>
  <si>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</si>
  <si>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</si>
  <si>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</si>
  <si>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</si>
  <si>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</si>
  <si>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</si>
  <si>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</si>
  <si>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</si>
  <si>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</si>
  <si>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</si>
  <si>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</si>
  <si>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</si>
  <si>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</si>
  <si>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</si>
  <si>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</si>
  <si>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</si>
  <si>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</si>
  <si>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</si>
  <si>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</si>
  <si>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</si>
  <si>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</si>
  <si>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</si>
  <si>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</si>
  <si>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</si>
  <si>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</si>
  <si>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</si>
  <si>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</si>
  <si>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</si>
  <si>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</si>
  <si>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</si>
  <si>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</si>
  <si>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</si>
  <si>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</si>
  <si>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</si>
  <si>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</si>
  <si>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</si>
  <si>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</si>
  <si>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</si>
  <si>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</si>
  <si>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</si>
  <si>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</si>
  <si>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</si>
  <si>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</si>
  <si>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</si>
  <si>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</si>
  <si>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</si>
  <si>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</si>
  <si>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</si>
  <si>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</si>
  <si>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</si>
  <si>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</si>
  <si>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</si>
  <si>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</si>
  <si>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</si>
  <si>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</si>
  <si>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</si>
  <si>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</si>
  <si>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</si>
  <si>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</si>
  <si>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</si>
  <si>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</si>
  <si>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</si>
  <si>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</si>
  <si>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</si>
  <si>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</si>
  <si>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</si>
  <si>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</si>
  <si>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</si>
  <si>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</si>
  <si>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</si>
  <si>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</si>
  <si>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</si>
  <si>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</si>
  <si>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</si>
  <si>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</si>
  <si>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</si>
  <si>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</si>
  <si>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</si>
  <si>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</si>
  <si>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</si>
  <si>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</si>
  <si>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</si>
  <si>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</si>
  <si>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</si>
  <si>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</si>
  <si>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</si>
  <si>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</si>
  <si>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</si>
  <si>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</si>
  <si>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</si>
  <si>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</si>
  <si>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</si>
  <si>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</si>
  <si>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</si>
  <si>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</si>
  <si>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</si>
  <si>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</si>
  <si>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</si>
  <si>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</si>
  <si>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</si>
  <si>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</si>
  <si>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</si>
  <si>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</si>
  <si>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</si>
  <si>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</si>
  <si>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</si>
  <si>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</si>
  <si>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</si>
  <si>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</si>
  <si>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</si>
  <si>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</si>
  <si>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</si>
  <si>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</si>
  <si>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</si>
  <si>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</si>
  <si>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</si>
  <si>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</si>
  <si>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</si>
  <si>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</si>
  <si>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</si>
  <si>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</si>
  <si>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</si>
  <si>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</si>
  <si>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</si>
  <si>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</si>
  <si>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</si>
  <si>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</si>
  <si>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</si>
  <si>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</si>
  <si>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</si>
  <si>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</si>
  <si>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</si>
  <si>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</si>
  <si>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</si>
  <si>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</si>
  <si>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</si>
  <si>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</si>
  <si>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</si>
  <si>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</si>
  <si>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</si>
  <si>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</si>
  <si>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</si>
  <si>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</si>
  <si>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</si>
  <si>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</si>
  <si>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</si>
  <si>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</si>
  <si>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</si>
  <si>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</si>
  <si>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</si>
  <si>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</si>
  <si>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</si>
  <si>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</si>
  <si>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</si>
  <si>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</si>
  <si>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</si>
  <si>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</si>
  <si>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</si>
  <si>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</si>
  <si>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</si>
  <si>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</si>
  <si>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</si>
  <si>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</si>
  <si>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</si>
  <si>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</si>
  <si>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</si>
  <si>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</si>
  <si>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</si>
  <si>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</si>
  <si>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</si>
  <si>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</si>
  <si>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</si>
  <si>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</si>
  <si>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</si>
  <si>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</si>
  <si>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</si>
  <si>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</si>
  <si>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</si>
  <si>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</si>
  <si>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</si>
  <si>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</si>
  <si>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</si>
  <si>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</si>
  <si>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</si>
  <si>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</si>
  <si>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</si>
  <si>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</si>
  <si>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</si>
  <si>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</si>
  <si>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</si>
  <si>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</si>
  <si>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</si>
  <si>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</si>
  <si>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</si>
  <si>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</si>
  <si>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</si>
  <si>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</si>
  <si>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</si>
  <si>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</si>
  <si>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</si>
  <si>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</si>
  <si>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</si>
  <si>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</si>
  <si>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</si>
  <si>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</si>
  <si>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</si>
  <si>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</si>
  <si>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</si>
  <si>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</si>
  <si>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</si>
  <si>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</si>
  <si>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</si>
  <si>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</si>
  <si>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</si>
  <si>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</si>
  <si>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</si>
  <si>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</si>
  <si>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</si>
  <si>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</si>
  <si>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</si>
  <si>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</si>
  <si>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</si>
  <si>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</si>
  <si>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</si>
  <si>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</si>
  <si>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</si>
  <si>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</si>
  <si>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</si>
  <si>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</si>
  <si>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</si>
  <si>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</si>
  <si>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</si>
  <si>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</si>
  <si>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</si>
  <si>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</si>
  <si>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</si>
  <si>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</si>
  <si>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</si>
  <si>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</si>
  <si>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</si>
  <si>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</si>
  <si>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</si>
  <si>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</si>
  <si>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</si>
  <si>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</si>
  <si>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</si>
  <si>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</si>
  <si>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</si>
  <si>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</si>
  <si>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</si>
  <si>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</si>
  <si>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</si>
  <si>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</si>
  <si>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</si>
  <si>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</si>
  <si>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</si>
  <si>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</si>
  <si>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</si>
  <si>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</si>
  <si>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</si>
  <si>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</si>
  <si>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</si>
  <si>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</si>
  <si>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</si>
  <si>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</si>
  <si>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</si>
  <si>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</si>
  <si>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</si>
  <si>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</si>
  <si>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</si>
  <si>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</si>
  <si>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</si>
  <si>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</si>
  <si>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</si>
  <si>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</si>
  <si>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</si>
  <si>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</si>
  <si>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</si>
  <si>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</si>
  <si>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</si>
  <si>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</si>
  <si>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</si>
  <si>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</si>
  <si>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</si>
  <si>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</si>
  <si>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</si>
  <si>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</si>
  <si>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</si>
  <si>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</si>
  <si>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</si>
  <si>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</si>
  <si>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</si>
  <si>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</si>
  <si>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</si>
  <si>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</si>
  <si>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</si>
  <si>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</si>
  <si>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</si>
  <si>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</si>
  <si>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</si>
  <si>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</si>
  <si>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</si>
  <si>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</si>
  <si>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</si>
  <si>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</si>
  <si>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</si>
  <si>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</si>
  <si>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</si>
  <si>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</si>
  <si>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</si>
  <si>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</si>
  <si>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</si>
  <si>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</si>
  <si>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</si>
  <si>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</si>
  <si>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</si>
  <si>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</si>
  <si>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</si>
  <si>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</si>
  <si>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</si>
  <si>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</si>
  <si>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</si>
  <si>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</si>
  <si>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</si>
  <si>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</si>
  <si>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</si>
  <si>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</si>
  <si>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</si>
  <si>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</si>
  <si>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</si>
  <si>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</si>
  <si>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</si>
  <si>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</si>
  <si>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</si>
  <si>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</si>
  <si>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</si>
  <si>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</si>
  <si>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</si>
  <si>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</si>
  <si>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</si>
  <si>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</si>
  <si>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</si>
  <si>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</si>
  <si>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</si>
  <si>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</si>
  <si>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</si>
  <si>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</si>
  <si>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</si>
  <si>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</si>
  <si>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</si>
  <si>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</si>
  <si>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</si>
  <si>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</si>
  <si>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</si>
  <si>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</si>
  <si>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</si>
  <si>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</si>
  <si>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</si>
  <si>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</si>
  <si>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</si>
  <si>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</si>
  <si>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</si>
  <si>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</si>
  <si>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</si>
  <si>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</si>
  <si>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</si>
  <si>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</si>
  <si>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</si>
  <si>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</si>
  <si>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</si>
  <si>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</si>
  <si>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</si>
  <si>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</si>
  <si>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</si>
  <si>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</si>
  <si>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</si>
  <si>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</si>
  <si>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</si>
  <si>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</si>
  <si>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</si>
  <si>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</si>
  <si>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</si>
  <si>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</si>
  <si>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</si>
  <si>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</si>
  <si>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</si>
  <si>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</si>
  <si>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</si>
  <si>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</si>
  <si>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</si>
  <si>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</si>
  <si>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</si>
  <si>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</si>
  <si>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</si>
  <si>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</si>
  <si>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</si>
  <si>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</si>
  <si>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</si>
  <si>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</si>
  <si>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</si>
  <si>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</si>
  <si>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</si>
  <si>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</si>
  <si>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</si>
  <si>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</si>
  <si>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</si>
  <si>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</si>
  <si>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</si>
  <si>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</si>
  <si>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</si>
  <si>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</si>
  <si>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</si>
  <si>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</si>
  <si>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</si>
  <si>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</si>
  <si>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</si>
  <si>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</si>
  <si>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</si>
  <si>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</si>
  <si>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</si>
  <si>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</si>
  <si>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</si>
  <si>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</si>
  <si>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</si>
  <si>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</si>
  <si>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</si>
  <si>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</si>
  <si>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</si>
  <si>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</si>
  <si>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</si>
  <si>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</si>
  <si>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</si>
  <si>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</si>
  <si>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</si>
  <si>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</si>
  <si>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</si>
  <si>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</si>
  <si>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</si>
  <si>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</si>
  <si>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</si>
  <si>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</si>
  <si>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</si>
  <si>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</si>
  <si>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</si>
  <si>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</si>
  <si>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</si>
  <si>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</si>
  <si>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</si>
  <si>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</si>
  <si>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</si>
  <si>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</si>
  <si>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</si>
  <si>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</si>
  <si>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</si>
  <si>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</si>
  <si>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</si>
  <si>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</si>
  <si>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</si>
  <si>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</si>
  <si>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</si>
  <si>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</si>
  <si>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</si>
  <si>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</si>
  <si>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</si>
  <si>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</si>
  <si>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</si>
  <si>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</si>
  <si>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</si>
  <si>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</si>
  <si>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</si>
  <si>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</si>
  <si>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</si>
  <si>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</si>
  <si>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</si>
  <si>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</si>
  <si>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</si>
  <si>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</si>
  <si>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</si>
  <si>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</si>
  <si>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</si>
  <si>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</si>
  <si>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</si>
  <si>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</si>
  <si>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</si>
  <si>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</si>
  <si>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</si>
  <si>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</si>
  <si>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</si>
  <si>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</si>
  <si>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</si>
  <si>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</si>
  <si>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</si>
  <si>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</si>
  <si>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</si>
  <si>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</si>
  <si>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</si>
  <si>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</si>
  <si>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</si>
  <si>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</si>
  <si>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</si>
  <si>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</si>
  <si>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</si>
  <si>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</si>
  <si>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</si>
  <si>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</si>
  <si>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</si>
  <si>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</si>
  <si>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</si>
  <si>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</si>
  <si>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</si>
  <si>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</si>
  <si>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</si>
  <si>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</si>
  <si>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</si>
  <si>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</si>
  <si>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</si>
  <si>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</si>
  <si>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</si>
  <si>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</si>
  <si>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</si>
  <si>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</si>
  <si>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</si>
  <si>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</si>
  <si>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</si>
  <si>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</si>
  <si>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</si>
  <si>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</si>
  <si>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</si>
  <si>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</si>
  <si>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</si>
  <si>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</si>
  <si>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</si>
  <si>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</si>
  <si>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</si>
  <si>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</si>
  <si>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</si>
  <si>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</si>
  <si>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</si>
  <si>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</si>
  <si>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</si>
  <si>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</si>
  <si>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</si>
  <si>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</si>
  <si>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</si>
  <si>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</si>
  <si>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</si>
  <si>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</si>
  <si>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</si>
  <si>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</si>
  <si>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</si>
  <si>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</si>
  <si>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</si>
  <si>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</si>
  <si>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</si>
  <si>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</si>
  <si>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</si>
  <si>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</si>
  <si>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</si>
  <si>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</si>
  <si>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</si>
  <si>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</si>
  <si>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</si>
  <si>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</si>
  <si>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</si>
  <si>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</si>
  <si>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</si>
  <si>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</si>
  <si>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</si>
  <si>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</si>
  <si>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</si>
  <si>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</si>
  <si>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</si>
  <si>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</si>
  <si>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</si>
  <si>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</si>
  <si>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</si>
  <si>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</si>
  <si>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</si>
  <si>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</si>
  <si>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</si>
  <si>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</si>
  <si>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</si>
  <si>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</si>
  <si>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</si>
  <si>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</si>
  <si>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</si>
  <si>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</si>
  <si>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</si>
  <si>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</si>
  <si>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</si>
  <si>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</si>
  <si>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</si>
  <si>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</si>
  <si>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</si>
  <si>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</si>
  <si>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</si>
  <si>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</si>
  <si>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</si>
  <si>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</si>
  <si>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</si>
  <si>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</si>
  <si>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</si>
  <si>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</si>
  <si>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</si>
  <si>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</si>
  <si>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</si>
  <si>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</si>
  <si>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</si>
  <si>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</si>
  <si>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</si>
  <si>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</si>
  <si>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</si>
  <si>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</si>
  <si>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</si>
  <si>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</si>
  <si>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</si>
  <si>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</si>
  <si>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</si>
  <si>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</si>
  <si>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</si>
  <si>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</si>
  <si>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</si>
  <si>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</si>
  <si>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</si>
  <si>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</si>
  <si>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</si>
  <si>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</si>
  <si>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</si>
  <si>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</si>
  <si>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</si>
  <si>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</si>
  <si>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</si>
  <si>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</si>
  <si>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</si>
  <si>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</si>
  <si>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</si>
  <si>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</si>
  <si>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</si>
  <si>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</si>
  <si>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</si>
  <si>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</si>
  <si>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</si>
  <si>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</si>
  <si>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</si>
  <si>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</si>
  <si>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</si>
  <si>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</si>
  <si>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</si>
  <si>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</si>
  <si>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</si>
  <si>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</si>
  <si>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</si>
  <si>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</si>
  <si>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</si>
  <si>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</si>
  <si>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</si>
  <si>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</si>
  <si>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</si>
  <si>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</si>
  <si>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</si>
  <si>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</si>
  <si>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</si>
  <si>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</si>
  <si>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</si>
  <si>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</si>
  <si>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</si>
  <si>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</si>
  <si>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</si>
  <si>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</si>
  <si>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</si>
  <si>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</si>
  <si>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</si>
  <si>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</si>
  <si>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</si>
  <si>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</si>
  <si>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</si>
  <si>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</si>
  <si>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</si>
  <si>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</si>
  <si>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</si>
  <si>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</si>
  <si>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</si>
  <si>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</si>
  <si>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</si>
  <si>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</si>
  <si>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</si>
  <si>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</si>
  <si>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</si>
  <si>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</si>
  <si>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</si>
  <si>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</si>
  <si>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</si>
  <si>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</si>
  <si>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</si>
  <si>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</si>
  <si>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</si>
  <si>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</si>
  <si>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</si>
  <si>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</si>
  <si>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</si>
  <si>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</si>
  <si>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</si>
  <si>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</si>
  <si>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</si>
  <si>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</si>
  <si>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</si>
  <si>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</si>
  <si>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</si>
  <si>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</si>
  <si>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</si>
  <si>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</si>
  <si>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</si>
  <si>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</si>
  <si>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</si>
  <si>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</si>
  <si>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</si>
  <si>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</si>
  <si>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</si>
  <si>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</si>
  <si>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</si>
  <si>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</si>
  <si>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</si>
  <si>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</si>
  <si>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</si>
  <si>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</si>
  <si>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</si>
  <si>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</si>
  <si>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</si>
  <si>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</si>
  <si>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</si>
  <si>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</si>
  <si>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</si>
  <si>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</si>
  <si>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</si>
  <si>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</si>
  <si>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</si>
  <si>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</si>
  <si>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</si>
  <si>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</si>
  <si>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</si>
  <si>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</si>
  <si>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</si>
  <si>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</si>
  <si>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</si>
  <si>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</si>
  <si>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</si>
  <si>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</si>
  <si>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</si>
  <si>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</si>
  <si>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</si>
  <si>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</si>
  <si>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</si>
  <si>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</si>
  <si>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</si>
  <si>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</si>
  <si>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</si>
  <si>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</si>
  <si>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</si>
  <si>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</si>
  <si>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</si>
  <si>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</si>
  <si>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</si>
  <si>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</si>
  <si>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</si>
  <si>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</si>
  <si>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</si>
  <si>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</si>
  <si>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</si>
  <si>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</si>
  <si>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</si>
  <si>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</si>
  <si>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</si>
  <si>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</si>
  <si>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</si>
  <si>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</si>
  <si>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</si>
  <si>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</si>
  <si>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</si>
  <si>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</si>
  <si>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</si>
  <si>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</si>
  <si>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</si>
  <si>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</si>
  <si>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</si>
  <si>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</si>
  <si>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</si>
  <si>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</si>
  <si>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</si>
  <si>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</si>
  <si>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</si>
  <si>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</si>
  <si>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</si>
  <si>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</si>
  <si>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</si>
  <si>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</si>
  <si>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</si>
  <si>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</si>
  <si>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</si>
  <si>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</si>
  <si>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</si>
  <si>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</si>
  <si>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</si>
  <si>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</si>
  <si>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</si>
  <si>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</si>
  <si>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</si>
  <si>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</si>
  <si>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</si>
  <si>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</si>
  <si>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</si>
  <si>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</si>
  <si>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</si>
  <si>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</si>
  <si>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</si>
  <si>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</si>
  <si>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</si>
  <si>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</si>
  <si>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</si>
  <si>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</si>
  <si>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</si>
  <si>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</si>
  <si>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</si>
  <si>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</si>
  <si>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</si>
  <si>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</si>
  <si>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</si>
  <si>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</si>
  <si>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</si>
  <si>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</si>
  <si>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</si>
  <si>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</si>
  <si>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</si>
  <si>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</si>
  <si>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</si>
  <si>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</si>
  <si>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</si>
  <si>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</si>
  <si>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</si>
  <si>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</si>
  <si>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</si>
  <si>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</si>
  <si>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</si>
  <si>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</si>
  <si>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</si>
  <si>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</si>
  <si>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</si>
  <si>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</si>
  <si>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</si>
  <si>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</si>
  <si>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</si>
  <si>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</si>
  <si>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</si>
  <si>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</si>
  <si>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</si>
  <si>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</si>
  <si>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</si>
  <si>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</si>
  <si>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</si>
  <si>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</si>
  <si>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</si>
  <si>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</si>
  <si>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</si>
  <si>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</si>
  <si>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</si>
  <si>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</si>
  <si>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</si>
  <si>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</si>
  <si>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</si>
  <si>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</si>
  <si>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</si>
  <si>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</si>
  <si>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</si>
  <si>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</si>
  <si>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</si>
  <si>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</si>
  <si>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</si>
  <si>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</si>
  <si>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</si>
  <si>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</si>
  <si>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</si>
  <si>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</si>
  <si>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</si>
  <si>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</si>
  <si>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</si>
  <si>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</si>
  <si>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</si>
  <si>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</si>
  <si>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</si>
  <si>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</si>
  <si>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</si>
  <si>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</si>
  <si>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</si>
  <si>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</si>
  <si>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</si>
  <si>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</si>
  <si>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</si>
  <si>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</si>
  <si>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</si>
  <si>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</si>
  <si>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</si>
  <si>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</si>
  <si>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</si>
  <si>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</si>
  <si>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</si>
  <si>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</si>
  <si>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</si>
  <si>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</si>
  <si>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</si>
  <si>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</si>
  <si>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</si>
  <si>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</si>
  <si>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</si>
  <si>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</si>
  <si>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</si>
  <si>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</si>
  <si>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</si>
  <si>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</si>
  <si>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</si>
  <si>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</si>
  <si>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</si>
  <si>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</si>
  <si>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</si>
  <si>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</si>
  <si>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</si>
  <si>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</si>
  <si>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</si>
  <si>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</si>
  <si>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</si>
  <si>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</si>
  <si>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</si>
  <si>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</si>
  <si>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</si>
  <si>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</si>
  <si>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</si>
  <si>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</si>
  <si>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</si>
  <si>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</si>
  <si>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</si>
  <si>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</si>
  <si>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</si>
  <si>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</si>
  <si>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</si>
  <si>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</si>
  <si>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</si>
  <si>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</si>
  <si>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</si>
  <si>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</si>
  <si>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</si>
  <si>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</si>
  <si>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</si>
  <si>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</si>
  <si>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</si>
  <si>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</si>
  <si>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</si>
  <si>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</si>
  <si>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</si>
  <si>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</si>
  <si>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</si>
  <si>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</si>
  <si>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</si>
  <si>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</si>
  <si>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</si>
  <si>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</si>
  <si>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</si>
  <si>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</si>
  <si>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</si>
  <si>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</si>
  <si>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</si>
  <si>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</si>
  <si>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</si>
  <si>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</si>
  <si>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</si>
  <si>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</si>
  <si>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</si>
  <si>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</si>
  <si>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</si>
  <si>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</si>
  <si>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</si>
  <si>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</si>
  <si>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</si>
  <si>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</si>
  <si>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</si>
  <si>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</si>
  <si>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</si>
  <si>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</si>
  <si>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</si>
  <si>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</si>
  <si>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</si>
  <si>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</si>
  <si>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</si>
  <si>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</si>
  <si>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</si>
  <si>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</si>
  <si>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</si>
  <si>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</si>
  <si>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</si>
  <si>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</si>
  <si>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</si>
  <si>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</si>
  <si>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</si>
  <si>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</si>
  <si>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</si>
  <si>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</si>
  <si>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</si>
  <si>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</si>
  <si>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</si>
  <si>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</si>
  <si>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</si>
  <si>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</si>
  <si>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</si>
  <si>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</si>
  <si>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</si>
  <si>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</si>
  <si>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</si>
  <si>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</si>
  <si>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</si>
  <si>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</si>
  <si>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</si>
  <si>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</si>
  <si>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</si>
  <si>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</si>
  <si>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</si>
  <si>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</si>
  <si>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</si>
  <si>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</si>
  <si>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</si>
  <si>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</si>
  <si>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</si>
  <si>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</si>
  <si>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</si>
  <si>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</si>
  <si>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</si>
  <si>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</si>
  <si>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</si>
  <si>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</si>
  <si>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</si>
  <si>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</si>
  <si>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</si>
  <si>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</si>
  <si>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</si>
  <si>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</si>
  <si>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</si>
  <si>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</si>
  <si>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</si>
  <si>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</si>
  <si>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</si>
  <si>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</si>
  <si>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</si>
  <si>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</si>
  <si>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</si>
  <si>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</si>
  <si>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</si>
  <si>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</si>
  <si>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</si>
  <si>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</si>
  <si>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</si>
  <si>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</si>
  <si>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</si>
  <si>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</si>
  <si>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</si>
  <si>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</si>
  <si>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</si>
  <si>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</si>
  <si>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</si>
  <si>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</si>
  <si>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</si>
  <si>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</si>
  <si>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</si>
  <si>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</si>
  <si>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</si>
  <si>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</si>
  <si>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</si>
  <si>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</si>
  <si>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</si>
  <si>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</si>
  <si>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</si>
  <si>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</si>
  <si>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</si>
  <si>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</si>
  <si>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</si>
  <si>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</si>
  <si>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</si>
  <si>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</si>
  <si>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</si>
  <si>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</si>
  <si>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</si>
  <si>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</si>
  <si>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</si>
  <si>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</si>
  <si>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</si>
  <si>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</si>
  <si>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</si>
  <si>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</si>
  <si>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</si>
  <si>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</si>
  <si>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</si>
  <si>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</si>
  <si>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</si>
  <si>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</si>
  <si>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</si>
  <si>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</si>
  <si>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</si>
  <si>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</si>
  <si>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</si>
  <si>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</si>
  <si>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</si>
  <si>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</si>
  <si>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</si>
  <si>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</si>
  <si>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</si>
  <si>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</si>
  <si>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</si>
  <si>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</si>
  <si>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</si>
  <si>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</si>
  <si>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</si>
  <si>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</si>
  <si>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</si>
  <si>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</si>
  <si>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</si>
  <si>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</si>
  <si>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</si>
  <si>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</si>
  <si>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</si>
  <si>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</si>
  <si>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</si>
  <si>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</si>
  <si>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</si>
  <si>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</si>
  <si>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</si>
  <si>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</si>
  <si>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</si>
  <si>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</si>
  <si>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</si>
  <si>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</si>
  <si>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</si>
  <si>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</si>
  <si>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</si>
  <si>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</si>
  <si>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</si>
  <si>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</si>
  <si>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</si>
  <si>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</si>
  <si>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</si>
  <si>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</si>
  <si>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</si>
  <si>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</si>
  <si>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</si>
  <si>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</si>
  <si>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</si>
  <si>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</si>
  <si>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</si>
  <si>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</si>
  <si>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</si>
  <si>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</si>
  <si>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</si>
  <si>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</si>
  <si>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</si>
  <si>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</si>
  <si>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</si>
  <si>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</si>
  <si>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</si>
  <si>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</si>
  <si>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</si>
  <si>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</si>
  <si>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</si>
  <si>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</si>
  <si>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</si>
  <si>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</si>
  <si>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</si>
  <si>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</si>
  <si>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</si>
  <si>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</si>
  <si>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</si>
  <si>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</si>
  <si>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</si>
  <si>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</si>
  <si>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</si>
  <si>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</si>
  <si>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</si>
  <si>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</si>
  <si>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</si>
  <si>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</si>
  <si>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</si>
  <si>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</si>
  <si>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</si>
  <si>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</si>
  <si>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</si>
  <si>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</si>
  <si>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</si>
  <si>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</si>
  <si>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</si>
  <si>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</si>
  <si>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</si>
  <si>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</si>
  <si>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</si>
  <si>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</si>
  <si>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</si>
  <si>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</si>
  <si>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</si>
  <si>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</si>
  <si>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</si>
  <si>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</si>
  <si>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</si>
  <si>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</si>
  <si>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</si>
  <si>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</si>
  <si>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</si>
  <si>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</si>
  <si>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</si>
  <si>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</si>
  <si>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</si>
  <si>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</si>
  <si>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</si>
  <si>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</si>
  <si>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</si>
  <si>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</si>
  <si>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</si>
  <si>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</si>
  <si>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</si>
  <si>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</si>
  <si>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</si>
  <si>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</si>
  <si>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</si>
  <si>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</si>
  <si>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</si>
  <si>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</si>
  <si>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</si>
  <si>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</si>
  <si>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</si>
  <si>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</si>
  <si>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</si>
  <si>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</si>
  <si>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</si>
  <si>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</si>
  <si>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</si>
  <si>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</si>
  <si>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</si>
  <si>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</si>
  <si>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</si>
  <si>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</si>
  <si>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</si>
  <si>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</si>
  <si>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</si>
  <si>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</si>
  <si>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</si>
  <si>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</si>
  <si>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</si>
  <si>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</si>
  <si>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</si>
  <si>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</si>
  <si>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</si>
  <si>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</si>
  <si>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</si>
  <si>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</si>
  <si>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</si>
  <si>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</si>
  <si>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</si>
  <si>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</si>
  <si>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</si>
  <si>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</si>
  <si>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</si>
  <si>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</si>
  <si>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</si>
  <si>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</si>
  <si>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</si>
  <si>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</si>
  <si>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</si>
  <si>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</si>
  <si>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</si>
  <si>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</si>
  <si>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</si>
  <si>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</si>
  <si>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</si>
  <si>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</si>
  <si>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</si>
  <si>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</si>
  <si>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</si>
  <si>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</si>
  <si>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</si>
  <si>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</si>
  <si>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</si>
  <si>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</si>
  <si>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</si>
  <si>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</si>
  <si>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</si>
  <si>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</si>
  <si>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</si>
  <si>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</si>
  <si>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</si>
  <si>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</si>
  <si>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</si>
  <si>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</si>
  <si>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</si>
  <si>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</si>
  <si>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</si>
  <si>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</si>
  <si>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</si>
  <si>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</si>
  <si>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</si>
  <si>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</si>
  <si>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</si>
  <si>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</si>
  <si>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</si>
  <si>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</si>
  <si>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</si>
  <si>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</si>
  <si>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</si>
  <si>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</si>
  <si>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</si>
  <si>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</si>
  <si>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</si>
  <si>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</si>
  <si>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</si>
  <si>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</si>
  <si>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</si>
  <si>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</si>
  <si>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</si>
  <si>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</si>
  <si>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</si>
  <si>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</si>
  <si>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</si>
  <si>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</si>
  <si>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</si>
  <si>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</si>
  <si>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</si>
  <si>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</si>
  <si>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</si>
  <si>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</si>
  <si>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</si>
  <si>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</si>
  <si>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</si>
  <si>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</si>
  <si>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</si>
  <si>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</si>
  <si>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</si>
  <si>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</si>
  <si>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</si>
  <si>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</si>
  <si>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</si>
  <si>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</si>
  <si>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</si>
  <si>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</si>
  <si>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</si>
  <si>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</si>
  <si>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</si>
  <si>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</si>
  <si>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</si>
  <si>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</si>
  <si>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</si>
  <si>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</si>
  <si>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</si>
  <si>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</si>
  <si>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</si>
  <si>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</si>
  <si>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</si>
  <si>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</si>
  <si>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</si>
  <si>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</si>
  <si>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</si>
  <si>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</si>
  <si>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</si>
  <si>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</si>
  <si>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</si>
  <si>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</si>
  <si>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</si>
  <si>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</si>
  <si>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</si>
  <si>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</si>
  <si>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</si>
  <si>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</si>
  <si>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</si>
  <si>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</si>
  <si>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</si>
  <si>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</si>
  <si>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</si>
  <si>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</si>
  <si>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</si>
  <si>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</si>
  <si>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</si>
  <si>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</si>
  <si>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</si>
  <si>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</si>
  <si>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</si>
  <si>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</si>
  <si>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</si>
  <si>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</si>
  <si>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</si>
  <si>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</si>
  <si>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</si>
  <si>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</si>
  <si>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</si>
  <si>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</si>
  <si>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</si>
  <si>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</si>
  <si>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</si>
  <si>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</si>
  <si>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</si>
  <si>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</si>
  <si>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</si>
  <si>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</si>
  <si>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</si>
  <si>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</si>
  <si>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</si>
  <si>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</si>
  <si>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</si>
  <si>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</si>
  <si>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</si>
  <si>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</si>
  <si>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</si>
  <si>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</si>
  <si>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</si>
  <si>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</si>
  <si>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</si>
  <si>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</si>
  <si>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</si>
  <si>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</si>
  <si>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</si>
  <si>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</si>
  <si>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</si>
  <si>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</si>
  <si>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</si>
  <si>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</si>
  <si>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</si>
  <si>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</si>
  <si>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</si>
  <si>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</si>
  <si>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</si>
  <si>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</si>
  <si>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</si>
  <si>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</si>
  <si>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</si>
  <si>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</si>
  <si>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</si>
  <si>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</si>
  <si>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</si>
  <si>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</si>
  <si>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</si>
  <si>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</si>
  <si>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</si>
  <si>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</si>
  <si>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</si>
  <si>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</si>
  <si>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</si>
  <si>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</si>
  <si>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</si>
  <si>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</si>
  <si>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</si>
  <si>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</si>
  <si>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</si>
  <si>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</si>
  <si>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</si>
  <si>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</si>
  <si>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</si>
  <si>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</si>
  <si>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</si>
  <si>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</si>
  <si>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</si>
  <si>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</si>
  <si>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</si>
  <si>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</si>
  <si>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</si>
  <si>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</si>
  <si>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</si>
  <si>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</si>
  <si>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</si>
  <si>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</si>
  <si>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</si>
  <si>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ETS Article 21 - Downloaded data</t>
  </si>
  <si>
    <t>MT</t>
  </si>
  <si>
    <t>Q_1_1</t>
  </si>
  <si>
    <t>S01_InstitutionDetails</t>
  </si>
  <si>
    <t>NameAndDepartment</t>
  </si>
  <si>
    <t>text</t>
  </si>
  <si>
    <t>Malta Resources Authority</t>
  </si>
  <si>
    <t/>
  </si>
  <si>
    <t>ContactPersonName</t>
  </si>
  <si>
    <t>Saviour Vassallo</t>
  </si>
  <si>
    <t>ContactPersonJobTitle</t>
  </si>
  <si>
    <t>Senior Environment Protection Officer - Team Leader Climate Change Unit</t>
  </si>
  <si>
    <t>Address</t>
  </si>
  <si>
    <t>Millennia Building, Aldo Moro Road, Marsa MRS 9065</t>
  </si>
  <si>
    <t>InternationalTelephoneNumber</t>
  </si>
  <si>
    <t>35623850507</t>
  </si>
  <si>
    <t>EMail</t>
  </si>
  <si>
    <t>saviour.vassallo@mra.org.mt</t>
  </si>
  <si>
    <t>ReportingYear</t>
  </si>
  <si>
    <t>integer</t>
  </si>
  <si>
    <t>Q_2_1</t>
  </si>
  <si>
    <t>S02_CompetentAuthority</t>
  </si>
  <si>
    <t>CAName</t>
  </si>
  <si>
    <t>Treasury Department - Ministry for Finance and the Economy</t>
  </si>
  <si>
    <t>CAAbbreviation</t>
  </si>
  <si>
    <t>MRA</t>
  </si>
  <si>
    <t>TD-MFE</t>
  </si>
  <si>
    <t>CAType</t>
  </si>
  <si>
    <t>CATelephone</t>
  </si>
  <si>
    <t>35625697100</t>
  </si>
  <si>
    <t>CAEmail</t>
  </si>
  <si>
    <t>emissions_trading_scheme@mra.org.mt</t>
  </si>
  <si>
    <t>treasury.malta@gov.mt</t>
  </si>
  <si>
    <t>CAWebsite</t>
  </si>
  <si>
    <t>www.mra.org.mt</t>
  </si>
  <si>
    <t>www.finance.gov.mt</t>
  </si>
  <si>
    <t>S02_AccreditationBodyYesNo</t>
  </si>
  <si>
    <t>yesno</t>
  </si>
  <si>
    <t>S02_AccreditationBody</t>
  </si>
  <si>
    <t>AccBodyName</t>
  </si>
  <si>
    <t>National Accreditation Board-Malta</t>
  </si>
  <si>
    <t>AccBodyAbbreviation</t>
  </si>
  <si>
    <t>NAB-Malta</t>
  </si>
  <si>
    <t>AccBodyTelephone</t>
  </si>
  <si>
    <t>35623952510</t>
  </si>
  <si>
    <t>AccBodyEmail</t>
  </si>
  <si>
    <t>info@nabmalta.org.mt</t>
  </si>
  <si>
    <t>AccBodyWebsite</t>
  </si>
  <si>
    <t>www.nabmalta.org.mt</t>
  </si>
  <si>
    <t>CertificationBodySetUp</t>
  </si>
  <si>
    <t>S02_RegistryAdministrator</t>
  </si>
  <si>
    <t>RegAdminName</t>
  </si>
  <si>
    <t>RegAdminAbbreviation</t>
  </si>
  <si>
    <t>RegAdminTelephone</t>
  </si>
  <si>
    <t>35621220720</t>
  </si>
  <si>
    <t>RegAdminEmail</t>
  </si>
  <si>
    <t>RegAdminWebsite</t>
  </si>
  <si>
    <t>Q_2_2</t>
  </si>
  <si>
    <t>S02_CompetentAuthorityRoles</t>
  </si>
  <si>
    <t>CAForInstallationTask</t>
  </si>
  <si>
    <t>Not applicable.</t>
  </si>
  <si>
    <t>CAForAviationTask</t>
  </si>
  <si>
    <t>Q_2_3</t>
  </si>
  <si>
    <t>S02_CAFocalPoint</t>
  </si>
  <si>
    <t>CAArt70</t>
  </si>
  <si>
    <t>S02_CompetentAuthorityCoordination</t>
  </si>
  <si>
    <t>CACoordinationYesNo</t>
  </si>
  <si>
    <t>CACoordinationComment</t>
  </si>
  <si>
    <t>memo</t>
  </si>
  <si>
    <t>Q_2_4</t>
  </si>
  <si>
    <t>S02_InformationExchangeAccBodyAndCA</t>
  </si>
  <si>
    <t>InfoExchangeYesNo</t>
  </si>
  <si>
    <t>InfoExchangeComment</t>
  </si>
  <si>
    <t>It is pertinent to note that no local verifiers have been accredited by the NAB-Malta in respect of EU ETS, to date. Where relevant, the NAB-Malta and MRA exchange information as may be applicable.</t>
  </si>
  <si>
    <t xml:space="preserve">It is pertinent to note that no local verifiers have been accredited by the NAB-Malta in respect of EU ETS, to date. </t>
  </si>
  <si>
    <t>It is pertinent to note that no local verifiers have been accredited by the NAB-Malta in respect of EU ETS, to date.</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</si>
  <si>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</si>
  <si>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</si>
  <si>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</si>
  <si>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</si>
  <si>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</si>
  <si>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</si>
  <si>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</si>
  <si>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</si>
  <si>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</si>
  <si>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</si>
  <si>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</si>
  <si>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</si>
  <si>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</si>
  <si>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ClosedArt27a</t>
  </si>
  <si>
    <t>Q_3_3</t>
  </si>
  <si>
    <t>S03_AircraftAnnex1Activities</t>
  </si>
  <si>
    <t>NumberCommercialOperators</t>
  </si>
  <si>
    <t>NumberNonCommercialOperators</t>
  </si>
  <si>
    <t>NumberTotalOperators</t>
  </si>
  <si>
    <t>Q_4_1</t>
  </si>
  <si>
    <t>S04_IEDProcedureRequirementsIntegratedYes</t>
  </si>
  <si>
    <t>IntegrationYesNo</t>
  </si>
  <si>
    <t>Q_4_2</t>
  </si>
  <si>
    <t>S04_NationalLawPermitUpdate</t>
  </si>
  <si>
    <t>PermitUpdateNationalLawDetail</t>
  </si>
  <si>
    <t>The competent authority "may, at any time, revoke" a permit by issuing a notice of revocation which shall include the reasons for the revocation. National legislation does not specify reasons for revocation of permits.</t>
  </si>
  <si>
    <t>National legislation does not provide for expiry of a permit. A permit shall be surrendered in the case of "an operator who ceases to carry out all of the activities listed iun Schedule I [of Subsidiary Legislation 423.50] in all of the installations covered by a [...] permit".</t>
  </si>
  <si>
    <t>National legislation provides for updating of a permit in case of "any extension or reduction of the capacity of the installation" without however stipulating minimum or maximum thresholds (Subsidiary Legislation 435.50, Regulation 7).</t>
  </si>
  <si>
    <t>A permit is not required to be changed as a result of changes to the monitoring plan.</t>
  </si>
  <si>
    <t>Change in the name of the operator: a permit shall be updated when there is a change in the name of the operator of an installation.</t>
  </si>
  <si>
    <t>Transfer of a permit: a transfer of a permit requires updating of that permit, when a permit is transferred in whole. When a permit is transferred in part, the existing permit shall be updated accordingly, while a new permit is issued to the transferee.</t>
  </si>
  <si>
    <t>PermitUpdateTotalNumber</t>
  </si>
  <si>
    <t>Q_5_1</t>
  </si>
  <si>
    <t>AdditionalNationalLegislation</t>
  </si>
  <si>
    <t>AdditionalNationalGuidance</t>
  </si>
  <si>
    <t>Q_5_2</t>
  </si>
  <si>
    <t>MeasuresStreamline</t>
  </si>
  <si>
    <t>MeasuresStreamlineYesNo</t>
  </si>
  <si>
    <t>MeasuresStreamlineComments</t>
  </si>
  <si>
    <t>Activity data and other calculation parameters submitted by operators of installations in their annual emissions reports under the EU ETS is used as activity data for the purposes of the national GHG inventory. It is to note that national GHG inventory data (and thus, by virtue of its use, EU ETS data) is used for the compilation of the national Annual Emissions Accounts (EUROSTAT reporting).</t>
  </si>
  <si>
    <t xml:space="preserve">The national GHG inventory agency (which is the same organization responsible for the EU ETS) compares ETS data with national energy data for the purposes of the GHG inventory. </t>
  </si>
  <si>
    <t>Activity data and other calculation parameters submitted by operators of installations in their annual emissions reports under the EU ETS is used as activity data for the purposes of the national GHG inventory.</t>
  </si>
  <si>
    <t>Q_5_3</t>
  </si>
  <si>
    <t>CommissionTemplatesMRR</t>
  </si>
  <si>
    <t>ComplyMeasuresArt74</t>
  </si>
  <si>
    <t>Q_5_4</t>
  </si>
  <si>
    <t>AutomatedSystemInformationExchange</t>
  </si>
  <si>
    <t>Q_5_5</t>
  </si>
  <si>
    <t>S05_InstallationFuelConsEmissions</t>
  </si>
  <si>
    <t>FuelConsumption</t>
  </si>
  <si>
    <t>Q_5_7</t>
  </si>
  <si>
    <t>FuelAnnualEmissions</t>
  </si>
  <si>
    <t>Q_5_6</t>
  </si>
  <si>
    <t>S05_AggregateTotalEmissionsByCRF</t>
  </si>
  <si>
    <t>CRFCategory1</t>
  </si>
  <si>
    <t>TotalEmissionsTCo2e</t>
  </si>
  <si>
    <t>TotalCombustionEmissionsTCo2e</t>
  </si>
  <si>
    <t>TotalProcessEmissionsTCo2e</t>
  </si>
  <si>
    <t>S05_DefaultValues</t>
  </si>
  <si>
    <t>InstallationCategory</t>
  </si>
  <si>
    <t>FuelMaterialType</t>
  </si>
  <si>
    <t>Urea</t>
  </si>
  <si>
    <t>InstallationNumber</t>
  </si>
  <si>
    <t>Q_5_8</t>
  </si>
  <si>
    <t>S05_InstallationDifferentSamplingFrequency</t>
  </si>
  <si>
    <t>SamplingFuelMaterial</t>
  </si>
  <si>
    <t>CountInstallationsDiffFrequency</t>
  </si>
  <si>
    <t>MajorSourceStreams</t>
  </si>
  <si>
    <t>Q_5_11</t>
  </si>
  <si>
    <t>FallBackApproachApplied</t>
  </si>
  <si>
    <t>Q_5_13</t>
  </si>
  <si>
    <t>InherentCarbonTransferred</t>
  </si>
  <si>
    <t>Q_5_14</t>
  </si>
  <si>
    <t>ContinuousEmissionsMeasurement</t>
  </si>
  <si>
    <t>Q_5_15</t>
  </si>
  <si>
    <t>SustainabilityComplianceDemonstrate</t>
  </si>
  <si>
    <t>S05_BiomassInstallations</t>
  </si>
  <si>
    <t>Annex1Activity</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</si>
  <si>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</si>
  <si>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</si>
  <si>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</si>
  <si>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</si>
  <si>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</si>
  <si>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</si>
  <si>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</si>
  <si>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</si>
  <si>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</si>
  <si>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</si>
  <si>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</si>
  <si>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</si>
  <si>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</si>
  <si>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</si>
  <si>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</si>
  <si>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</si>
  <si>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</si>
  <si>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</si>
  <si>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</si>
  <si>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</si>
  <si>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</si>
  <si>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</si>
  <si>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</si>
  <si>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</si>
  <si>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</si>
  <si>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</si>
  <si>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</si>
  <si>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Q_5_23</t>
  </si>
  <si>
    <t>AircraftSimplifiedMonitoringArt13</t>
  </si>
  <si>
    <t>Q_6_1</t>
  </si>
  <si>
    <t>S06_TotalVerifiers</t>
  </si>
  <si>
    <t>CountVerifiersInstallations</t>
  </si>
  <si>
    <t>MSVerifiersInstallations</t>
  </si>
  <si>
    <t>EL</t>
  </si>
  <si>
    <t>CountVerifiersAviation</t>
  </si>
  <si>
    <t>MSVerifiersAviation</t>
  </si>
  <si>
    <t>DE, FR, LV</t>
  </si>
  <si>
    <t>Q_6_2</t>
  </si>
  <si>
    <t>S06_ApplicationInformationExchangeRequirements1</t>
  </si>
  <si>
    <t>FromOtherMS</t>
  </si>
  <si>
    <t>S06_ApplicationInformationExchangeRequirements3</t>
  </si>
  <si>
    <t>TimesSurveillanceRequested</t>
  </si>
  <si>
    <t>S06_ApplicationInformationExchangeRequirements4</t>
  </si>
  <si>
    <t>NumberOfIssues</t>
  </si>
  <si>
    <t>Q_6_3</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</si>
  <si>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</si>
  <si>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</si>
  <si>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</si>
  <si>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</si>
  <si>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</si>
  <si>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</si>
  <si>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</si>
  <si>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</si>
  <si>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</si>
  <si>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</si>
  <si>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</si>
  <si>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</si>
  <si>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</si>
  <si>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All annual emission reports are checked.</t>
  </si>
  <si>
    <t>SelectingCriteria</t>
  </si>
  <si>
    <t>S06_InstallationsVerificationReportChecksDetail2</t>
  </si>
  <si>
    <t>NumberOfReports</t>
  </si>
  <si>
    <t>S06_InstallationsVerificationReportChecksDetail3</t>
  </si>
  <si>
    <t>ActionsTaken</t>
  </si>
  <si>
    <t>Q_6_6</t>
  </si>
  <si>
    <t>InstallationVisitsWaivedHighEmitters</t>
  </si>
  <si>
    <t>InstallationsVisitsWaivedLowEmitters</t>
  </si>
  <si>
    <t>Q_6_7</t>
  </si>
  <si>
    <t>VirtualVisitsInstallations</t>
  </si>
  <si>
    <t>Q_6_8</t>
  </si>
  <si>
    <t>S06_NegativeOpinionAircraft</t>
  </si>
  <si>
    <t>Q_6_9</t>
  </si>
  <si>
    <t>AircraftOperatorsVerificationReportIssues</t>
  </si>
  <si>
    <t>Q_6_10</t>
  </si>
  <si>
    <t>AircraftOperatorsVerificationReportChecks</t>
  </si>
  <si>
    <t>S06_AircraftOperatorsVerificationEmissionReportChecks1</t>
  </si>
  <si>
    <t>All emission reports are analysed.</t>
  </si>
  <si>
    <t>S06_AircraftOperatorsVerificationEmissionReportChecks2</t>
  </si>
  <si>
    <t>S06_AircraftOperatorsVerificationEmissionReportChecks3</t>
  </si>
  <si>
    <t>Q_6_11</t>
  </si>
  <si>
    <t>AircraftOperatorsVisitsWaivedLowEmitters</t>
  </si>
  <si>
    <t>Q_6_12</t>
  </si>
  <si>
    <t>VirtualVisitsAircraft</t>
  </si>
  <si>
    <t>S06_VirtualVisitsAircraftDetails</t>
  </si>
  <si>
    <t>TypeForceMajeur</t>
  </si>
  <si>
    <t>Travel restrictions due to COVID-19 pandemic.</t>
  </si>
  <si>
    <t>NumberOfAirOperatorsVV</t>
  </si>
  <si>
    <t>AuthorityApproval</t>
  </si>
  <si>
    <t>ConfirmationConditionsMet</t>
  </si>
  <si>
    <t>Yes.</t>
  </si>
  <si>
    <t>Q_7_3</t>
  </si>
  <si>
    <t>AircraftOperatorsMandateArt15UseNumber</t>
  </si>
  <si>
    <t>Q_9_1</t>
  </si>
  <si>
    <t>InstallationOperatorFees</t>
  </si>
  <si>
    <t>Q_9_2</t>
  </si>
  <si>
    <t>AircraftOperatorFees</t>
  </si>
  <si>
    <t>Q_10_1</t>
  </si>
  <si>
    <t>S10_InstallationsComplianceMeasures</t>
  </si>
  <si>
    <t>ComplianceMeasuresYesNo</t>
  </si>
  <si>
    <t>ComplianceMeasuresComment</t>
  </si>
  <si>
    <t>Q_10_2</t>
  </si>
  <si>
    <t>S10_InstallationsInfringementPenalties</t>
  </si>
  <si>
    <t>MinFine</t>
  </si>
  <si>
    <t>MaxFine</t>
  </si>
  <si>
    <t>OtherPenalty</t>
  </si>
  <si>
    <t>Plus Euros 100-600 daily from date of a notice given by the competent authority to the operator.</t>
  </si>
  <si>
    <t>Various penalties envisaged according to the nature of the non-compliance.</t>
  </si>
  <si>
    <t>Plus Euros 100-600 daily from date oof a notice given by the competent authority to the operator.</t>
  </si>
  <si>
    <t>InfringementOther</t>
  </si>
  <si>
    <t>Failure to notify planned or effective changes to capacity, activity levels and operation of an installations by 31 December of the reporting period in accordance with Article 24 of Decision 2011/278/EU</t>
  </si>
  <si>
    <t>Failure to notify a change in the name of the operator of the installation.</t>
  </si>
  <si>
    <t>InstallationsNationalLaw</t>
  </si>
  <si>
    <t>Subsidiary Legislation 423.50 European Union Greenhouse Gas Emissions Trading System for Stationary Installations Regulations (Chap 423)</t>
  </si>
  <si>
    <t>Q_10_5</t>
  </si>
  <si>
    <t>S10_AircraftComplianceMeasures</t>
  </si>
  <si>
    <t>Q_10_6</t>
  </si>
  <si>
    <t>S10_AircraftInfringementPenalties</t>
  </si>
  <si>
    <t>Plus Euros 50-600 daily from date of a notice given by the competent authority to the aircraft operator.</t>
  </si>
  <si>
    <t>AircraftNationalLaw</t>
  </si>
  <si>
    <t>Subsidiary Legislation 423.51 European Union Greenhouse Gas Emissions Trading System for Aviation Regulations (Chap. 423)</t>
  </si>
  <si>
    <t>Q_10_9</t>
  </si>
  <si>
    <t>OperatingBanRequestMeasures</t>
  </si>
  <si>
    <t>A request for an operating ban would be a last resort measure once the normal enforcement measures stipulated by Maltese law fail to ensure compliance. These include the procedure leading to the imposition of administrative fines, which can be contested in, and reviewed by, Maltese courts.</t>
  </si>
  <si>
    <t>Q_11_1</t>
  </si>
  <si>
    <t>LegalNatureOfEmissionAllowance</t>
  </si>
  <si>
    <t>An allowances is considered to be an asset.</t>
  </si>
  <si>
    <t>Q_11_2</t>
  </si>
  <si>
    <t>AccountingTreatmentOfEmissionAllowances</t>
  </si>
  <si>
    <t>An allowance is considered to be an asset for purposes of accounting and any income deriving from the transfer of allowances is subject to taxation.</t>
  </si>
  <si>
    <t>Q_11_3</t>
  </si>
  <si>
    <t>VATdueEmissionAllowancesIssuance</t>
  </si>
  <si>
    <t>ReverseChargeMechanismEmissionAllowances</t>
  </si>
  <si>
    <t>Q_11_4</t>
  </si>
  <si>
    <t>EmissionAllowancesTaxed</t>
  </si>
  <si>
    <t>Q_12_1</t>
  </si>
  <si>
    <t>S12_FraudFreeAllocationOfAllowances</t>
  </si>
  <si>
    <t>DetailsOfProceduresInNationalLaw</t>
  </si>
  <si>
    <t>Arrangements and procedures are established in the Criminal Code, Chapter 9, of the Laws of Malta. These arrangements and procedures do not necessarily and specifically refer to matters relating to allowances.</t>
  </si>
  <si>
    <t>Penalties relating to fraudulent activities are established in the Criminal Code, Chapter 9, of the Laws of Malta.</t>
  </si>
  <si>
    <t>Q_12_3</t>
  </si>
  <si>
    <t>S12_InformationOnFraudActivities</t>
  </si>
  <si>
    <t>NumberOfActivities</t>
  </si>
  <si>
    <t>Q_13_1</t>
  </si>
  <si>
    <t>S13_AnyOtherIssues</t>
  </si>
  <si>
    <t>OtherInformationOrIssues</t>
  </si>
  <si>
    <t>It is to note that no installations in Malta are eligible or required to submit activity level changes reports.</t>
  </si>
  <si>
    <t>It is to note that Malta has not unilaterally included any activity or gases in accordance with Article 24.</t>
  </si>
  <si>
    <t>With reference to reported process emissions, in the national GHG inventory these are reported under category 2D3. This category is not listed in the drop down list provided in this template.</t>
  </si>
  <si>
    <t>To clarify that for this material type, the emission factor approved by the competent authority is derived from the stoichiometric equation in consultation with IPCC Guidelines.</t>
  </si>
  <si>
    <t>No installation was required to submit an improvement report in 2021 (for annual emissions reporting in respect of 2020)</t>
  </si>
  <si>
    <t>No aircraft operators were categorized as small emitters in respect of 2021 aviation activities.</t>
  </si>
  <si>
    <t>The response to this question takes into account aircraft operators who had EU ETS/CH ETS obligations, or CORSIA obligations, or both.</t>
  </si>
  <si>
    <t>It is to note that there are no EU ETS installations in Malta that are eligible for free allowances. To this effect, this section is not relevant for Malta.</t>
  </si>
  <si>
    <t>It is to note that the competent authority and the national registry administrator in Malta do not charge any fees to operators of installations or aircraft operators for purposes relating to the EU ETS, CH ETS or CORSIA.</t>
  </si>
  <si>
    <t>QuestionnaireSubQuestion</t>
  </si>
  <si>
    <t>Q_13_2</t>
  </si>
  <si>
    <t>QuestionnaireFilledConfirmation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</si>
</sst>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1"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69" fillId="0" borderId="0"/>
  </cellStyleXfs>
  <cellXfs count="562">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49" fontId="25" fillId="31" borderId="0" xfId="1" quotePrefix="1" applyNumberFormat="1" applyFont="1" applyFill="1" applyAlignment="1">
      <alignment horizontal="left"/>
    </xf>
    <xf numFmtId="0" fontId="65" fillId="0" borderId="0" xfId="0" applyFont="1" applyAlignment="1">
      <alignment horizontal="justify" vertical="top" wrapText="1"/>
    </xf>
    <xf numFmtId="0" fontId="66"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8"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69" fillId="0" borderId="0" xfId="93"/>
    <xf numFmtId="0" fontId="36" fillId="35" borderId="0" xfId="92"/>
    <xf numFmtId="0" fontId="42" fillId="0" borderId="0" xfId="0" applyFont="1" applyAlignment="1">
      <alignment horizontal="justify" vertical="top" wrapText="1"/>
    </xf>
    <xf numFmtId="0" fontId="70" fillId="26" borderId="0" xfId="0" applyFont="1" applyFill="1"/>
    <xf numFmtId="0" fontId="70" fillId="26" borderId="0" xfId="0" applyFont="1" applyFill="1" applyAlignment="1">
      <alignment horizontal="left"/>
    </xf>
    <xf numFmtId="14" fontId="70"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7" fillId="0" borderId="0" xfId="0" applyFont="1" applyAlignment="1">
      <alignment horizontal="justify"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9" fillId="0" borderId="0" xfId="0" applyFont="1" applyAlignment="1">
      <alignment horizontal="justify" vertical="top" wrapText="1"/>
    </xf>
    <xf numFmtId="0" fontId="28"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30" fillId="0" borderId="0" xfId="0" applyFont="1" applyAlignment="1">
      <alignment horizontal="justify" vertical="top" wrapText="1"/>
    </xf>
    <xf numFmtId="0" fontId="65" fillId="0" borderId="0" xfId="0" applyFont="1" applyAlignment="1">
      <alignment horizontal="justify" vertical="top" wrapText="1"/>
    </xf>
    <xf numFmtId="0" fontId="30" fillId="0" borderId="0" xfId="0" applyFont="1" applyAlignment="1">
      <alignment horizontal="left" vertical="top" wrapText="1"/>
    </xf>
    <xf numFmtId="0" fontId="0" fillId="0" borderId="0" xfId="0" applyAlignment="1">
      <alignment horizontal="left" vertical="top" wrapText="1"/>
    </xf>
    <xf numFmtId="0" fontId="67" fillId="0" borderId="0" xfId="90" applyFont="1" applyAlignment="1">
      <alignment horizontal="justify" wrapText="1"/>
    </xf>
    <xf numFmtId="0" fontId="30" fillId="0" borderId="0" xfId="0" applyFont="1" applyAlignment="1">
      <alignment horizontal="justify" wrapText="1"/>
    </xf>
    <xf numFmtId="0" fontId="27" fillId="0" borderId="0" xfId="0" applyFont="1" applyAlignment="1">
      <alignment horizontal="left" vertical="top" wrapText="1" indent="4"/>
    </xf>
    <xf numFmtId="0" fontId="27" fillId="0" borderId="0" xfId="0" applyFont="1" applyAlignment="1">
      <alignment horizontal="left" vertical="top" wrapText="1"/>
    </xf>
    <xf numFmtId="0" fontId="30" fillId="0" borderId="0" xfId="0" applyFont="1" applyAlignment="1">
      <alignment horizontal="left" vertical="top" wrapText="1" indent="2"/>
    </xf>
    <xf numFmtId="0" fontId="65" fillId="0" borderId="0" xfId="0" applyFont="1" applyAlignment="1">
      <alignment horizontal="left" vertical="top" wrapText="1" indent="2"/>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4" fillId="0" borderId="0" xfId="1" applyFont="1" applyAlignment="1">
      <alignment horizontal="center" vertical="top" wrapText="1"/>
    </xf>
    <xf numFmtId="0" fontId="50" fillId="31" borderId="0" xfId="1" applyFont="1" applyFill="1" applyAlignment="1">
      <alignment horizontal="left" vertical="center"/>
    </xf>
    <xf numFmtId="0" fontId="41" fillId="2" borderId="15" xfId="0" applyFont="1" applyFill="1" applyBorder="1" applyAlignment="1">
      <alignment horizontal="left" vertical="center" wrapText="1"/>
    </xf>
    <xf numFmtId="0" fontId="37" fillId="0" borderId="12" xfId="0" applyFont="1" applyBorder="1" applyAlignment="1">
      <alignment horizontal="left" vertical="center"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58" fillId="32" borderId="15" xfId="90" applyFont="1" applyFill="1" applyBorder="1" applyAlignment="1" applyProtection="1">
      <alignment horizontal="left" vertical="center"/>
    </xf>
    <xf numFmtId="0" fontId="44" fillId="0" borderId="0" xfId="0" applyFont="1" applyAlignment="1">
      <alignment horizontal="left" vertical="top" wrapText="1"/>
    </xf>
    <xf numFmtId="0" fontId="57" fillId="0" borderId="0" xfId="0" applyFont="1" applyAlignment="1">
      <alignment horizontal="left" vertical="top" wrapText="1"/>
    </xf>
    <xf numFmtId="0" fontId="41" fillId="27"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38" fillId="2" borderId="0" xfId="0" applyFont="1" applyFill="1" applyAlignment="1">
      <alignment horizontal="left" vertical="center" wrapText="1"/>
    </xf>
    <xf numFmtId="0" fontId="37" fillId="0" borderId="0" xfId="0" applyFont="1" applyAlignment="1">
      <alignment horizontal="left" vertical="center" wrapText="1"/>
    </xf>
    <xf numFmtId="0" fontId="52" fillId="31" borderId="1"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0" borderId="0" xfId="0" applyFont="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4" fillId="0" borderId="0" xfId="0" applyFont="1" applyAlignment="1">
      <alignment horizontal="left" vertical="center" wrapText="1"/>
    </xf>
    <xf numFmtId="0" fontId="57" fillId="0" borderId="0" xfId="0" applyFont="1" applyAlignment="1">
      <alignment horizontal="left" vertical="center" wrapText="1"/>
    </xf>
    <xf numFmtId="0" fontId="37" fillId="0" borderId="23" xfId="0" applyFont="1" applyBorder="1" applyAlignment="1">
      <alignment horizontal="left" vertical="center" wrapText="1"/>
    </xf>
    <xf numFmtId="0" fontId="43" fillId="0" borderId="25" xfId="0" applyFont="1" applyBorder="1" applyAlignment="1">
      <alignment horizontal="left" vertical="center"/>
    </xf>
    <xf numFmtId="0" fontId="41" fillId="32" borderId="15" xfId="1" applyFont="1" applyFill="1" applyBorder="1" applyAlignment="1">
      <alignment horizontal="left" vertical="center" wrapText="1"/>
    </xf>
    <xf numFmtId="0" fontId="37" fillId="32" borderId="12" xfId="0" applyFont="1" applyFill="1" applyBorder="1" applyAlignment="1">
      <alignment horizontal="left" vertical="center" wrapText="1"/>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32" borderId="1" xfId="0" applyFont="1" applyFill="1" applyBorder="1" applyAlignment="1">
      <alignment horizontal="left" vertical="center"/>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8" fillId="2" borderId="0" xfId="0" applyFont="1" applyFill="1" applyAlignment="1">
      <alignment horizontal="justify" vertical="top" wrapText="1"/>
    </xf>
    <xf numFmtId="0" fontId="37" fillId="0" borderId="0" xfId="0" applyFont="1" applyAlignment="1">
      <alignment horizontal="justify" vertical="top" wrapText="1"/>
    </xf>
    <xf numFmtId="0" fontId="37" fillId="0" borderId="23" xfId="0" applyFont="1" applyBorder="1" applyAlignment="1">
      <alignment horizontal="justify" vertical="top" wrapText="1"/>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52" fillId="31" borderId="15" xfId="0" applyFont="1" applyFill="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3" fontId="41" fillId="32" borderId="15" xfId="0" applyNumberFormat="1" applyFont="1" applyFill="1" applyBorder="1" applyAlignment="1">
      <alignment horizontal="right" vertical="top"/>
    </xf>
    <xf numFmtId="0" fontId="36" fillId="31" borderId="12" xfId="0" applyFont="1" applyFill="1" applyBorder="1" applyAlignment="1">
      <alignment horizontal="left" vertical="top" wrapText="1"/>
    </xf>
    <xf numFmtId="0" fontId="41" fillId="0" borderId="0" xfId="0" applyFont="1" applyAlignment="1">
      <alignment vertical="top" wrapText="1"/>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0" fontId="41" fillId="0" borderId="25" xfId="0" applyFont="1" applyBorder="1" applyAlignment="1">
      <alignment vertical="top" wrapText="1"/>
    </xf>
    <xf numFmtId="0" fontId="52" fillId="31" borderId="15" xfId="0" applyFont="1" applyFill="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15" xfId="0" applyFont="1" applyBorder="1" applyAlignment="1">
      <alignment horizontal="left" vertical="top" wrapText="1"/>
    </xf>
    <xf numFmtId="0" fontId="41" fillId="0" borderId="2" xfId="0" applyFont="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50" fillId="31" borderId="17" xfId="1" applyFont="1" applyFill="1" applyBorder="1" applyAlignment="1">
      <alignment horizontal="left"/>
    </xf>
    <xf numFmtId="0" fontId="50" fillId="31" borderId="18" xfId="1" applyFont="1" applyFill="1" applyBorder="1" applyAlignment="1">
      <alignment horizontal="left"/>
    </xf>
    <xf numFmtId="0" fontId="50" fillId="31" borderId="0" xfId="1" applyFont="1" applyFill="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36" fillId="31" borderId="2" xfId="0" applyFont="1" applyFill="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38" fillId="0" borderId="0" xfId="0" applyFont="1" applyAlignment="1">
      <alignment horizontal="justify"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0" fontId="41" fillId="32" borderId="12" xfId="1" applyFont="1" applyFill="1" applyBorder="1" applyAlignment="1">
      <alignment horizontal="left" vertical="center" wrapText="1"/>
    </xf>
    <xf numFmtId="0" fontId="41" fillId="32" borderId="2" xfId="0" applyFont="1" applyFill="1" applyBorder="1" applyAlignment="1">
      <alignment horizontal="left" vertical="center" wrapText="1"/>
    </xf>
    <xf numFmtId="0" fontId="37" fillId="32" borderId="2" xfId="0" applyFont="1" applyFill="1" applyBorder="1" applyAlignment="1">
      <alignment horizontal="left" vertical="center" wrapText="1"/>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1" fillId="0" borderId="1" xfId="0" applyFont="1" applyBorder="1" applyAlignment="1">
      <alignment horizontal="left" vertical="center" wrapText="1"/>
    </xf>
    <xf numFmtId="3" fontId="41" fillId="32" borderId="2" xfId="0" applyNumberFormat="1" applyFont="1" applyFill="1" applyBorder="1" applyAlignment="1">
      <alignment horizontal="right" vertical="center" wrapText="1"/>
    </xf>
    <xf numFmtId="3" fontId="41" fillId="32" borderId="12" xfId="0" applyNumberFormat="1" applyFont="1" applyFill="1" applyBorder="1" applyAlignment="1">
      <alignment horizontal="right" vertical="center" wrapText="1"/>
    </xf>
    <xf numFmtId="164" fontId="41" fillId="32" borderId="1" xfId="91" applyNumberFormat="1" applyFont="1" applyFill="1" applyBorder="1" applyAlignment="1" applyProtection="1">
      <alignment horizontal="right" vertical="center"/>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52" fillId="31" borderId="1" xfId="0" applyFont="1" applyFill="1" applyBorder="1" applyAlignment="1">
      <alignment vertical="top"/>
    </xf>
    <xf numFmtId="0" fontId="41" fillId="0" borderId="1" xfId="0" applyFont="1" applyBorder="1" applyAlignment="1">
      <alignment horizontal="left" vertical="center"/>
    </xf>
    <xf numFmtId="0" fontId="44" fillId="0" borderId="0" xfId="0" applyFont="1" applyAlignment="1">
      <alignment horizontal="justify" vertical="top" wrapText="1"/>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0" fontId="52" fillId="31" borderId="1"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0" fontId="36" fillId="31" borderId="1" xfId="0" applyFont="1" applyFill="1" applyBorder="1" applyAlignment="1">
      <alignment horizontal="left" vertical="top" wrapText="1"/>
    </xf>
    <xf numFmtId="3" fontId="41" fillId="32" borderId="1" xfId="91" applyNumberFormat="1" applyFont="1" applyFill="1" applyBorder="1" applyAlignment="1" applyProtection="1">
      <alignment horizontal="right" vertical="center" wrapText="1"/>
    </xf>
    <xf numFmtId="0" fontId="41" fillId="32" borderId="1" xfId="0" applyFont="1" applyFill="1" applyBorder="1" applyAlignment="1">
      <alignment horizontal="justify" vertical="top"/>
    </xf>
    <xf numFmtId="0" fontId="43" fillId="2" borderId="0" xfId="1" applyFont="1" applyFill="1" applyAlignment="1">
      <alignment horizontal="left" wrapText="1"/>
    </xf>
    <xf numFmtId="0" fontId="37" fillId="0" borderId="0" xfId="0" applyFont="1" applyAlignment="1">
      <alignment horizontal="left" wrapText="1"/>
    </xf>
    <xf numFmtId="0" fontId="36" fillId="31" borderId="2" xfId="0" applyFont="1" applyFill="1" applyBorder="1" applyAlignment="1">
      <alignment vertical="top" wrapText="1"/>
    </xf>
    <xf numFmtId="0" fontId="57" fillId="0" borderId="0" xfId="0" applyFont="1" applyAlignment="1">
      <alignment horizontal="justify"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43" fillId="0" borderId="0" xfId="1" applyFont="1" applyAlignment="1">
      <alignment horizontal="left" wrapText="1"/>
    </xf>
    <xf numFmtId="0" fontId="44" fillId="0" borderId="0" xfId="0" applyFont="1" applyAlignment="1">
      <alignment horizontal="left" vertical="top"/>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32" borderId="1" xfId="1" applyFont="1" applyFill="1" applyBorder="1" applyAlignment="1">
      <alignment horizontal="left" vertical="center"/>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62" fillId="0" borderId="0" xfId="0" applyFont="1" applyAlignment="1">
      <alignment horizontal="left" wrapText="1"/>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50" fillId="31" borderId="29" xfId="1" applyFont="1" applyFill="1" applyBorder="1" applyAlignment="1">
      <alignment horizontal="left"/>
    </xf>
    <xf numFmtId="0" fontId="41" fillId="32" borderId="1" xfId="0" applyFont="1" applyFill="1" applyBorder="1" applyAlignment="1">
      <alignment horizontal="left" vertical="center" wrapText="1"/>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37" fillId="0" borderId="0" xfId="0" applyFont="1" applyAlignment="1">
      <alignment vertical="top" wrapText="1"/>
    </xf>
    <xf numFmtId="0" fontId="37" fillId="0" borderId="25" xfId="0" applyFont="1" applyBorder="1" applyAlignment="1">
      <alignment vertical="top" wrapText="1"/>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0" fontId="52" fillId="31" borderId="1" xfId="1" applyFont="1" applyFill="1" applyBorder="1" applyAlignment="1">
      <alignment vertical="top"/>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0" fontId="55" fillId="0" borderId="25" xfId="0" applyFont="1" applyBorder="1" applyAlignment="1">
      <alignment vertical="top"/>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4" fillId="0" borderId="0" xfId="0" quotePrefix="1" applyFont="1" applyAlignment="1">
      <alignment horizontal="left" vertical="top"/>
    </xf>
    <xf numFmtId="0" fontId="38" fillId="2" borderId="28" xfId="0" applyFont="1" applyFill="1" applyBorder="1" applyAlignment="1">
      <alignment horizontal="justify" vertical="top" wrapText="1"/>
    </xf>
    <xf numFmtId="3" fontId="37"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43" fillId="0" borderId="0" xfId="1" applyFont="1" applyAlignment="1">
      <alignment horizontal="left" vertical="top"/>
    </xf>
    <xf numFmtId="0" fontId="41" fillId="32" borderId="15" xfId="0" applyFont="1" applyFill="1" applyBorder="1" applyAlignment="1">
      <alignment vertical="top"/>
    </xf>
    <xf numFmtId="0" fontId="41" fillId="32" borderId="2" xfId="0" applyFont="1" applyFill="1" applyBorder="1" applyAlignment="1">
      <alignment vertical="top"/>
    </xf>
    <xf numFmtId="0" fontId="41" fillId="32" borderId="12" xfId="0" applyFont="1" applyFill="1" applyBorder="1" applyAlignment="1">
      <alignmen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41" fillId="31" borderId="12" xfId="0" applyFont="1" applyFill="1" applyBorder="1" applyAlignment="1">
      <alignment horizontal="left" vertical="top" wrapText="1"/>
    </xf>
    <xf numFmtId="0" fontId="43" fillId="0" borderId="19" xfId="1" applyFont="1" applyBorder="1" applyAlignment="1">
      <alignment horizontal="left" vertical="top"/>
    </xf>
    <xf numFmtId="0" fontId="41" fillId="32" borderId="15" xfId="0" applyFont="1" applyFill="1" applyBorder="1" applyAlignment="1">
      <alignment vertical="top" wrapText="1"/>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0" fontId="55" fillId="0" borderId="0" xfId="0" quotePrefix="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3" fontId="41" fillId="32" borderId="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42" fillId="32" borderId="15" xfId="0" applyFont="1" applyFill="1" applyBorder="1" applyAlignment="1">
      <alignment horizontal="left" vertical="center" wrapText="1"/>
    </xf>
    <xf numFmtId="0" fontId="46" fillId="0" borderId="25" xfId="0" applyFont="1" applyBorder="1" applyAlignment="1">
      <alignment vertical="center"/>
    </xf>
    <xf numFmtId="0" fontId="46" fillId="0" borderId="25" xfId="0" applyFont="1" applyBorder="1" applyAlignment="1">
      <alignment vertical="top"/>
    </xf>
    <xf numFmtId="0" fontId="36" fillId="31" borderId="14" xfId="0" applyFont="1" applyFill="1" applyBorder="1" applyAlignment="1">
      <alignment horizontal="left" vertical="top"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52" fillId="31" borderId="1" xfId="0" applyFont="1" applyFill="1" applyBorder="1" applyAlignment="1">
      <alignment horizontal="left" vertical="top"/>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center" vertical="top"/>
    </xf>
    <xf numFmtId="0" fontId="41" fillId="32" borderId="12" xfId="0" applyFont="1" applyFill="1" applyBorder="1" applyAlignment="1">
      <alignment horizontal="center" vertical="top"/>
    </xf>
    <xf numFmtId="0" fontId="41" fillId="32" borderId="2" xfId="0" applyFont="1" applyFill="1" applyBorder="1" applyAlignment="1">
      <alignment horizontal="center" vertical="top"/>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356"/>
  <sheetViews>
    <sheetView topLeftCell="A328" workbookViewId="0">
      <selection activeCell="A356" sqref="A356"/>
    </sheetView>
  </sheetViews>
  <sheetFormatPr defaultColWidth="9.109375" defaultRowHeight="14.4" x14ac:dyDescent="0.3"/>
  <cols>
    <col min="15" max="16384" width="9.109375" style="184"/>
  </cols>
  <sheetData>
    <row r="1" spans="1:18" x14ac:dyDescent="0.3">
      <c r="A1" t="s">
        <v>1759</v>
      </c>
      <c r="B1" t="s">
        <v>1727</v>
      </c>
      <c r="C1" t="s">
        <v>1728</v>
      </c>
      <c r="D1" t="s">
        <v>1729</v>
      </c>
      <c r="E1" t="s">
        <v>1730</v>
      </c>
      <c r="F1" t="s">
        <v>1731</v>
      </c>
      <c r="G1" t="s">
        <v>1732</v>
      </c>
      <c r="H1" t="s">
        <v>1733</v>
      </c>
      <c r="I1" t="s">
        <v>1734</v>
      </c>
      <c r="J1" t="s">
        <v>1735</v>
      </c>
      <c r="K1" t="s">
        <v>1736</v>
      </c>
      <c r="L1" t="s">
        <v>1737</v>
      </c>
      <c r="M1" t="s">
        <v>1758</v>
      </c>
      <c r="N1" t="s">
        <v>1757</v>
      </c>
      <c r="O1" s="185" t="s">
        <v>1761</v>
      </c>
      <c r="P1" s="185" t="s">
        <v>1760</v>
      </c>
      <c r="R1" s="184" t="s">
        <v>1763</v>
      </c>
    </row>
    <row r="2" spans="1:18" x14ac:dyDescent="0.3">
      <c r="A2" t="s">
        <v>1793</v>
      </c>
      <c r="B2" t="s">
        <v>1794</v>
      </c>
      <c r="C2" t="s">
        <v>1795</v>
      </c>
      <c r="D2">
        <v>0</v>
      </c>
      <c r="E2" t="s">
        <v>1447</v>
      </c>
      <c r="F2" t="s">
        <v>1796</v>
      </c>
      <c r="G2" t="s">
        <v>1797</v>
      </c>
      <c r="H2" t="s">
        <v>1798</v>
      </c>
      <c r="I2" t="s">
        <v>1799</v>
      </c>
      <c r="J2" t="s">
        <v>1799</v>
      </c>
      <c r="K2" t="s">
        <v>1799</v>
      </c>
      <c r="L2" t="s">
        <v>1799</v>
      </c>
      <c r="M2" t="s">
        <v>1799</v>
      </c>
      <c r="N2" t="s">
        <v>1799</v>
      </c>
      <c r="O2" s="184" t="str">
        <f>"["&amp;$C2&amp;"]["&amp;$D2&amp;"]["&amp;$F2&amp;"]"</f>
        <v>[S01_InstitutionDetails][0][NameAndDepartment]</v>
      </c>
    </row>
    <row r="3" spans="1:18" x14ac:dyDescent="0.3">
      <c r="A3" t="s">
        <v>1793</v>
      </c>
      <c r="B3" t="s">
        <v>1794</v>
      </c>
      <c r="C3" t="s">
        <v>1795</v>
      </c>
      <c r="D3">
        <v>0</v>
      </c>
      <c r="E3" t="s">
        <v>1447</v>
      </c>
      <c r="F3" t="s">
        <v>1800</v>
      </c>
      <c r="G3" t="s">
        <v>1797</v>
      </c>
      <c r="H3" t="s">
        <v>1801</v>
      </c>
      <c r="I3" t="s">
        <v>1799</v>
      </c>
      <c r="J3" t="s">
        <v>1799</v>
      </c>
      <c r="K3" t="s">
        <v>1799</v>
      </c>
      <c r="L3" t="s">
        <v>1799</v>
      </c>
      <c r="M3" t="s">
        <v>1799</v>
      </c>
      <c r="N3" t="s">
        <v>1799</v>
      </c>
      <c r="O3" s="184" t="str">
        <f>"["&amp;$C3&amp;"]["&amp;$D3&amp;"]["&amp;$F3&amp;"]"</f>
        <v>[S01_InstitutionDetails][0][ContactPersonName]</v>
      </c>
    </row>
    <row r="4" spans="1:18" x14ac:dyDescent="0.3">
      <c r="A4" t="s">
        <v>1793</v>
      </c>
      <c r="B4" t="s">
        <v>1794</v>
      </c>
      <c r="C4" t="s">
        <v>1795</v>
      </c>
      <c r="D4">
        <v>0</v>
      </c>
      <c r="E4" t="s">
        <v>1447</v>
      </c>
      <c r="F4" t="s">
        <v>1802</v>
      </c>
      <c r="G4" t="s">
        <v>1797</v>
      </c>
      <c r="H4" t="s">
        <v>1803</v>
      </c>
      <c r="I4" t="s">
        <v>1799</v>
      </c>
      <c r="J4" t="s">
        <v>1799</v>
      </c>
      <c r="K4" t="s">
        <v>1799</v>
      </c>
      <c r="L4" t="s">
        <v>1799</v>
      </c>
      <c r="M4" t="s">
        <v>1799</v>
      </c>
      <c r="N4" t="s">
        <v>1799</v>
      </c>
      <c r="O4" s="184" t="str">
        <f>"["&amp;$C4&amp;"]["&amp;$D4&amp;"]["&amp;$F4&amp;"]"</f>
        <v>[S01_InstitutionDetails][0][ContactPersonJobTitle]</v>
      </c>
    </row>
    <row r="5" spans="1:18" x14ac:dyDescent="0.3">
      <c r="A5" t="s">
        <v>1793</v>
      </c>
      <c r="B5" t="s">
        <v>1794</v>
      </c>
      <c r="C5" t="s">
        <v>1795</v>
      </c>
      <c r="D5">
        <v>0</v>
      </c>
      <c r="E5" t="s">
        <v>1447</v>
      </c>
      <c r="F5" t="s">
        <v>1804</v>
      </c>
      <c r="G5" t="s">
        <v>1797</v>
      </c>
      <c r="H5" t="s">
        <v>1805</v>
      </c>
      <c r="I5" t="s">
        <v>1799</v>
      </c>
      <c r="J5" t="s">
        <v>1799</v>
      </c>
      <c r="K5" t="s">
        <v>1799</v>
      </c>
      <c r="L5" t="s">
        <v>1799</v>
      </c>
      <c r="M5" t="s">
        <v>1799</v>
      </c>
      <c r="N5" t="s">
        <v>1799</v>
      </c>
      <c r="O5" s="184" t="str">
        <f>"["&amp;$C5&amp;"]["&amp;$D5&amp;"]["&amp;$F5&amp;"]"</f>
        <v>[S01_InstitutionDetails][0][Address]</v>
      </c>
    </row>
    <row r="6" spans="1:18" x14ac:dyDescent="0.3">
      <c r="A6" t="s">
        <v>1793</v>
      </c>
      <c r="B6" t="s">
        <v>1794</v>
      </c>
      <c r="C6" t="s">
        <v>1795</v>
      </c>
      <c r="D6">
        <v>0</v>
      </c>
      <c r="E6" t="s">
        <v>1447</v>
      </c>
      <c r="F6" t="s">
        <v>1806</v>
      </c>
      <c r="G6" t="s">
        <v>1797</v>
      </c>
      <c r="H6" t="s">
        <v>1807</v>
      </c>
      <c r="I6" t="s">
        <v>1799</v>
      </c>
      <c r="J6" t="s">
        <v>1799</v>
      </c>
      <c r="K6" t="s">
        <v>1799</v>
      </c>
      <c r="L6" t="s">
        <v>1799</v>
      </c>
      <c r="M6" t="s">
        <v>1799</v>
      </c>
      <c r="N6" t="s">
        <v>1799</v>
      </c>
      <c r="O6" s="184" t="str">
        <f>"["&amp;$C6&amp;"]["&amp;$D6&amp;"]["&amp;$F6&amp;"]"</f>
        <v>[S01_InstitutionDetails][0][InternationalTelephoneNumber]</v>
      </c>
    </row>
    <row r="7" spans="1:18" x14ac:dyDescent="0.3">
      <c r="A7" t="s">
        <v>1793</v>
      </c>
      <c r="B7" t="s">
        <v>1794</v>
      </c>
      <c r="C7" t="s">
        <v>1795</v>
      </c>
      <c r="D7">
        <v>0</v>
      </c>
      <c r="E7" t="s">
        <v>1447</v>
      </c>
      <c r="F7" t="s">
        <v>1808</v>
      </c>
      <c r="G7" t="s">
        <v>1797</v>
      </c>
      <c r="H7" t="s">
        <v>1809</v>
      </c>
      <c r="I7" t="s">
        <v>1799</v>
      </c>
      <c r="J7" t="s">
        <v>1799</v>
      </c>
      <c r="K7" t="s">
        <v>1799</v>
      </c>
      <c r="L7" t="s">
        <v>1799</v>
      </c>
      <c r="M7" t="s">
        <v>1799</v>
      </c>
      <c r="N7" t="s">
        <v>1799</v>
      </c>
      <c r="O7" s="184" t="str">
        <f>"["&amp;$C7&amp;"]["&amp;$D7&amp;"]["&amp;$F7&amp;"]"</f>
        <v>[S01_InstitutionDetails][0][EMail]</v>
      </c>
    </row>
    <row r="8" spans="1:18" x14ac:dyDescent="0.3">
      <c r="A8" t="s">
        <v>1793</v>
      </c>
      <c r="B8" t="s">
        <v>1794</v>
      </c>
      <c r="C8" t="s">
        <v>1795</v>
      </c>
      <c r="D8">
        <v>0</v>
      </c>
      <c r="E8" t="s">
        <v>1447</v>
      </c>
      <c r="F8" t="s">
        <v>1810</v>
      </c>
      <c r="G8" t="s">
        <v>1811</v>
      </c>
      <c r="H8" t="s">
        <v>1799</v>
      </c>
      <c r="I8">
        <v>2021</v>
      </c>
      <c r="J8" t="s">
        <v>1799</v>
      </c>
      <c r="K8" t="s">
        <v>1799</v>
      </c>
      <c r="L8" t="s">
        <v>1799</v>
      </c>
      <c r="M8" t="s">
        <v>1799</v>
      </c>
      <c r="N8" t="s">
        <v>1799</v>
      </c>
      <c r="O8" s="184" t="str">
        <f>"["&amp;$C8&amp;"]["&amp;$D8&amp;"]["&amp;$F8&amp;"]"</f>
        <v>[S01_InstitutionDetails][0][ReportingYear]</v>
      </c>
    </row>
    <row r="9" spans="1:18" x14ac:dyDescent="0.3">
      <c r="A9" t="s">
        <v>1793</v>
      </c>
      <c r="B9" t="s">
        <v>1812</v>
      </c>
      <c r="C9" t="s">
        <v>1813</v>
      </c>
      <c r="D9">
        <v>1</v>
      </c>
      <c r="E9" t="s">
        <v>1447</v>
      </c>
      <c r="F9" t="s">
        <v>1814</v>
      </c>
      <c r="G9" t="s">
        <v>1797</v>
      </c>
      <c r="H9" t="s">
        <v>1798</v>
      </c>
      <c r="I9" t="s">
        <v>1799</v>
      </c>
      <c r="J9" t="s">
        <v>1799</v>
      </c>
      <c r="K9" t="s">
        <v>1799</v>
      </c>
      <c r="L9" t="s">
        <v>1799</v>
      </c>
      <c r="M9" t="s">
        <v>1799</v>
      </c>
      <c r="N9" t="s">
        <v>1799</v>
      </c>
      <c r="O9" s="184" t="str">
        <f>"["&amp;$C9&amp;"]["&amp;$D9&amp;"]["&amp;$F9&amp;"]"</f>
        <v>[S02_CompetentAuthority][1][CAName]</v>
      </c>
    </row>
    <row r="10" spans="1:18" x14ac:dyDescent="0.3">
      <c r="A10" t="s">
        <v>1793</v>
      </c>
      <c r="B10" t="s">
        <v>1812</v>
      </c>
      <c r="C10" t="s">
        <v>1813</v>
      </c>
      <c r="D10">
        <v>2</v>
      </c>
      <c r="E10" t="s">
        <v>1447</v>
      </c>
      <c r="F10" t="s">
        <v>1814</v>
      </c>
      <c r="G10" t="s">
        <v>1797</v>
      </c>
      <c r="H10" t="s">
        <v>1815</v>
      </c>
      <c r="I10" t="s">
        <v>1799</v>
      </c>
      <c r="J10" t="s">
        <v>1799</v>
      </c>
      <c r="K10" t="s">
        <v>1799</v>
      </c>
      <c r="L10" t="s">
        <v>1799</v>
      </c>
      <c r="M10" t="s">
        <v>1799</v>
      </c>
      <c r="N10" t="s">
        <v>1799</v>
      </c>
      <c r="O10" s="184" t="str">
        <f>"["&amp;$C10&amp;"]["&amp;$D10&amp;"]["&amp;$F10&amp;"]"</f>
        <v>[S02_CompetentAuthority][2][CAName]</v>
      </c>
    </row>
    <row r="11" spans="1:18" x14ac:dyDescent="0.3">
      <c r="A11" t="s">
        <v>1793</v>
      </c>
      <c r="B11" t="s">
        <v>1812</v>
      </c>
      <c r="C11" t="s">
        <v>1813</v>
      </c>
      <c r="D11">
        <v>1</v>
      </c>
      <c r="E11" t="s">
        <v>1447</v>
      </c>
      <c r="F11" t="s">
        <v>1816</v>
      </c>
      <c r="G11" t="s">
        <v>1797</v>
      </c>
      <c r="H11" t="s">
        <v>1817</v>
      </c>
      <c r="I11" t="s">
        <v>1799</v>
      </c>
      <c r="J11" t="s">
        <v>1799</v>
      </c>
      <c r="K11" t="s">
        <v>1799</v>
      </c>
      <c r="L11" t="s">
        <v>1799</v>
      </c>
      <c r="M11" t="s">
        <v>1799</v>
      </c>
      <c r="N11" t="s">
        <v>1799</v>
      </c>
      <c r="O11" s="184" t="str">
        <f>"["&amp;$C11&amp;"]["&amp;$D11&amp;"]["&amp;$F11&amp;"]"</f>
        <v>[S02_CompetentAuthority][1][CAAbbreviation]</v>
      </c>
    </row>
    <row r="12" spans="1:18" x14ac:dyDescent="0.3">
      <c r="A12" t="s">
        <v>1793</v>
      </c>
      <c r="B12" t="s">
        <v>1812</v>
      </c>
      <c r="C12" t="s">
        <v>1813</v>
      </c>
      <c r="D12">
        <v>2</v>
      </c>
      <c r="E12" t="s">
        <v>1447</v>
      </c>
      <c r="F12" t="s">
        <v>1816</v>
      </c>
      <c r="G12" t="s">
        <v>1797</v>
      </c>
      <c r="H12" t="s">
        <v>1818</v>
      </c>
      <c r="I12" t="s">
        <v>1799</v>
      </c>
      <c r="J12" t="s">
        <v>1799</v>
      </c>
      <c r="K12" t="s">
        <v>1799</v>
      </c>
      <c r="L12" t="s">
        <v>1799</v>
      </c>
      <c r="M12" t="s">
        <v>1799</v>
      </c>
      <c r="N12" t="s">
        <v>1799</v>
      </c>
      <c r="O12" s="184" t="str">
        <f>"["&amp;$C12&amp;"]["&amp;$D12&amp;"]["&amp;$F12&amp;"]"</f>
        <v>[S02_CompetentAuthority][2][CAAbbreviation]</v>
      </c>
    </row>
    <row r="13" spans="1:18" x14ac:dyDescent="0.3">
      <c r="A13" t="s">
        <v>1793</v>
      </c>
      <c r="B13" t="s">
        <v>1812</v>
      </c>
      <c r="C13" t="s">
        <v>1813</v>
      </c>
      <c r="D13">
        <v>1</v>
      </c>
      <c r="E13" t="s">
        <v>1447</v>
      </c>
      <c r="F13" t="s">
        <v>1819</v>
      </c>
      <c r="G13" t="s">
        <v>1797</v>
      </c>
      <c r="H13" t="s">
        <v>1422</v>
      </c>
      <c r="I13" t="s">
        <v>1799</v>
      </c>
      <c r="J13" t="s">
        <v>1799</v>
      </c>
      <c r="K13" t="s">
        <v>1799</v>
      </c>
      <c r="L13" t="s">
        <v>1799</v>
      </c>
      <c r="M13" t="s">
        <v>1799</v>
      </c>
      <c r="N13" t="s">
        <v>1799</v>
      </c>
      <c r="O13" s="184" t="str">
        <f>"["&amp;$C13&amp;"]["&amp;$D13&amp;"]["&amp;$F13&amp;"]"</f>
        <v>[S02_CompetentAuthority][1][CAType]</v>
      </c>
    </row>
    <row r="14" spans="1:18" x14ac:dyDescent="0.3">
      <c r="A14" t="s">
        <v>1793</v>
      </c>
      <c r="B14" t="s">
        <v>1812</v>
      </c>
      <c r="C14" t="s">
        <v>1813</v>
      </c>
      <c r="D14">
        <v>1</v>
      </c>
      <c r="E14" t="s">
        <v>1447</v>
      </c>
      <c r="F14" t="s">
        <v>1820</v>
      </c>
      <c r="G14" t="s">
        <v>1797</v>
      </c>
      <c r="H14" t="s">
        <v>1807</v>
      </c>
      <c r="I14" t="s">
        <v>1799</v>
      </c>
      <c r="J14" t="s">
        <v>1799</v>
      </c>
      <c r="K14" t="s">
        <v>1799</v>
      </c>
      <c r="L14" t="s">
        <v>1799</v>
      </c>
      <c r="M14" t="s">
        <v>1799</v>
      </c>
      <c r="N14" t="s">
        <v>1799</v>
      </c>
      <c r="O14" s="184" t="str">
        <f>"["&amp;$C14&amp;"]["&amp;$D14&amp;"]["&amp;$F14&amp;"]"</f>
        <v>[S02_CompetentAuthority][1][CATelephone]</v>
      </c>
    </row>
    <row r="15" spans="1:18" x14ac:dyDescent="0.3">
      <c r="A15" t="s">
        <v>1793</v>
      </c>
      <c r="B15" t="s">
        <v>1812</v>
      </c>
      <c r="C15" t="s">
        <v>1813</v>
      </c>
      <c r="D15">
        <v>2</v>
      </c>
      <c r="E15" t="s">
        <v>1447</v>
      </c>
      <c r="F15" t="s">
        <v>1820</v>
      </c>
      <c r="G15" t="s">
        <v>1797</v>
      </c>
      <c r="H15" t="s">
        <v>1821</v>
      </c>
      <c r="I15" t="s">
        <v>1799</v>
      </c>
      <c r="J15" t="s">
        <v>1799</v>
      </c>
      <c r="K15" t="s">
        <v>1799</v>
      </c>
      <c r="L15" t="s">
        <v>1799</v>
      </c>
      <c r="M15" t="s">
        <v>1799</v>
      </c>
      <c r="N15" t="s">
        <v>1799</v>
      </c>
      <c r="O15" s="184" t="str">
        <f>"["&amp;$C15&amp;"]["&amp;$D15&amp;"]["&amp;$F15&amp;"]"</f>
        <v>[S02_CompetentAuthority][2][CATelephone]</v>
      </c>
    </row>
    <row r="16" spans="1:18" x14ac:dyDescent="0.3">
      <c r="A16" t="s">
        <v>1793</v>
      </c>
      <c r="B16" t="s">
        <v>1812</v>
      </c>
      <c r="C16" t="s">
        <v>1813</v>
      </c>
      <c r="D16">
        <v>1</v>
      </c>
      <c r="E16" t="s">
        <v>1447</v>
      </c>
      <c r="F16" t="s">
        <v>1822</v>
      </c>
      <c r="G16" t="s">
        <v>1797</v>
      </c>
      <c r="H16" t="s">
        <v>1823</v>
      </c>
      <c r="I16" t="s">
        <v>1799</v>
      </c>
      <c r="J16" t="s">
        <v>1799</v>
      </c>
      <c r="K16" t="s">
        <v>1799</v>
      </c>
      <c r="L16" t="s">
        <v>1799</v>
      </c>
      <c r="M16" t="s">
        <v>1799</v>
      </c>
      <c r="N16" t="s">
        <v>1799</v>
      </c>
      <c r="O16" s="184" t="str">
        <f>"["&amp;$C16&amp;"]["&amp;$D16&amp;"]["&amp;$F16&amp;"]"</f>
        <v>[S02_CompetentAuthority][1][CAEmail]</v>
      </c>
    </row>
    <row r="17" spans="1:15" x14ac:dyDescent="0.3">
      <c r="A17" t="s">
        <v>1793</v>
      </c>
      <c r="B17" t="s">
        <v>1812</v>
      </c>
      <c r="C17" t="s">
        <v>1813</v>
      </c>
      <c r="D17">
        <v>2</v>
      </c>
      <c r="E17" t="s">
        <v>1447</v>
      </c>
      <c r="F17" t="s">
        <v>1822</v>
      </c>
      <c r="G17" t="s">
        <v>1797</v>
      </c>
      <c r="H17" t="s">
        <v>1824</v>
      </c>
      <c r="I17" t="s">
        <v>1799</v>
      </c>
      <c r="J17" t="s">
        <v>1799</v>
      </c>
      <c r="K17" t="s">
        <v>1799</v>
      </c>
      <c r="L17" t="s">
        <v>1799</v>
      </c>
      <c r="M17" t="s">
        <v>1799</v>
      </c>
      <c r="N17" t="s">
        <v>1799</v>
      </c>
      <c r="O17" s="184" t="str">
        <f>"["&amp;$C17&amp;"]["&amp;$D17&amp;"]["&amp;$F17&amp;"]"</f>
        <v>[S02_CompetentAuthority][2][CAEmail]</v>
      </c>
    </row>
    <row r="18" spans="1:15" x14ac:dyDescent="0.3">
      <c r="A18" t="s">
        <v>1793</v>
      </c>
      <c r="B18" t="s">
        <v>1812</v>
      </c>
      <c r="C18" t="s">
        <v>1813</v>
      </c>
      <c r="D18">
        <v>1</v>
      </c>
      <c r="E18" t="s">
        <v>1447</v>
      </c>
      <c r="F18" t="s">
        <v>1825</v>
      </c>
      <c r="G18" t="s">
        <v>1797</v>
      </c>
      <c r="H18" t="s">
        <v>1826</v>
      </c>
      <c r="I18" t="s">
        <v>1799</v>
      </c>
      <c r="J18" t="s">
        <v>1799</v>
      </c>
      <c r="K18" t="s">
        <v>1799</v>
      </c>
      <c r="L18" t="s">
        <v>1799</v>
      </c>
      <c r="M18" t="s">
        <v>1799</v>
      </c>
      <c r="N18" t="s">
        <v>1799</v>
      </c>
      <c r="O18" s="184" t="str">
        <f>"["&amp;$C18&amp;"]["&amp;$D18&amp;"]["&amp;$F18&amp;"]"</f>
        <v>[S02_CompetentAuthority][1][CAWebsite]</v>
      </c>
    </row>
    <row r="19" spans="1:15" x14ac:dyDescent="0.3">
      <c r="A19" t="s">
        <v>1793</v>
      </c>
      <c r="B19" t="s">
        <v>1812</v>
      </c>
      <c r="C19" t="s">
        <v>1813</v>
      </c>
      <c r="D19">
        <v>2</v>
      </c>
      <c r="E19" t="s">
        <v>1447</v>
      </c>
      <c r="F19" t="s">
        <v>1825</v>
      </c>
      <c r="G19" t="s">
        <v>1797</v>
      </c>
      <c r="H19" t="s">
        <v>1827</v>
      </c>
      <c r="I19" t="s">
        <v>1799</v>
      </c>
      <c r="J19" t="s">
        <v>1799</v>
      </c>
      <c r="K19" t="s">
        <v>1799</v>
      </c>
      <c r="L19" t="s">
        <v>1799</v>
      </c>
      <c r="M19" t="s">
        <v>1799</v>
      </c>
      <c r="N19" t="s">
        <v>1799</v>
      </c>
      <c r="O19" s="184" t="str">
        <f>"["&amp;$C19&amp;"]["&amp;$D19&amp;"]["&amp;$F19&amp;"]"</f>
        <v>[S02_CompetentAuthority][2][CAWebsite]</v>
      </c>
    </row>
    <row r="20" spans="1:15" x14ac:dyDescent="0.3">
      <c r="A20" t="s">
        <v>1793</v>
      </c>
      <c r="B20" t="s">
        <v>1812</v>
      </c>
      <c r="C20" t="s">
        <v>1828</v>
      </c>
      <c r="D20">
        <v>0</v>
      </c>
      <c r="E20" t="s">
        <v>1447</v>
      </c>
      <c r="F20" t="s">
        <v>1828</v>
      </c>
      <c r="G20" t="s">
        <v>1829</v>
      </c>
      <c r="H20" t="s">
        <v>1799</v>
      </c>
      <c r="I20" t="s">
        <v>1799</v>
      </c>
      <c r="J20" t="s">
        <v>1799</v>
      </c>
      <c r="K20" t="s">
        <v>1799</v>
      </c>
      <c r="L20" t="s">
        <v>1419</v>
      </c>
      <c r="M20" t="s">
        <v>1799</v>
      </c>
      <c r="N20" t="s">
        <v>1799</v>
      </c>
      <c r="O20" s="184" t="str">
        <f>"["&amp;$C20&amp;"]["&amp;$D20&amp;"]["&amp;$F20&amp;"]"</f>
        <v>[S02_AccreditationBodyYesNo][0][S02_AccreditationBodyYesNo]</v>
      </c>
    </row>
    <row r="21" spans="1:15" x14ac:dyDescent="0.3">
      <c r="A21" t="s">
        <v>1793</v>
      </c>
      <c r="B21" t="s">
        <v>1812</v>
      </c>
      <c r="C21" t="s">
        <v>1830</v>
      </c>
      <c r="D21">
        <v>1</v>
      </c>
      <c r="E21" t="s">
        <v>1447</v>
      </c>
      <c r="F21" t="s">
        <v>1831</v>
      </c>
      <c r="G21" t="s">
        <v>1797</v>
      </c>
      <c r="H21" t="s">
        <v>1832</v>
      </c>
      <c r="I21" t="s">
        <v>1799</v>
      </c>
      <c r="J21" t="s">
        <v>1799</v>
      </c>
      <c r="K21" t="s">
        <v>1799</v>
      </c>
      <c r="L21" t="s">
        <v>1799</v>
      </c>
      <c r="M21" t="s">
        <v>1799</v>
      </c>
      <c r="N21" t="s">
        <v>1799</v>
      </c>
      <c r="O21" s="184" t="str">
        <f>"["&amp;$C21&amp;"]["&amp;$D21&amp;"]["&amp;$F21&amp;"]"</f>
        <v>[S02_AccreditationBody][1][AccBodyName]</v>
      </c>
    </row>
    <row r="22" spans="1:15" x14ac:dyDescent="0.3">
      <c r="A22" t="s">
        <v>1793</v>
      </c>
      <c r="B22" t="s">
        <v>1812</v>
      </c>
      <c r="C22" t="s">
        <v>1830</v>
      </c>
      <c r="D22">
        <v>1</v>
      </c>
      <c r="E22" t="s">
        <v>1447</v>
      </c>
      <c r="F22" t="s">
        <v>1833</v>
      </c>
      <c r="G22" t="s">
        <v>1797</v>
      </c>
      <c r="H22" t="s">
        <v>1834</v>
      </c>
      <c r="I22" t="s">
        <v>1799</v>
      </c>
      <c r="J22" t="s">
        <v>1799</v>
      </c>
      <c r="K22" t="s">
        <v>1799</v>
      </c>
      <c r="L22" t="s">
        <v>1799</v>
      </c>
      <c r="M22" t="s">
        <v>1799</v>
      </c>
      <c r="N22" t="s">
        <v>1799</v>
      </c>
      <c r="O22" s="184" t="str">
        <f>"["&amp;$C22&amp;"]["&amp;$D22&amp;"]["&amp;$F22&amp;"]"</f>
        <v>[S02_AccreditationBody][1][AccBodyAbbreviation]</v>
      </c>
    </row>
    <row r="23" spans="1:15" x14ac:dyDescent="0.3">
      <c r="A23" t="s">
        <v>1793</v>
      </c>
      <c r="B23" t="s">
        <v>1812</v>
      </c>
      <c r="C23" t="s">
        <v>1830</v>
      </c>
      <c r="D23">
        <v>1</v>
      </c>
      <c r="E23" t="s">
        <v>1447</v>
      </c>
      <c r="F23" t="s">
        <v>1835</v>
      </c>
      <c r="G23" t="s">
        <v>1797</v>
      </c>
      <c r="H23" t="s">
        <v>1836</v>
      </c>
      <c r="I23" t="s">
        <v>1799</v>
      </c>
      <c r="J23" t="s">
        <v>1799</v>
      </c>
      <c r="K23" t="s">
        <v>1799</v>
      </c>
      <c r="L23" t="s">
        <v>1799</v>
      </c>
      <c r="M23" t="s">
        <v>1799</v>
      </c>
      <c r="N23" t="s">
        <v>1799</v>
      </c>
      <c r="O23" s="184" t="str">
        <f>"["&amp;$C23&amp;"]["&amp;$D23&amp;"]["&amp;$F23&amp;"]"</f>
        <v>[S02_AccreditationBody][1][AccBodyTelephone]</v>
      </c>
    </row>
    <row r="24" spans="1:15" x14ac:dyDescent="0.3">
      <c r="A24" t="s">
        <v>1793</v>
      </c>
      <c r="B24" t="s">
        <v>1812</v>
      </c>
      <c r="C24" t="s">
        <v>1830</v>
      </c>
      <c r="D24">
        <v>1</v>
      </c>
      <c r="E24" t="s">
        <v>1447</v>
      </c>
      <c r="F24" t="s">
        <v>1837</v>
      </c>
      <c r="G24" t="s">
        <v>1797</v>
      </c>
      <c r="H24" t="s">
        <v>1838</v>
      </c>
      <c r="I24" t="s">
        <v>1799</v>
      </c>
      <c r="J24" t="s">
        <v>1799</v>
      </c>
      <c r="K24" t="s">
        <v>1799</v>
      </c>
      <c r="L24" t="s">
        <v>1799</v>
      </c>
      <c r="M24" t="s">
        <v>1799</v>
      </c>
      <c r="N24" t="s">
        <v>1799</v>
      </c>
      <c r="O24" s="184" t="str">
        <f>"["&amp;$C24&amp;"]["&amp;$D24&amp;"]["&amp;$F24&amp;"]"</f>
        <v>[S02_AccreditationBody][1][AccBodyEmail]</v>
      </c>
    </row>
    <row r="25" spans="1:15" x14ac:dyDescent="0.3">
      <c r="A25" t="s">
        <v>1793</v>
      </c>
      <c r="B25" t="s">
        <v>1812</v>
      </c>
      <c r="C25" t="s">
        <v>1830</v>
      </c>
      <c r="D25">
        <v>1</v>
      </c>
      <c r="E25" t="s">
        <v>1447</v>
      </c>
      <c r="F25" t="s">
        <v>1839</v>
      </c>
      <c r="G25" t="s">
        <v>1797</v>
      </c>
      <c r="H25" t="s">
        <v>1840</v>
      </c>
      <c r="I25" t="s">
        <v>1799</v>
      </c>
      <c r="J25" t="s">
        <v>1799</v>
      </c>
      <c r="K25" t="s">
        <v>1799</v>
      </c>
      <c r="L25" t="s">
        <v>1799</v>
      </c>
      <c r="M25" t="s">
        <v>1799</v>
      </c>
      <c r="N25" t="s">
        <v>1799</v>
      </c>
      <c r="O25" s="184" t="str">
        <f>"["&amp;$C25&amp;"]["&amp;$D25&amp;"]["&amp;$F25&amp;"]"</f>
        <v>[S02_AccreditationBody][1][AccBodyWebsite]</v>
      </c>
    </row>
    <row r="26" spans="1:15" x14ac:dyDescent="0.3">
      <c r="A26" t="s">
        <v>1793</v>
      </c>
      <c r="B26" t="s">
        <v>1812</v>
      </c>
      <c r="C26" t="s">
        <v>1841</v>
      </c>
      <c r="D26">
        <v>0</v>
      </c>
      <c r="E26" t="s">
        <v>1447</v>
      </c>
      <c r="F26" t="s">
        <v>1841</v>
      </c>
      <c r="G26" t="s">
        <v>1829</v>
      </c>
      <c r="H26" t="s">
        <v>1799</v>
      </c>
      <c r="I26" t="s">
        <v>1799</v>
      </c>
      <c r="J26" t="s">
        <v>1799</v>
      </c>
      <c r="K26" t="s">
        <v>1799</v>
      </c>
      <c r="L26" t="s">
        <v>1447</v>
      </c>
      <c r="M26" t="s">
        <v>1799</v>
      </c>
      <c r="N26" t="s">
        <v>1799</v>
      </c>
      <c r="O26" s="184" t="str">
        <f>"["&amp;$C26&amp;"]["&amp;$D26&amp;"]["&amp;$F26&amp;"]"</f>
        <v>[CertificationBodySetUp][0][CertificationBodySetUp]</v>
      </c>
    </row>
    <row r="27" spans="1:15" x14ac:dyDescent="0.3">
      <c r="A27" t="s">
        <v>1793</v>
      </c>
      <c r="B27" t="s">
        <v>1812</v>
      </c>
      <c r="C27" t="s">
        <v>1842</v>
      </c>
      <c r="D27">
        <v>1</v>
      </c>
      <c r="E27" t="s">
        <v>1447</v>
      </c>
      <c r="F27" t="s">
        <v>1843</v>
      </c>
      <c r="G27" t="s">
        <v>1797</v>
      </c>
      <c r="H27" t="s">
        <v>1798</v>
      </c>
      <c r="I27" t="s">
        <v>1799</v>
      </c>
      <c r="J27" t="s">
        <v>1799</v>
      </c>
      <c r="K27" t="s">
        <v>1799</v>
      </c>
      <c r="L27" t="s">
        <v>1799</v>
      </c>
      <c r="M27" t="s">
        <v>1799</v>
      </c>
      <c r="N27" t="s">
        <v>1799</v>
      </c>
      <c r="O27" s="184" t="str">
        <f>"["&amp;$C27&amp;"]["&amp;$D27&amp;"]["&amp;$F27&amp;"]"</f>
        <v>[S02_RegistryAdministrator][1][RegAdminName]</v>
      </c>
    </row>
    <row r="28" spans="1:15" x14ac:dyDescent="0.3">
      <c r="A28" t="s">
        <v>1793</v>
      </c>
      <c r="B28" t="s">
        <v>1812</v>
      </c>
      <c r="C28" t="s">
        <v>1842</v>
      </c>
      <c r="D28">
        <v>1</v>
      </c>
      <c r="E28" t="s">
        <v>1447</v>
      </c>
      <c r="F28" t="s">
        <v>1844</v>
      </c>
      <c r="G28" t="s">
        <v>1797</v>
      </c>
      <c r="H28" t="s">
        <v>1817</v>
      </c>
      <c r="I28" t="s">
        <v>1799</v>
      </c>
      <c r="J28" t="s">
        <v>1799</v>
      </c>
      <c r="K28" t="s">
        <v>1799</v>
      </c>
      <c r="L28" t="s">
        <v>1799</v>
      </c>
      <c r="M28" t="s">
        <v>1799</v>
      </c>
      <c r="N28" t="s">
        <v>1799</v>
      </c>
      <c r="O28" s="184" t="str">
        <f>"["&amp;$C28&amp;"]["&amp;$D28&amp;"]["&amp;$F28&amp;"]"</f>
        <v>[S02_RegistryAdministrator][1][RegAdminAbbreviation]</v>
      </c>
    </row>
    <row r="29" spans="1:15" x14ac:dyDescent="0.3">
      <c r="A29" t="s">
        <v>1793</v>
      </c>
      <c r="B29" t="s">
        <v>1812</v>
      </c>
      <c r="C29" t="s">
        <v>1842</v>
      </c>
      <c r="D29">
        <v>1</v>
      </c>
      <c r="E29" t="s">
        <v>1447</v>
      </c>
      <c r="F29" t="s">
        <v>1845</v>
      </c>
      <c r="G29" t="s">
        <v>1797</v>
      </c>
      <c r="H29" t="s">
        <v>1846</v>
      </c>
      <c r="I29" t="s">
        <v>1799</v>
      </c>
      <c r="J29" t="s">
        <v>1799</v>
      </c>
      <c r="K29" t="s">
        <v>1799</v>
      </c>
      <c r="L29" t="s">
        <v>1799</v>
      </c>
      <c r="M29" t="s">
        <v>1799</v>
      </c>
      <c r="N29" t="s">
        <v>1799</v>
      </c>
      <c r="O29" s="184" t="str">
        <f>"["&amp;$C29&amp;"]["&amp;$D29&amp;"]["&amp;$F29&amp;"]"</f>
        <v>[S02_RegistryAdministrator][1][RegAdminTelephone]</v>
      </c>
    </row>
    <row r="30" spans="1:15" x14ac:dyDescent="0.3">
      <c r="A30" t="s">
        <v>1793</v>
      </c>
      <c r="B30" t="s">
        <v>1812</v>
      </c>
      <c r="C30" t="s">
        <v>1842</v>
      </c>
      <c r="D30">
        <v>1</v>
      </c>
      <c r="E30" t="s">
        <v>1447</v>
      </c>
      <c r="F30" t="s">
        <v>1847</v>
      </c>
      <c r="G30" t="s">
        <v>1797</v>
      </c>
      <c r="H30" t="s">
        <v>1823</v>
      </c>
      <c r="I30" t="s">
        <v>1799</v>
      </c>
      <c r="J30" t="s">
        <v>1799</v>
      </c>
      <c r="K30" t="s">
        <v>1799</v>
      </c>
      <c r="L30" t="s">
        <v>1799</v>
      </c>
      <c r="M30" t="s">
        <v>1799</v>
      </c>
      <c r="N30" t="s">
        <v>1799</v>
      </c>
      <c r="O30" s="184" t="str">
        <f>"["&amp;$C30&amp;"]["&amp;$D30&amp;"]["&amp;$F30&amp;"]"</f>
        <v>[S02_RegistryAdministrator][1][RegAdminEmail]</v>
      </c>
    </row>
    <row r="31" spans="1:15" x14ac:dyDescent="0.3">
      <c r="A31" t="s">
        <v>1793</v>
      </c>
      <c r="B31" t="s">
        <v>1812</v>
      </c>
      <c r="C31" t="s">
        <v>1842</v>
      </c>
      <c r="D31">
        <v>1</v>
      </c>
      <c r="E31" t="s">
        <v>1447</v>
      </c>
      <c r="F31" t="s">
        <v>1848</v>
      </c>
      <c r="G31" t="s">
        <v>1797</v>
      </c>
      <c r="H31" t="s">
        <v>1826</v>
      </c>
      <c r="I31" t="s">
        <v>1799</v>
      </c>
      <c r="J31" t="s">
        <v>1799</v>
      </c>
      <c r="K31" t="s">
        <v>1799</v>
      </c>
      <c r="L31" t="s">
        <v>1799</v>
      </c>
      <c r="M31" t="s">
        <v>1799</v>
      </c>
      <c r="N31" t="s">
        <v>1799</v>
      </c>
      <c r="O31" s="184" t="str">
        <f>"["&amp;$C31&amp;"]["&amp;$D31&amp;"]["&amp;$F31&amp;"]"</f>
        <v>[S02_RegistryAdministrator][1][RegAdminWebsite]</v>
      </c>
    </row>
    <row r="32" spans="1:15" x14ac:dyDescent="0.3">
      <c r="A32" t="s">
        <v>1793</v>
      </c>
      <c r="B32" t="s">
        <v>1849</v>
      </c>
      <c r="C32" t="s">
        <v>1850</v>
      </c>
      <c r="D32">
        <v>1</v>
      </c>
      <c r="E32" t="s">
        <v>1447</v>
      </c>
      <c r="F32" t="s">
        <v>1851</v>
      </c>
      <c r="G32" t="s">
        <v>1797</v>
      </c>
      <c r="H32" t="s">
        <v>1817</v>
      </c>
      <c r="I32" t="s">
        <v>1799</v>
      </c>
      <c r="J32" t="s">
        <v>1799</v>
      </c>
      <c r="K32" t="s">
        <v>1799</v>
      </c>
      <c r="L32" t="s">
        <v>1799</v>
      </c>
      <c r="M32" t="s">
        <v>1799</v>
      </c>
      <c r="N32" t="s">
        <v>1799</v>
      </c>
      <c r="O32" s="184" t="str">
        <f>"["&amp;$C32&amp;"]["&amp;$D32&amp;"]["&amp;$F32&amp;"]"</f>
        <v>[S02_CompetentAuthorityRoles][1][CAForInstallationTask]</v>
      </c>
    </row>
    <row r="33" spans="1:15" x14ac:dyDescent="0.3">
      <c r="A33" t="s">
        <v>1793</v>
      </c>
      <c r="B33" t="s">
        <v>1849</v>
      </c>
      <c r="C33" t="s">
        <v>1850</v>
      </c>
      <c r="D33">
        <v>2</v>
      </c>
      <c r="E33" t="s">
        <v>1447</v>
      </c>
      <c r="F33" t="s">
        <v>1851</v>
      </c>
      <c r="G33" t="s">
        <v>1797</v>
      </c>
      <c r="H33" t="s">
        <v>1817</v>
      </c>
      <c r="I33" t="s">
        <v>1799</v>
      </c>
      <c r="J33" t="s">
        <v>1799</v>
      </c>
      <c r="K33" t="s">
        <v>1799</v>
      </c>
      <c r="L33" t="s">
        <v>1799</v>
      </c>
      <c r="M33" t="s">
        <v>1799</v>
      </c>
      <c r="N33" t="s">
        <v>1799</v>
      </c>
      <c r="O33" s="184" t="str">
        <f>"["&amp;$C33&amp;"]["&amp;$D33&amp;"]["&amp;$F33&amp;"]"</f>
        <v>[S02_CompetentAuthorityRoles][2][CAForInstallationTask]</v>
      </c>
    </row>
    <row r="34" spans="1:15" x14ac:dyDescent="0.3">
      <c r="A34" t="s">
        <v>1793</v>
      </c>
      <c r="B34" t="s">
        <v>1849</v>
      </c>
      <c r="C34" t="s">
        <v>1850</v>
      </c>
      <c r="D34">
        <v>3</v>
      </c>
      <c r="E34" t="s">
        <v>1447</v>
      </c>
      <c r="F34" t="s">
        <v>1851</v>
      </c>
      <c r="G34" t="s">
        <v>1797</v>
      </c>
      <c r="H34" t="s">
        <v>1817</v>
      </c>
      <c r="I34" t="s">
        <v>1799</v>
      </c>
      <c r="J34" t="s">
        <v>1799</v>
      </c>
      <c r="K34" t="s">
        <v>1799</v>
      </c>
      <c r="L34" t="s">
        <v>1799</v>
      </c>
      <c r="M34" t="s">
        <v>1799</v>
      </c>
      <c r="N34" t="s">
        <v>1799</v>
      </c>
      <c r="O34" s="184" t="str">
        <f>"["&amp;$C34&amp;"]["&amp;$D34&amp;"]["&amp;$F34&amp;"]"</f>
        <v>[S02_CompetentAuthorityRoles][3][CAForInstallationTask]</v>
      </c>
    </row>
    <row r="35" spans="1:15" x14ac:dyDescent="0.3">
      <c r="A35" t="s">
        <v>1793</v>
      </c>
      <c r="B35" t="s">
        <v>1849</v>
      </c>
      <c r="C35" t="s">
        <v>1850</v>
      </c>
      <c r="D35">
        <v>4</v>
      </c>
      <c r="E35" t="s">
        <v>1447</v>
      </c>
      <c r="F35" t="s">
        <v>1851</v>
      </c>
      <c r="G35" t="s">
        <v>1797</v>
      </c>
      <c r="H35" t="s">
        <v>1817</v>
      </c>
      <c r="I35" t="s">
        <v>1799</v>
      </c>
      <c r="J35" t="s">
        <v>1799</v>
      </c>
      <c r="K35" t="s">
        <v>1799</v>
      </c>
      <c r="L35" t="s">
        <v>1799</v>
      </c>
      <c r="M35" t="s">
        <v>1799</v>
      </c>
      <c r="N35" t="s">
        <v>1799</v>
      </c>
      <c r="O35" s="184" t="str">
        <f>"["&amp;$C35&amp;"]["&amp;$D35&amp;"]["&amp;$F35&amp;"]"</f>
        <v>[S02_CompetentAuthorityRoles][4][CAForInstallationTask]</v>
      </c>
    </row>
    <row r="36" spans="1:15" x14ac:dyDescent="0.3">
      <c r="A36" t="s">
        <v>1793</v>
      </c>
      <c r="B36" t="s">
        <v>1849</v>
      </c>
      <c r="C36" t="s">
        <v>1850</v>
      </c>
      <c r="D36">
        <v>6</v>
      </c>
      <c r="E36" t="s">
        <v>1447</v>
      </c>
      <c r="F36" t="s">
        <v>1851</v>
      </c>
      <c r="G36" t="s">
        <v>1797</v>
      </c>
      <c r="H36" t="s">
        <v>1818</v>
      </c>
      <c r="I36" t="s">
        <v>1799</v>
      </c>
      <c r="J36" t="s">
        <v>1799</v>
      </c>
      <c r="K36" t="s">
        <v>1799</v>
      </c>
      <c r="L36" t="s">
        <v>1799</v>
      </c>
      <c r="M36" t="s">
        <v>1799</v>
      </c>
      <c r="N36" t="s">
        <v>1799</v>
      </c>
      <c r="O36" s="184" t="str">
        <f>"["&amp;$C36&amp;"]["&amp;$D36&amp;"]["&amp;$F36&amp;"]"</f>
        <v>[S02_CompetentAuthorityRoles][6][CAForInstallationTask]</v>
      </c>
    </row>
    <row r="37" spans="1:15" x14ac:dyDescent="0.3">
      <c r="A37" t="s">
        <v>1793</v>
      </c>
      <c r="B37" t="s">
        <v>1849</v>
      </c>
      <c r="C37" t="s">
        <v>1850</v>
      </c>
      <c r="D37">
        <v>7</v>
      </c>
      <c r="E37" t="s">
        <v>1447</v>
      </c>
      <c r="F37" t="s">
        <v>1851</v>
      </c>
      <c r="G37" t="s">
        <v>1797</v>
      </c>
      <c r="H37" t="s">
        <v>1817</v>
      </c>
      <c r="I37" t="s">
        <v>1799</v>
      </c>
      <c r="J37" t="s">
        <v>1799</v>
      </c>
      <c r="K37" t="s">
        <v>1799</v>
      </c>
      <c r="L37" t="s">
        <v>1799</v>
      </c>
      <c r="M37" t="s">
        <v>1799</v>
      </c>
      <c r="N37" t="s">
        <v>1799</v>
      </c>
      <c r="O37" s="184" t="str">
        <f>"["&amp;$C37&amp;"]["&amp;$D37&amp;"]["&amp;$F37&amp;"]"</f>
        <v>[S02_CompetentAuthorityRoles][7][CAForInstallationTask]</v>
      </c>
    </row>
    <row r="38" spans="1:15" x14ac:dyDescent="0.3">
      <c r="A38" t="s">
        <v>1793</v>
      </c>
      <c r="B38" t="s">
        <v>1849</v>
      </c>
      <c r="C38" t="s">
        <v>1850</v>
      </c>
      <c r="D38">
        <v>8</v>
      </c>
      <c r="E38" t="s">
        <v>1447</v>
      </c>
      <c r="F38" t="s">
        <v>1851</v>
      </c>
      <c r="G38" t="s">
        <v>1797</v>
      </c>
      <c r="H38" t="s">
        <v>1817</v>
      </c>
      <c r="I38" t="s">
        <v>1799</v>
      </c>
      <c r="J38" t="s">
        <v>1799</v>
      </c>
      <c r="K38" t="s">
        <v>1799</v>
      </c>
      <c r="L38" t="s">
        <v>1799</v>
      </c>
      <c r="M38" t="s">
        <v>1799</v>
      </c>
      <c r="N38" t="s">
        <v>1799</v>
      </c>
      <c r="O38" s="184" t="str">
        <f>"["&amp;$C38&amp;"]["&amp;$D38&amp;"]["&amp;$F38&amp;"]"</f>
        <v>[S02_CompetentAuthorityRoles][8][CAForInstallationTask]</v>
      </c>
    </row>
    <row r="39" spans="1:15" x14ac:dyDescent="0.3">
      <c r="A39" t="s">
        <v>1793</v>
      </c>
      <c r="B39" t="s">
        <v>1849</v>
      </c>
      <c r="C39" t="s">
        <v>1850</v>
      </c>
      <c r="D39">
        <v>9</v>
      </c>
      <c r="E39" t="s">
        <v>1447</v>
      </c>
      <c r="F39" t="s">
        <v>1851</v>
      </c>
      <c r="G39" t="s">
        <v>1797</v>
      </c>
      <c r="H39" t="s">
        <v>1817</v>
      </c>
      <c r="I39" t="s">
        <v>1799</v>
      </c>
      <c r="J39" t="s">
        <v>1799</v>
      </c>
      <c r="K39" t="s">
        <v>1799</v>
      </c>
      <c r="L39" t="s">
        <v>1799</v>
      </c>
      <c r="M39" t="s">
        <v>1799</v>
      </c>
      <c r="N39" t="s">
        <v>1799</v>
      </c>
      <c r="O39" s="184" t="str">
        <f>"["&amp;$C39&amp;"]["&amp;$D39&amp;"]["&amp;$F39&amp;"]"</f>
        <v>[S02_CompetentAuthorityRoles][9][CAForInstallationTask]</v>
      </c>
    </row>
    <row r="40" spans="1:15" x14ac:dyDescent="0.3">
      <c r="A40" t="s">
        <v>1793</v>
      </c>
      <c r="B40" t="s">
        <v>1849</v>
      </c>
      <c r="C40" t="s">
        <v>1850</v>
      </c>
      <c r="D40">
        <v>10</v>
      </c>
      <c r="E40" t="s">
        <v>1447</v>
      </c>
      <c r="F40" t="s">
        <v>1851</v>
      </c>
      <c r="G40" t="s">
        <v>1797</v>
      </c>
      <c r="H40" t="s">
        <v>1817</v>
      </c>
      <c r="I40" t="s">
        <v>1799</v>
      </c>
      <c r="J40" t="s">
        <v>1799</v>
      </c>
      <c r="K40" t="s">
        <v>1799</v>
      </c>
      <c r="L40" t="s">
        <v>1799</v>
      </c>
      <c r="M40" t="s">
        <v>1799</v>
      </c>
      <c r="N40" t="s">
        <v>1799</v>
      </c>
      <c r="O40" s="184" t="str">
        <f>"["&amp;$C40&amp;"]["&amp;$D40&amp;"]["&amp;$F40&amp;"]"</f>
        <v>[S02_CompetentAuthorityRoles][10][CAForInstallationTask]</v>
      </c>
    </row>
    <row r="41" spans="1:15" x14ac:dyDescent="0.3">
      <c r="A41" t="s">
        <v>1793</v>
      </c>
      <c r="B41" t="s">
        <v>1849</v>
      </c>
      <c r="C41" t="s">
        <v>1850</v>
      </c>
      <c r="D41">
        <v>11</v>
      </c>
      <c r="E41" t="s">
        <v>1447</v>
      </c>
      <c r="F41" t="s">
        <v>1851</v>
      </c>
      <c r="G41" t="s">
        <v>1797</v>
      </c>
      <c r="H41" t="s">
        <v>1817</v>
      </c>
      <c r="I41" t="s">
        <v>1799</v>
      </c>
      <c r="J41" t="s">
        <v>1799</v>
      </c>
      <c r="K41" t="s">
        <v>1799</v>
      </c>
      <c r="L41" t="s">
        <v>1799</v>
      </c>
      <c r="M41" t="s">
        <v>1799</v>
      </c>
      <c r="N41" t="s">
        <v>1799</v>
      </c>
      <c r="O41" s="184" t="str">
        <f>"["&amp;$C41&amp;"]["&amp;$D41&amp;"]["&amp;$F41&amp;"]"</f>
        <v>[S02_CompetentAuthorityRoles][11][CAForInstallationTask]</v>
      </c>
    </row>
    <row r="42" spans="1:15" x14ac:dyDescent="0.3">
      <c r="A42" t="s">
        <v>1793</v>
      </c>
      <c r="B42" t="s">
        <v>1849</v>
      </c>
      <c r="C42" t="s">
        <v>1850</v>
      </c>
      <c r="D42">
        <v>12</v>
      </c>
      <c r="E42" t="s">
        <v>1447</v>
      </c>
      <c r="F42" t="s">
        <v>1851</v>
      </c>
      <c r="G42" t="s">
        <v>1797</v>
      </c>
      <c r="H42" t="s">
        <v>1852</v>
      </c>
      <c r="I42" t="s">
        <v>1799</v>
      </c>
      <c r="J42" t="s">
        <v>1799</v>
      </c>
      <c r="K42" t="s">
        <v>1799</v>
      </c>
      <c r="L42" t="s">
        <v>1799</v>
      </c>
      <c r="M42" t="s">
        <v>1799</v>
      </c>
      <c r="N42" t="s">
        <v>1799</v>
      </c>
      <c r="O42" s="184" t="str">
        <f>"["&amp;$C42&amp;"]["&amp;$D42&amp;"]["&amp;$F42&amp;"]"</f>
        <v>[S02_CompetentAuthorityRoles][12][CAForInstallationTask]</v>
      </c>
    </row>
    <row r="43" spans="1:15" x14ac:dyDescent="0.3">
      <c r="A43" t="s">
        <v>1793</v>
      </c>
      <c r="B43" t="s">
        <v>1849</v>
      </c>
      <c r="C43" t="s">
        <v>1850</v>
      </c>
      <c r="D43">
        <v>13</v>
      </c>
      <c r="E43" t="s">
        <v>1447</v>
      </c>
      <c r="F43" t="s">
        <v>1851</v>
      </c>
      <c r="G43" t="s">
        <v>1797</v>
      </c>
      <c r="H43" t="s">
        <v>1817</v>
      </c>
      <c r="I43" t="s">
        <v>1799</v>
      </c>
      <c r="J43" t="s">
        <v>1799</v>
      </c>
      <c r="K43" t="s">
        <v>1799</v>
      </c>
      <c r="L43" t="s">
        <v>1799</v>
      </c>
      <c r="M43" t="s">
        <v>1799</v>
      </c>
      <c r="N43" t="s">
        <v>1799</v>
      </c>
      <c r="O43" s="184" t="str">
        <f>"["&amp;$C43&amp;"]["&amp;$D43&amp;"]["&amp;$F43&amp;"]"</f>
        <v>[S02_CompetentAuthorityRoles][13][CAForInstallationTask]</v>
      </c>
    </row>
    <row r="44" spans="1:15" x14ac:dyDescent="0.3">
      <c r="A44" t="s">
        <v>1793</v>
      </c>
      <c r="B44" t="s">
        <v>1849</v>
      </c>
      <c r="C44" t="s">
        <v>1850</v>
      </c>
      <c r="D44">
        <v>5</v>
      </c>
      <c r="E44" t="s">
        <v>1447</v>
      </c>
      <c r="F44" t="s">
        <v>1853</v>
      </c>
      <c r="G44" t="s">
        <v>1797</v>
      </c>
      <c r="H44" t="s">
        <v>1817</v>
      </c>
      <c r="I44" t="s">
        <v>1799</v>
      </c>
      <c r="J44" t="s">
        <v>1799</v>
      </c>
      <c r="K44" t="s">
        <v>1799</v>
      </c>
      <c r="L44" t="s">
        <v>1799</v>
      </c>
      <c r="M44" t="s">
        <v>1799</v>
      </c>
      <c r="N44" t="s">
        <v>1799</v>
      </c>
      <c r="O44" s="184" t="str">
        <f>"["&amp;$C44&amp;"]["&amp;$D44&amp;"]["&amp;$F44&amp;"]"</f>
        <v>[S02_CompetentAuthorityRoles][5][CAForAviationTask]</v>
      </c>
    </row>
    <row r="45" spans="1:15" x14ac:dyDescent="0.3">
      <c r="A45" t="s">
        <v>1793</v>
      </c>
      <c r="B45" t="s">
        <v>1849</v>
      </c>
      <c r="C45" t="s">
        <v>1850</v>
      </c>
      <c r="D45">
        <v>6</v>
      </c>
      <c r="E45" t="s">
        <v>1447</v>
      </c>
      <c r="F45" t="s">
        <v>1853</v>
      </c>
      <c r="G45" t="s">
        <v>1797</v>
      </c>
      <c r="H45" t="s">
        <v>1818</v>
      </c>
      <c r="I45" t="s">
        <v>1799</v>
      </c>
      <c r="J45" t="s">
        <v>1799</v>
      </c>
      <c r="K45" t="s">
        <v>1799</v>
      </c>
      <c r="L45" t="s">
        <v>1799</v>
      </c>
      <c r="M45" t="s">
        <v>1799</v>
      </c>
      <c r="N45" t="s">
        <v>1799</v>
      </c>
      <c r="O45" s="184" t="str">
        <f>"["&amp;$C45&amp;"]["&amp;$D45&amp;"]["&amp;$F45&amp;"]"</f>
        <v>[S02_CompetentAuthorityRoles][6][CAForAviationTask]</v>
      </c>
    </row>
    <row r="46" spans="1:15" x14ac:dyDescent="0.3">
      <c r="A46" t="s">
        <v>1793</v>
      </c>
      <c r="B46" t="s">
        <v>1849</v>
      </c>
      <c r="C46" t="s">
        <v>1850</v>
      </c>
      <c r="D46">
        <v>7</v>
      </c>
      <c r="E46" t="s">
        <v>1447</v>
      </c>
      <c r="F46" t="s">
        <v>1853</v>
      </c>
      <c r="G46" t="s">
        <v>1797</v>
      </c>
      <c r="H46" t="s">
        <v>1817</v>
      </c>
      <c r="I46" t="s">
        <v>1799</v>
      </c>
      <c r="J46" t="s">
        <v>1799</v>
      </c>
      <c r="K46" t="s">
        <v>1799</v>
      </c>
      <c r="L46" t="s">
        <v>1799</v>
      </c>
      <c r="M46" t="s">
        <v>1799</v>
      </c>
      <c r="N46" t="s">
        <v>1799</v>
      </c>
      <c r="O46" s="184" t="str">
        <f>"["&amp;$C46&amp;"]["&amp;$D46&amp;"]["&amp;$F46&amp;"]"</f>
        <v>[S02_CompetentAuthorityRoles][7][CAForAviationTask]</v>
      </c>
    </row>
    <row r="47" spans="1:15" x14ac:dyDescent="0.3">
      <c r="A47" t="s">
        <v>1793</v>
      </c>
      <c r="B47" t="s">
        <v>1849</v>
      </c>
      <c r="C47" t="s">
        <v>1850</v>
      </c>
      <c r="D47">
        <v>8</v>
      </c>
      <c r="E47" t="s">
        <v>1447</v>
      </c>
      <c r="F47" t="s">
        <v>1853</v>
      </c>
      <c r="G47" t="s">
        <v>1797</v>
      </c>
      <c r="H47" t="s">
        <v>1817</v>
      </c>
      <c r="I47" t="s">
        <v>1799</v>
      </c>
      <c r="J47" t="s">
        <v>1799</v>
      </c>
      <c r="K47" t="s">
        <v>1799</v>
      </c>
      <c r="L47" t="s">
        <v>1799</v>
      </c>
      <c r="M47" t="s">
        <v>1799</v>
      </c>
      <c r="N47" t="s">
        <v>1799</v>
      </c>
      <c r="O47" s="184" t="str">
        <f>"["&amp;$C47&amp;"]["&amp;$D47&amp;"]["&amp;$F47&amp;"]"</f>
        <v>[S02_CompetentAuthorityRoles][8][CAForAviationTask]</v>
      </c>
    </row>
    <row r="48" spans="1:15" x14ac:dyDescent="0.3">
      <c r="A48" t="s">
        <v>1793</v>
      </c>
      <c r="B48" t="s">
        <v>1849</v>
      </c>
      <c r="C48" t="s">
        <v>1850</v>
      </c>
      <c r="D48">
        <v>9</v>
      </c>
      <c r="E48" t="s">
        <v>1447</v>
      </c>
      <c r="F48" t="s">
        <v>1853</v>
      </c>
      <c r="G48" t="s">
        <v>1797</v>
      </c>
      <c r="H48" t="s">
        <v>1817</v>
      </c>
      <c r="I48" t="s">
        <v>1799</v>
      </c>
      <c r="J48" t="s">
        <v>1799</v>
      </c>
      <c r="K48" t="s">
        <v>1799</v>
      </c>
      <c r="L48" t="s">
        <v>1799</v>
      </c>
      <c r="M48" t="s">
        <v>1799</v>
      </c>
      <c r="N48" t="s">
        <v>1799</v>
      </c>
      <c r="O48" s="184" t="str">
        <f>"["&amp;$C48&amp;"]["&amp;$D48&amp;"]["&amp;$F48&amp;"]"</f>
        <v>[S02_CompetentAuthorityRoles][9][CAForAviationTask]</v>
      </c>
    </row>
    <row r="49" spans="1:15" x14ac:dyDescent="0.3">
      <c r="A49" t="s">
        <v>1793</v>
      </c>
      <c r="B49" t="s">
        <v>1849</v>
      </c>
      <c r="C49" t="s">
        <v>1850</v>
      </c>
      <c r="D49">
        <v>10</v>
      </c>
      <c r="E49" t="s">
        <v>1447</v>
      </c>
      <c r="F49" t="s">
        <v>1853</v>
      </c>
      <c r="G49" t="s">
        <v>1797</v>
      </c>
      <c r="H49" t="s">
        <v>1817</v>
      </c>
      <c r="I49" t="s">
        <v>1799</v>
      </c>
      <c r="J49" t="s">
        <v>1799</v>
      </c>
      <c r="K49" t="s">
        <v>1799</v>
      </c>
      <c r="L49" t="s">
        <v>1799</v>
      </c>
      <c r="M49" t="s">
        <v>1799</v>
      </c>
      <c r="N49" t="s">
        <v>1799</v>
      </c>
      <c r="O49" s="184" t="str">
        <f>"["&amp;$C49&amp;"]["&amp;$D49&amp;"]["&amp;$F49&amp;"]"</f>
        <v>[S02_CompetentAuthorityRoles][10][CAForAviationTask]</v>
      </c>
    </row>
    <row r="50" spans="1:15" x14ac:dyDescent="0.3">
      <c r="A50" t="s">
        <v>1793</v>
      </c>
      <c r="B50" t="s">
        <v>1849</v>
      </c>
      <c r="C50" t="s">
        <v>1850</v>
      </c>
      <c r="D50">
        <v>11</v>
      </c>
      <c r="E50" t="s">
        <v>1447</v>
      </c>
      <c r="F50" t="s">
        <v>1853</v>
      </c>
      <c r="G50" t="s">
        <v>1797</v>
      </c>
      <c r="H50" t="s">
        <v>1817</v>
      </c>
      <c r="I50" t="s">
        <v>1799</v>
      </c>
      <c r="J50" t="s">
        <v>1799</v>
      </c>
      <c r="K50" t="s">
        <v>1799</v>
      </c>
      <c r="L50" t="s">
        <v>1799</v>
      </c>
      <c r="M50" t="s">
        <v>1799</v>
      </c>
      <c r="N50" t="s">
        <v>1799</v>
      </c>
      <c r="O50" s="184" t="str">
        <f>"["&amp;$C50&amp;"]["&amp;$D50&amp;"]["&amp;$F50&amp;"]"</f>
        <v>[S02_CompetentAuthorityRoles][11][CAForAviationTask]</v>
      </c>
    </row>
    <row r="51" spans="1:15" x14ac:dyDescent="0.3">
      <c r="A51" t="s">
        <v>1793</v>
      </c>
      <c r="B51" t="s">
        <v>1854</v>
      </c>
      <c r="C51" t="s">
        <v>1855</v>
      </c>
      <c r="D51">
        <v>0</v>
      </c>
      <c r="E51" t="s">
        <v>1447</v>
      </c>
      <c r="F51" t="s">
        <v>1856</v>
      </c>
      <c r="G51" t="s">
        <v>1797</v>
      </c>
      <c r="H51" t="s">
        <v>1756</v>
      </c>
      <c r="I51" t="s">
        <v>1799</v>
      </c>
      <c r="J51" t="s">
        <v>1799</v>
      </c>
      <c r="K51" t="s">
        <v>1799</v>
      </c>
      <c r="L51" t="s">
        <v>1799</v>
      </c>
      <c r="M51" t="s">
        <v>1799</v>
      </c>
      <c r="N51" t="s">
        <v>1799</v>
      </c>
      <c r="O51" s="184" t="str">
        <f>"["&amp;$C51&amp;"]["&amp;$D51&amp;"]["&amp;$F51&amp;"]"</f>
        <v>[S02_CAFocalPoint][0][CAArt70]</v>
      </c>
    </row>
    <row r="52" spans="1:15" x14ac:dyDescent="0.3">
      <c r="A52" t="s">
        <v>1793</v>
      </c>
      <c r="B52" t="s">
        <v>1854</v>
      </c>
      <c r="C52" t="s">
        <v>1857</v>
      </c>
      <c r="D52">
        <v>1</v>
      </c>
      <c r="E52" t="s">
        <v>1447</v>
      </c>
      <c r="F52" t="s">
        <v>1858</v>
      </c>
      <c r="G52" t="s">
        <v>1829</v>
      </c>
      <c r="H52" t="s">
        <v>1799</v>
      </c>
      <c r="I52" t="s">
        <v>1799</v>
      </c>
      <c r="J52" t="s">
        <v>1799</v>
      </c>
      <c r="K52" t="s">
        <v>1799</v>
      </c>
      <c r="L52" t="s">
        <v>1447</v>
      </c>
      <c r="M52" t="s">
        <v>1799</v>
      </c>
      <c r="N52" t="s">
        <v>1799</v>
      </c>
      <c r="O52" s="184" t="str">
        <f>"["&amp;$C52&amp;"]["&amp;$D52&amp;"]["&amp;$F52&amp;"]"</f>
        <v>[S02_CompetentAuthorityCoordination][1][CACoordinationYesNo]</v>
      </c>
    </row>
    <row r="53" spans="1:15" x14ac:dyDescent="0.3">
      <c r="A53" t="s">
        <v>1793</v>
      </c>
      <c r="B53" t="s">
        <v>1854</v>
      </c>
      <c r="C53" t="s">
        <v>1857</v>
      </c>
      <c r="D53">
        <v>2</v>
      </c>
      <c r="E53" t="s">
        <v>1447</v>
      </c>
      <c r="F53" t="s">
        <v>1858</v>
      </c>
      <c r="G53" t="s">
        <v>1829</v>
      </c>
      <c r="H53" t="s">
        <v>1799</v>
      </c>
      <c r="I53" t="s">
        <v>1799</v>
      </c>
      <c r="J53" t="s">
        <v>1799</v>
      </c>
      <c r="K53" t="s">
        <v>1799</v>
      </c>
      <c r="L53" t="s">
        <v>1447</v>
      </c>
      <c r="M53" t="s">
        <v>1799</v>
      </c>
      <c r="N53" t="s">
        <v>1799</v>
      </c>
      <c r="O53" s="184" t="str">
        <f>"["&amp;$C53&amp;"]["&amp;$D53&amp;"]["&amp;$F53&amp;"]"</f>
        <v>[S02_CompetentAuthorityCoordination][2][CACoordinationYesNo]</v>
      </c>
    </row>
    <row r="54" spans="1:15" x14ac:dyDescent="0.3">
      <c r="A54" t="s">
        <v>1793</v>
      </c>
      <c r="B54" t="s">
        <v>1854</v>
      </c>
      <c r="C54" t="s">
        <v>1857</v>
      </c>
      <c r="D54">
        <v>3</v>
      </c>
      <c r="E54" t="s">
        <v>1447</v>
      </c>
      <c r="F54" t="s">
        <v>1858</v>
      </c>
      <c r="G54" t="s">
        <v>1829</v>
      </c>
      <c r="H54" t="s">
        <v>1799</v>
      </c>
      <c r="I54" t="s">
        <v>1799</v>
      </c>
      <c r="J54" t="s">
        <v>1799</v>
      </c>
      <c r="K54" t="s">
        <v>1799</v>
      </c>
      <c r="L54" t="s">
        <v>1447</v>
      </c>
      <c r="M54" t="s">
        <v>1799</v>
      </c>
      <c r="N54" t="s">
        <v>1799</v>
      </c>
      <c r="O54" s="184" t="str">
        <f>"["&amp;$C54&amp;"]["&amp;$D54&amp;"]["&amp;$F54&amp;"]"</f>
        <v>[S02_CompetentAuthorityCoordination][3][CACoordinationYesNo]</v>
      </c>
    </row>
    <row r="55" spans="1:15" x14ac:dyDescent="0.3">
      <c r="A55" t="s">
        <v>1793</v>
      </c>
      <c r="B55" t="s">
        <v>1854</v>
      </c>
      <c r="C55" t="s">
        <v>1857</v>
      </c>
      <c r="D55">
        <v>4</v>
      </c>
      <c r="E55" t="s">
        <v>1447</v>
      </c>
      <c r="F55" t="s">
        <v>1858</v>
      </c>
      <c r="G55" t="s">
        <v>1829</v>
      </c>
      <c r="H55" t="s">
        <v>1799</v>
      </c>
      <c r="I55" t="s">
        <v>1799</v>
      </c>
      <c r="J55" t="s">
        <v>1799</v>
      </c>
      <c r="K55" t="s">
        <v>1799</v>
      </c>
      <c r="L55" t="s">
        <v>1447</v>
      </c>
      <c r="M55" t="s">
        <v>1799</v>
      </c>
      <c r="N55" t="s">
        <v>1799</v>
      </c>
      <c r="O55" s="184" t="str">
        <f>"["&amp;$C55&amp;"]["&amp;$D55&amp;"]["&amp;$F55&amp;"]"</f>
        <v>[S02_CompetentAuthorityCoordination][4][CACoordinationYesNo]</v>
      </c>
    </row>
    <row r="56" spans="1:15" x14ac:dyDescent="0.3">
      <c r="A56" t="s">
        <v>1793</v>
      </c>
      <c r="B56" t="s">
        <v>1854</v>
      </c>
      <c r="C56" t="s">
        <v>1857</v>
      </c>
      <c r="D56">
        <v>5</v>
      </c>
      <c r="E56" t="s">
        <v>1447</v>
      </c>
      <c r="F56" t="s">
        <v>1858</v>
      </c>
      <c r="G56" t="s">
        <v>1829</v>
      </c>
      <c r="H56" t="s">
        <v>1799</v>
      </c>
      <c r="I56" t="s">
        <v>1799</v>
      </c>
      <c r="J56" t="s">
        <v>1799</v>
      </c>
      <c r="K56" t="s">
        <v>1799</v>
      </c>
      <c r="L56" t="s">
        <v>1447</v>
      </c>
      <c r="M56" t="s">
        <v>1799</v>
      </c>
      <c r="N56" t="s">
        <v>1799</v>
      </c>
      <c r="O56" s="184" t="str">
        <f>"["&amp;$C56&amp;"]["&amp;$D56&amp;"]["&amp;$F56&amp;"]"</f>
        <v>[S02_CompetentAuthorityCoordination][5][CACoordinationYesNo]</v>
      </c>
    </row>
    <row r="57" spans="1:15" x14ac:dyDescent="0.3">
      <c r="A57" t="s">
        <v>1793</v>
      </c>
      <c r="B57" t="s">
        <v>1854</v>
      </c>
      <c r="C57" t="s">
        <v>1857</v>
      </c>
      <c r="D57">
        <v>6</v>
      </c>
      <c r="E57" t="s">
        <v>1447</v>
      </c>
      <c r="F57" t="s">
        <v>1858</v>
      </c>
      <c r="G57" t="s">
        <v>1829</v>
      </c>
      <c r="H57" t="s">
        <v>1799</v>
      </c>
      <c r="I57" t="s">
        <v>1799</v>
      </c>
      <c r="J57" t="s">
        <v>1799</v>
      </c>
      <c r="K57" t="s">
        <v>1799</v>
      </c>
      <c r="L57" t="s">
        <v>1447</v>
      </c>
      <c r="M57" t="s">
        <v>1799</v>
      </c>
      <c r="N57" t="s">
        <v>1799</v>
      </c>
      <c r="O57" s="184" t="str">
        <f>"["&amp;$C57&amp;"]["&amp;$D57&amp;"]["&amp;$F57&amp;"]"</f>
        <v>[S02_CompetentAuthorityCoordination][6][CACoordinationYesNo]</v>
      </c>
    </row>
    <row r="58" spans="1:15" x14ac:dyDescent="0.3">
      <c r="A58" t="s">
        <v>1793</v>
      </c>
      <c r="B58" t="s">
        <v>1854</v>
      </c>
      <c r="C58" t="s">
        <v>1857</v>
      </c>
      <c r="D58">
        <v>1</v>
      </c>
      <c r="E58" t="s">
        <v>1447</v>
      </c>
      <c r="F58" t="s">
        <v>1859</v>
      </c>
      <c r="G58" t="s">
        <v>1860</v>
      </c>
      <c r="H58" t="s">
        <v>1799</v>
      </c>
      <c r="I58" t="s">
        <v>1799</v>
      </c>
      <c r="J58" t="s">
        <v>1799</v>
      </c>
      <c r="K58" t="s">
        <v>1756</v>
      </c>
      <c r="L58" t="s">
        <v>1799</v>
      </c>
      <c r="M58" t="s">
        <v>1799</v>
      </c>
      <c r="N58" t="s">
        <v>1799</v>
      </c>
      <c r="O58" s="184" t="str">
        <f>"["&amp;$C58&amp;"]["&amp;$D58&amp;"]["&amp;$F58&amp;"]"</f>
        <v>[S02_CompetentAuthorityCoordination][1][CACoordinationComment]</v>
      </c>
    </row>
    <row r="59" spans="1:15" x14ac:dyDescent="0.3">
      <c r="A59" t="s">
        <v>1793</v>
      </c>
      <c r="B59" t="s">
        <v>1854</v>
      </c>
      <c r="C59" t="s">
        <v>1857</v>
      </c>
      <c r="D59">
        <v>2</v>
      </c>
      <c r="E59" t="s">
        <v>1447</v>
      </c>
      <c r="F59" t="s">
        <v>1859</v>
      </c>
      <c r="G59" t="s">
        <v>1860</v>
      </c>
      <c r="H59" t="s">
        <v>1799</v>
      </c>
      <c r="I59" t="s">
        <v>1799</v>
      </c>
      <c r="J59" t="s">
        <v>1799</v>
      </c>
      <c r="K59" t="s">
        <v>1756</v>
      </c>
      <c r="L59" t="s">
        <v>1799</v>
      </c>
      <c r="M59" t="s">
        <v>1799</v>
      </c>
      <c r="N59" t="s">
        <v>1799</v>
      </c>
      <c r="O59" s="184" t="str">
        <f>"["&amp;$C59&amp;"]["&amp;$D59&amp;"]["&amp;$F59&amp;"]"</f>
        <v>[S02_CompetentAuthorityCoordination][2][CACoordinationComment]</v>
      </c>
    </row>
    <row r="60" spans="1:15" x14ac:dyDescent="0.3">
      <c r="A60" t="s">
        <v>1793</v>
      </c>
      <c r="B60" t="s">
        <v>1854</v>
      </c>
      <c r="C60" t="s">
        <v>1857</v>
      </c>
      <c r="D60">
        <v>3</v>
      </c>
      <c r="E60" t="s">
        <v>1447</v>
      </c>
      <c r="F60" t="s">
        <v>1859</v>
      </c>
      <c r="G60" t="s">
        <v>1860</v>
      </c>
      <c r="H60" t="s">
        <v>1799</v>
      </c>
      <c r="I60" t="s">
        <v>1799</v>
      </c>
      <c r="J60" t="s">
        <v>1799</v>
      </c>
      <c r="K60" t="s">
        <v>1756</v>
      </c>
      <c r="L60" t="s">
        <v>1799</v>
      </c>
      <c r="M60" t="s">
        <v>1799</v>
      </c>
      <c r="N60" t="s">
        <v>1799</v>
      </c>
      <c r="O60" s="184" t="str">
        <f>"["&amp;$C60&amp;"]["&amp;$D60&amp;"]["&amp;$F60&amp;"]"</f>
        <v>[S02_CompetentAuthorityCoordination][3][CACoordinationComment]</v>
      </c>
    </row>
    <row r="61" spans="1:15" x14ac:dyDescent="0.3">
      <c r="A61" t="s">
        <v>1793</v>
      </c>
      <c r="B61" t="s">
        <v>1854</v>
      </c>
      <c r="C61" t="s">
        <v>1857</v>
      </c>
      <c r="D61">
        <v>4</v>
      </c>
      <c r="E61" t="s">
        <v>1447</v>
      </c>
      <c r="F61" t="s">
        <v>1859</v>
      </c>
      <c r="G61" t="s">
        <v>1860</v>
      </c>
      <c r="H61" t="s">
        <v>1799</v>
      </c>
      <c r="I61" t="s">
        <v>1799</v>
      </c>
      <c r="J61" t="s">
        <v>1799</v>
      </c>
      <c r="K61" t="s">
        <v>1756</v>
      </c>
      <c r="L61" t="s">
        <v>1799</v>
      </c>
      <c r="M61" t="s">
        <v>1799</v>
      </c>
      <c r="N61" t="s">
        <v>1799</v>
      </c>
      <c r="O61" s="184" t="str">
        <f>"["&amp;$C61&amp;"]["&amp;$D61&amp;"]["&amp;$F61&amp;"]"</f>
        <v>[S02_CompetentAuthorityCoordination][4][CACoordinationComment]</v>
      </c>
    </row>
    <row r="62" spans="1:15" x14ac:dyDescent="0.3">
      <c r="A62" t="s">
        <v>1793</v>
      </c>
      <c r="B62" t="s">
        <v>1854</v>
      </c>
      <c r="C62" t="s">
        <v>1857</v>
      </c>
      <c r="D62">
        <v>5</v>
      </c>
      <c r="E62" t="s">
        <v>1447</v>
      </c>
      <c r="F62" t="s">
        <v>1859</v>
      </c>
      <c r="G62" t="s">
        <v>1860</v>
      </c>
      <c r="H62" t="s">
        <v>1799</v>
      </c>
      <c r="I62" t="s">
        <v>1799</v>
      </c>
      <c r="J62" t="s">
        <v>1799</v>
      </c>
      <c r="K62" t="s">
        <v>1756</v>
      </c>
      <c r="L62" t="s">
        <v>1799</v>
      </c>
      <c r="M62" t="s">
        <v>1799</v>
      </c>
      <c r="N62" t="s">
        <v>1799</v>
      </c>
      <c r="O62" s="184" t="str">
        <f>"["&amp;$C62&amp;"]["&amp;$D62&amp;"]["&amp;$F62&amp;"]"</f>
        <v>[S02_CompetentAuthorityCoordination][5][CACoordinationComment]</v>
      </c>
    </row>
    <row r="63" spans="1:15" x14ac:dyDescent="0.3">
      <c r="A63" t="s">
        <v>1793</v>
      </c>
      <c r="B63" t="s">
        <v>1854</v>
      </c>
      <c r="C63" t="s">
        <v>1857</v>
      </c>
      <c r="D63">
        <v>6</v>
      </c>
      <c r="E63" t="s">
        <v>1447</v>
      </c>
      <c r="F63" t="s">
        <v>1859</v>
      </c>
      <c r="G63" t="s">
        <v>1860</v>
      </c>
      <c r="H63" t="s">
        <v>1799</v>
      </c>
      <c r="I63" t="s">
        <v>1799</v>
      </c>
      <c r="J63" t="s">
        <v>1799</v>
      </c>
      <c r="K63" t="s">
        <v>1756</v>
      </c>
      <c r="L63" t="s">
        <v>1799</v>
      </c>
      <c r="M63" t="s">
        <v>1799</v>
      </c>
      <c r="N63" t="s">
        <v>1799</v>
      </c>
      <c r="O63" s="184" t="str">
        <f>"["&amp;$C63&amp;"]["&amp;$D63&amp;"]["&amp;$F63&amp;"]"</f>
        <v>[S02_CompetentAuthorityCoordination][6][CACoordinationComment]</v>
      </c>
    </row>
    <row r="64" spans="1:15" x14ac:dyDescent="0.3">
      <c r="A64" t="s">
        <v>1793</v>
      </c>
      <c r="B64" t="s">
        <v>1861</v>
      </c>
      <c r="C64" t="s">
        <v>1862</v>
      </c>
      <c r="D64">
        <v>1</v>
      </c>
      <c r="E64" t="s">
        <v>1447</v>
      </c>
      <c r="F64" t="s">
        <v>1863</v>
      </c>
      <c r="G64" t="s">
        <v>1829</v>
      </c>
      <c r="H64" t="s">
        <v>1799</v>
      </c>
      <c r="I64" t="s">
        <v>1799</v>
      </c>
      <c r="J64" t="s">
        <v>1799</v>
      </c>
      <c r="K64" t="s">
        <v>1799</v>
      </c>
      <c r="L64" t="s">
        <v>1419</v>
      </c>
      <c r="M64" t="s">
        <v>1799</v>
      </c>
      <c r="N64" t="s">
        <v>1799</v>
      </c>
      <c r="O64" s="184" t="str">
        <f>"["&amp;$C64&amp;"]["&amp;$D64&amp;"]["&amp;$F64&amp;"]"</f>
        <v>[S02_InformationExchangeAccBodyAndCA][1][InfoExchangeYesNo]</v>
      </c>
    </row>
    <row r="65" spans="1:15" x14ac:dyDescent="0.3">
      <c r="A65" t="s">
        <v>1793</v>
      </c>
      <c r="B65" t="s">
        <v>1861</v>
      </c>
      <c r="C65" t="s">
        <v>1862</v>
      </c>
      <c r="D65">
        <v>2</v>
      </c>
      <c r="E65" t="s">
        <v>1447</v>
      </c>
      <c r="F65" t="s">
        <v>1863</v>
      </c>
      <c r="G65" t="s">
        <v>1829</v>
      </c>
      <c r="H65" t="s">
        <v>1799</v>
      </c>
      <c r="I65" t="s">
        <v>1799</v>
      </c>
      <c r="J65" t="s">
        <v>1799</v>
      </c>
      <c r="K65" t="s">
        <v>1799</v>
      </c>
      <c r="L65" t="s">
        <v>1447</v>
      </c>
      <c r="M65" t="s">
        <v>1799</v>
      </c>
      <c r="N65" t="s">
        <v>1799</v>
      </c>
      <c r="O65" s="184" t="str">
        <f>"["&amp;$C65&amp;"]["&amp;$D65&amp;"]["&amp;$F65&amp;"]"</f>
        <v>[S02_InformationExchangeAccBodyAndCA][2][InfoExchangeYesNo]</v>
      </c>
    </row>
    <row r="66" spans="1:15" x14ac:dyDescent="0.3">
      <c r="A66" t="s">
        <v>1793</v>
      </c>
      <c r="B66" t="s">
        <v>1861</v>
      </c>
      <c r="C66" t="s">
        <v>1862</v>
      </c>
      <c r="D66">
        <v>3</v>
      </c>
      <c r="E66" t="s">
        <v>1447</v>
      </c>
      <c r="F66" t="s">
        <v>1863</v>
      </c>
      <c r="G66" t="s">
        <v>1829</v>
      </c>
      <c r="H66" t="s">
        <v>1799</v>
      </c>
      <c r="I66" t="s">
        <v>1799</v>
      </c>
      <c r="J66" t="s">
        <v>1799</v>
      </c>
      <c r="K66" t="s">
        <v>1799</v>
      </c>
      <c r="L66" t="s">
        <v>1447</v>
      </c>
      <c r="M66" t="s">
        <v>1799</v>
      </c>
      <c r="N66" t="s">
        <v>1799</v>
      </c>
      <c r="O66" s="184" t="str">
        <f>"["&amp;$C66&amp;"]["&amp;$D66&amp;"]["&amp;$F66&amp;"]"</f>
        <v>[S02_InformationExchangeAccBodyAndCA][3][InfoExchangeYesNo]</v>
      </c>
    </row>
    <row r="67" spans="1:15" x14ac:dyDescent="0.3">
      <c r="A67" t="s">
        <v>1793</v>
      </c>
      <c r="B67" t="s">
        <v>1861</v>
      </c>
      <c r="C67" t="s">
        <v>1862</v>
      </c>
      <c r="D67">
        <v>1</v>
      </c>
      <c r="E67" t="s">
        <v>1447</v>
      </c>
      <c r="F67" t="s">
        <v>1864</v>
      </c>
      <c r="G67" t="s">
        <v>1860</v>
      </c>
      <c r="H67" t="s">
        <v>1799</v>
      </c>
      <c r="I67" t="s">
        <v>1799</v>
      </c>
      <c r="J67" t="s">
        <v>1799</v>
      </c>
      <c r="K67" t="s">
        <v>1865</v>
      </c>
      <c r="L67" t="s">
        <v>1799</v>
      </c>
      <c r="M67" t="s">
        <v>1799</v>
      </c>
      <c r="N67" t="s">
        <v>1799</v>
      </c>
      <c r="O67" s="184" t="str">
        <f>"["&amp;$C67&amp;"]["&amp;$D67&amp;"]["&amp;$F67&amp;"]"</f>
        <v>[S02_InformationExchangeAccBodyAndCA][1][InfoExchangeComment]</v>
      </c>
    </row>
    <row r="68" spans="1:15" x14ac:dyDescent="0.3">
      <c r="A68" t="s">
        <v>1793</v>
      </c>
      <c r="B68" t="s">
        <v>1861</v>
      </c>
      <c r="C68" t="s">
        <v>1862</v>
      </c>
      <c r="D68">
        <v>2</v>
      </c>
      <c r="E68" t="s">
        <v>1447</v>
      </c>
      <c r="F68" t="s">
        <v>1864</v>
      </c>
      <c r="G68" t="s">
        <v>1860</v>
      </c>
      <c r="H68" t="s">
        <v>1799</v>
      </c>
      <c r="I68" t="s">
        <v>1799</v>
      </c>
      <c r="J68" t="s">
        <v>1799</v>
      </c>
      <c r="K68" t="s">
        <v>1866</v>
      </c>
      <c r="L68" t="s">
        <v>1799</v>
      </c>
      <c r="M68" t="s">
        <v>1799</v>
      </c>
      <c r="N68" t="s">
        <v>1799</v>
      </c>
      <c r="O68" s="184" t="str">
        <f>"["&amp;$C68&amp;"]["&amp;$D68&amp;"]["&amp;$F68&amp;"]"</f>
        <v>[S02_InformationExchangeAccBodyAndCA][2][InfoExchangeComment]</v>
      </c>
    </row>
    <row r="69" spans="1:15" x14ac:dyDescent="0.3">
      <c r="A69" t="s">
        <v>1793</v>
      </c>
      <c r="B69" t="s">
        <v>1861</v>
      </c>
      <c r="C69" t="s">
        <v>1862</v>
      </c>
      <c r="D69">
        <v>3</v>
      </c>
      <c r="E69" t="s">
        <v>1447</v>
      </c>
      <c r="F69" t="s">
        <v>1864</v>
      </c>
      <c r="G69" t="s">
        <v>1860</v>
      </c>
      <c r="H69" t="s">
        <v>1799</v>
      </c>
      <c r="I69" t="s">
        <v>1799</v>
      </c>
      <c r="J69" t="s">
        <v>1799</v>
      </c>
      <c r="K69" t="s">
        <v>1867</v>
      </c>
      <c r="L69" t="s">
        <v>1799</v>
      </c>
      <c r="M69" t="s">
        <v>1799</v>
      </c>
      <c r="N69" t="s">
        <v>1799</v>
      </c>
      <c r="O69" s="184" t="str">
        <f>"["&amp;$C69&amp;"]["&amp;$D69&amp;"]["&amp;$F69&amp;"]"</f>
        <v>[S02_InformationExchangeAccBodyAndCA][3][InfoExchangeComment]</v>
      </c>
    </row>
    <row r="70" spans="1:15" x14ac:dyDescent="0.3">
      <c r="A70" t="s">
        <v>1793</v>
      </c>
      <c r="B70" t="s">
        <v>1868</v>
      </c>
      <c r="C70" t="s">
        <v>1869</v>
      </c>
      <c r="D70">
        <v>1</v>
      </c>
      <c r="E70" t="s">
        <v>1447</v>
      </c>
      <c r="F70" t="s">
        <v>1870</v>
      </c>
      <c r="G70" t="s">
        <v>1811</v>
      </c>
      <c r="H70" t="s">
        <v>1799</v>
      </c>
      <c r="I70">
        <v>4</v>
      </c>
      <c r="J70" t="s">
        <v>1799</v>
      </c>
      <c r="K70" t="s">
        <v>1799</v>
      </c>
      <c r="L70" t="s">
        <v>1799</v>
      </c>
      <c r="M70" t="s">
        <v>1799</v>
      </c>
      <c r="N70" t="s">
        <v>1799</v>
      </c>
      <c r="O70" s="184" t="str">
        <f>"["&amp;$C70&amp;"]["&amp;$D70&amp;"]["&amp;$F70&amp;"]"</f>
        <v>[S03_EmittingInstallations][1][NumberOfInstallations]</v>
      </c>
    </row>
    <row r="71" spans="1:15" x14ac:dyDescent="0.3">
      <c r="A71" t="s">
        <v>1793</v>
      </c>
      <c r="B71" t="s">
        <v>1868</v>
      </c>
      <c r="C71" t="s">
        <v>1869</v>
      </c>
      <c r="D71">
        <v>2</v>
      </c>
      <c r="E71" t="s">
        <v>1447</v>
      </c>
      <c r="F71" t="s">
        <v>1870</v>
      </c>
      <c r="G71" t="s">
        <v>1811</v>
      </c>
      <c r="H71" t="s">
        <v>1799</v>
      </c>
      <c r="I71">
        <v>2</v>
      </c>
      <c r="J71" t="s">
        <v>1799</v>
      </c>
      <c r="K71" t="s">
        <v>1799</v>
      </c>
      <c r="L71" t="s">
        <v>1799</v>
      </c>
      <c r="M71" t="s">
        <v>1799</v>
      </c>
      <c r="N71" t="s">
        <v>1799</v>
      </c>
      <c r="O71" s="184" t="str">
        <f>"["&amp;$C71&amp;"]["&amp;$D71&amp;"]["&amp;$F71&amp;"]"</f>
        <v>[S03_EmittingInstallations][2][NumberOfInstallations]</v>
      </c>
    </row>
    <row r="72" spans="1:15" x14ac:dyDescent="0.3">
      <c r="A72" t="s">
        <v>1793</v>
      </c>
      <c r="B72" t="s">
        <v>1868</v>
      </c>
      <c r="C72" t="s">
        <v>1869</v>
      </c>
      <c r="D72">
        <v>3</v>
      </c>
      <c r="E72" t="s">
        <v>1447</v>
      </c>
      <c r="F72" t="s">
        <v>1870</v>
      </c>
      <c r="G72" t="s">
        <v>1811</v>
      </c>
      <c r="H72" t="s">
        <v>1799</v>
      </c>
      <c r="I72">
        <v>1</v>
      </c>
      <c r="J72" t="s">
        <v>1799</v>
      </c>
      <c r="K72" t="s">
        <v>1799</v>
      </c>
      <c r="L72" t="s">
        <v>1799</v>
      </c>
      <c r="M72" t="s">
        <v>1799</v>
      </c>
      <c r="N72" t="s">
        <v>1799</v>
      </c>
      <c r="O72" s="184" t="str">
        <f>"["&amp;$C72&amp;"]["&amp;$D72&amp;"]["&amp;$F72&amp;"]"</f>
        <v>[S03_EmittingInstallations][3][NumberOfInstallations]</v>
      </c>
    </row>
    <row r="73" spans="1:15" x14ac:dyDescent="0.3">
      <c r="A73" t="s">
        <v>1793</v>
      </c>
      <c r="B73" t="s">
        <v>1868</v>
      </c>
      <c r="C73" t="s">
        <v>1869</v>
      </c>
      <c r="D73">
        <v>4</v>
      </c>
      <c r="E73" t="s">
        <v>1447</v>
      </c>
      <c r="F73" t="s">
        <v>1870</v>
      </c>
      <c r="G73" t="s">
        <v>1811</v>
      </c>
      <c r="H73" t="s">
        <v>1799</v>
      </c>
      <c r="I73">
        <v>1</v>
      </c>
      <c r="J73" t="s">
        <v>1799</v>
      </c>
      <c r="K73" t="s">
        <v>1799</v>
      </c>
      <c r="L73" t="s">
        <v>1799</v>
      </c>
      <c r="M73" t="s">
        <v>1799</v>
      </c>
      <c r="N73" t="s">
        <v>1799</v>
      </c>
      <c r="O73" s="184" t="str">
        <f>"["&amp;$C73&amp;"]["&amp;$D73&amp;"]["&amp;$F73&amp;"]"</f>
        <v>[S03_EmittingInstallations][4][NumberOfInstallations]</v>
      </c>
    </row>
    <row r="74" spans="1:15" x14ac:dyDescent="0.3">
      <c r="A74" t="s">
        <v>1793</v>
      </c>
      <c r="B74" t="s">
        <v>1868</v>
      </c>
      <c r="C74" t="s">
        <v>1869</v>
      </c>
      <c r="D74">
        <v>5</v>
      </c>
      <c r="E74" t="s">
        <v>1447</v>
      </c>
      <c r="F74" t="s">
        <v>1870</v>
      </c>
      <c r="G74" t="s">
        <v>1811</v>
      </c>
      <c r="H74" t="s">
        <v>1799</v>
      </c>
      <c r="I74">
        <v>2</v>
      </c>
      <c r="J74" t="s">
        <v>1799</v>
      </c>
      <c r="K74" t="s">
        <v>1799</v>
      </c>
      <c r="L74" t="s">
        <v>1799</v>
      </c>
      <c r="M74" t="s">
        <v>1799</v>
      </c>
      <c r="N74" t="s">
        <v>1799</v>
      </c>
      <c r="O74" s="184" t="str">
        <f>"["&amp;$C74&amp;"]["&amp;$D74&amp;"]["&amp;$F74&amp;"]"</f>
        <v>[S03_EmittingInstallations][5][NumberOfInstallations]</v>
      </c>
    </row>
    <row r="75" spans="1:15" x14ac:dyDescent="0.3">
      <c r="A75" t="s">
        <v>1793</v>
      </c>
      <c r="B75" t="s">
        <v>1868</v>
      </c>
      <c r="C75" t="s">
        <v>1871</v>
      </c>
      <c r="D75">
        <v>1</v>
      </c>
      <c r="E75" t="s">
        <v>1447</v>
      </c>
      <c r="F75" t="s">
        <v>1872</v>
      </c>
      <c r="G75" t="s">
        <v>1829</v>
      </c>
      <c r="H75" t="s">
        <v>1799</v>
      </c>
      <c r="I75" t="s">
        <v>1799</v>
      </c>
      <c r="J75" t="s">
        <v>1799</v>
      </c>
      <c r="K75" t="s">
        <v>1799</v>
      </c>
      <c r="L75" t="s">
        <v>1419</v>
      </c>
      <c r="M75" t="s">
        <v>1799</v>
      </c>
      <c r="N75" t="s">
        <v>1799</v>
      </c>
      <c r="O75" s="184" t="str">
        <f>"["&amp;$C75&amp;"]["&amp;$D75&amp;"]["&amp;$F75&amp;"]"</f>
        <v>[S03_ActivityPermits][1][ActivityPermitsIssued]</v>
      </c>
    </row>
    <row r="76" spans="1:15" x14ac:dyDescent="0.3">
      <c r="A76" t="s">
        <v>1793</v>
      </c>
      <c r="B76" t="s">
        <v>1868</v>
      </c>
      <c r="C76" t="s">
        <v>1871</v>
      </c>
      <c r="D76">
        <v>2</v>
      </c>
      <c r="E76" t="s">
        <v>1447</v>
      </c>
      <c r="F76" t="s">
        <v>1872</v>
      </c>
      <c r="G76" t="s">
        <v>1829</v>
      </c>
      <c r="H76" t="s">
        <v>1799</v>
      </c>
      <c r="I76" t="s">
        <v>1799</v>
      </c>
      <c r="J76" t="s">
        <v>1799</v>
      </c>
      <c r="K76" t="s">
        <v>1799</v>
      </c>
      <c r="L76" t="s">
        <v>1447</v>
      </c>
      <c r="M76" t="s">
        <v>1799</v>
      </c>
      <c r="N76" t="s">
        <v>1799</v>
      </c>
      <c r="O76" s="184" t="str">
        <f>"["&amp;$C76&amp;"]["&amp;$D76&amp;"]["&amp;$F76&amp;"]"</f>
        <v>[S03_ActivityPermits][2][ActivityPermitsIssued]</v>
      </c>
    </row>
    <row r="77" spans="1:15" x14ac:dyDescent="0.3">
      <c r="A77" t="s">
        <v>1793</v>
      </c>
      <c r="B77" t="s">
        <v>1868</v>
      </c>
      <c r="C77" t="s">
        <v>1871</v>
      </c>
      <c r="D77">
        <v>3</v>
      </c>
      <c r="E77" t="s">
        <v>1447</v>
      </c>
      <c r="F77" t="s">
        <v>1872</v>
      </c>
      <c r="G77" t="s">
        <v>1829</v>
      </c>
      <c r="H77" t="s">
        <v>1799</v>
      </c>
      <c r="I77" t="s">
        <v>1799</v>
      </c>
      <c r="J77" t="s">
        <v>1799</v>
      </c>
      <c r="K77" t="s">
        <v>1799</v>
      </c>
      <c r="L77" t="s">
        <v>1447</v>
      </c>
      <c r="M77" t="s">
        <v>1799</v>
      </c>
      <c r="N77" t="s">
        <v>1799</v>
      </c>
      <c r="O77" s="184" t="str">
        <f>"["&amp;$C77&amp;"]["&amp;$D77&amp;"]["&amp;$F77&amp;"]"</f>
        <v>[S03_ActivityPermits][3][ActivityPermitsIssued]</v>
      </c>
    </row>
    <row r="78" spans="1:15" x14ac:dyDescent="0.3">
      <c r="A78" t="s">
        <v>1793</v>
      </c>
      <c r="B78" t="s">
        <v>1868</v>
      </c>
      <c r="C78" t="s">
        <v>1871</v>
      </c>
      <c r="D78">
        <v>4</v>
      </c>
      <c r="E78" t="s">
        <v>1447</v>
      </c>
      <c r="F78" t="s">
        <v>1872</v>
      </c>
      <c r="G78" t="s">
        <v>1829</v>
      </c>
      <c r="H78" t="s">
        <v>1799</v>
      </c>
      <c r="I78" t="s">
        <v>1799</v>
      </c>
      <c r="J78" t="s">
        <v>1799</v>
      </c>
      <c r="K78" t="s">
        <v>1799</v>
      </c>
      <c r="L78" t="s">
        <v>1447</v>
      </c>
      <c r="M78" t="s">
        <v>1799</v>
      </c>
      <c r="N78" t="s">
        <v>1799</v>
      </c>
      <c r="O78" s="184" t="str">
        <f>"["&amp;$C78&amp;"]["&amp;$D78&amp;"]["&amp;$F78&amp;"]"</f>
        <v>[S03_ActivityPermits][4][ActivityPermitsIssued]</v>
      </c>
    </row>
    <row r="79" spans="1:15" x14ac:dyDescent="0.3">
      <c r="A79" t="s">
        <v>1793</v>
      </c>
      <c r="B79" t="s">
        <v>1868</v>
      </c>
      <c r="C79" t="s">
        <v>1871</v>
      </c>
      <c r="D79">
        <v>5</v>
      </c>
      <c r="E79" t="s">
        <v>1447</v>
      </c>
      <c r="F79" t="s">
        <v>1872</v>
      </c>
      <c r="G79" t="s">
        <v>1829</v>
      </c>
      <c r="H79" t="s">
        <v>1799</v>
      </c>
      <c r="I79" t="s">
        <v>1799</v>
      </c>
      <c r="J79" t="s">
        <v>1799</v>
      </c>
      <c r="K79" t="s">
        <v>1799</v>
      </c>
      <c r="L79" t="s">
        <v>1447</v>
      </c>
      <c r="M79" t="s">
        <v>1799</v>
      </c>
      <c r="N79" t="s">
        <v>1799</v>
      </c>
      <c r="O79" s="184" t="str">
        <f>"["&amp;$C79&amp;"]["&amp;$D79&amp;"]["&amp;$F79&amp;"]"</f>
        <v>[S03_ActivityPermits][5][ActivityPermitsIssued]</v>
      </c>
    </row>
    <row r="80" spans="1:15" x14ac:dyDescent="0.3">
      <c r="A80" t="s">
        <v>1793</v>
      </c>
      <c r="B80" t="s">
        <v>1868</v>
      </c>
      <c r="C80" t="s">
        <v>1871</v>
      </c>
      <c r="D80">
        <v>6</v>
      </c>
      <c r="E80" t="s">
        <v>1447</v>
      </c>
      <c r="F80" t="s">
        <v>1872</v>
      </c>
      <c r="G80" t="s">
        <v>1829</v>
      </c>
      <c r="H80" t="s">
        <v>1799</v>
      </c>
      <c r="I80" t="s">
        <v>1799</v>
      </c>
      <c r="J80" t="s">
        <v>1799</v>
      </c>
      <c r="K80" t="s">
        <v>1799</v>
      </c>
      <c r="L80" t="s">
        <v>1447</v>
      </c>
      <c r="M80" t="s">
        <v>1799</v>
      </c>
      <c r="N80" t="s">
        <v>1799</v>
      </c>
      <c r="O80" s="184" t="str">
        <f>"["&amp;$C80&amp;"]["&amp;$D80&amp;"]["&amp;$F80&amp;"]"</f>
        <v>[S03_ActivityPermits][6][ActivityPermitsIssued]</v>
      </c>
    </row>
    <row r="81" spans="1:15" x14ac:dyDescent="0.3">
      <c r="A81" t="s">
        <v>1793</v>
      </c>
      <c r="B81" t="s">
        <v>1868</v>
      </c>
      <c r="C81" t="s">
        <v>1871</v>
      </c>
      <c r="D81">
        <v>7</v>
      </c>
      <c r="E81" t="s">
        <v>1447</v>
      </c>
      <c r="F81" t="s">
        <v>1872</v>
      </c>
      <c r="G81" t="s">
        <v>1829</v>
      </c>
      <c r="H81" t="s">
        <v>1799</v>
      </c>
      <c r="I81" t="s">
        <v>1799</v>
      </c>
      <c r="J81" t="s">
        <v>1799</v>
      </c>
      <c r="K81" t="s">
        <v>1799</v>
      </c>
      <c r="L81" t="s">
        <v>1447</v>
      </c>
      <c r="M81" t="s">
        <v>1799</v>
      </c>
      <c r="N81" t="s">
        <v>1799</v>
      </c>
      <c r="O81" s="184" t="str">
        <f>"["&amp;$C81&amp;"]["&amp;$D81&amp;"]["&amp;$F81&amp;"]"</f>
        <v>[S03_ActivityPermits][7][ActivityPermitsIssued]</v>
      </c>
    </row>
    <row r="82" spans="1:15" x14ac:dyDescent="0.3">
      <c r="A82" t="s">
        <v>1793</v>
      </c>
      <c r="B82" t="s">
        <v>1868</v>
      </c>
      <c r="C82" t="s">
        <v>1871</v>
      </c>
      <c r="D82">
        <v>8</v>
      </c>
      <c r="E82" t="s">
        <v>1447</v>
      </c>
      <c r="F82" t="s">
        <v>1872</v>
      </c>
      <c r="G82" t="s">
        <v>1829</v>
      </c>
      <c r="H82" t="s">
        <v>1799</v>
      </c>
      <c r="I82" t="s">
        <v>1799</v>
      </c>
      <c r="J82" t="s">
        <v>1799</v>
      </c>
      <c r="K82" t="s">
        <v>1799</v>
      </c>
      <c r="L82" t="s">
        <v>1447</v>
      </c>
      <c r="M82" t="s">
        <v>1799</v>
      </c>
      <c r="N82" t="s">
        <v>1799</v>
      </c>
      <c r="O82" s="184" t="str">
        <f>"["&amp;$C82&amp;"]["&amp;$D82&amp;"]["&amp;$F82&amp;"]"</f>
        <v>[S03_ActivityPermits][8][ActivityPermitsIssued]</v>
      </c>
    </row>
    <row r="83" spans="1:15" x14ac:dyDescent="0.3">
      <c r="A83" t="s">
        <v>1793</v>
      </c>
      <c r="B83" t="s">
        <v>1868</v>
      </c>
      <c r="C83" t="s">
        <v>1871</v>
      </c>
      <c r="D83">
        <v>9</v>
      </c>
      <c r="E83" t="s">
        <v>1447</v>
      </c>
      <c r="F83" t="s">
        <v>1872</v>
      </c>
      <c r="G83" t="s">
        <v>1829</v>
      </c>
      <c r="H83" t="s">
        <v>1799</v>
      </c>
      <c r="I83" t="s">
        <v>1799</v>
      </c>
      <c r="J83" t="s">
        <v>1799</v>
      </c>
      <c r="K83" t="s">
        <v>1799</v>
      </c>
      <c r="L83" t="s">
        <v>1447</v>
      </c>
      <c r="M83" t="s">
        <v>1799</v>
      </c>
      <c r="N83" t="s">
        <v>1799</v>
      </c>
      <c r="O83" s="184" t="str">
        <f>"["&amp;$C83&amp;"]["&amp;$D83&amp;"]["&amp;$F83&amp;"]"</f>
        <v>[S03_ActivityPermits][9][ActivityPermitsIssued]</v>
      </c>
    </row>
    <row r="84" spans="1:15" x14ac:dyDescent="0.3">
      <c r="A84" t="s">
        <v>1793</v>
      </c>
      <c r="B84" t="s">
        <v>1868</v>
      </c>
      <c r="C84" t="s">
        <v>1871</v>
      </c>
      <c r="D84">
        <v>10</v>
      </c>
      <c r="E84" t="s">
        <v>1447</v>
      </c>
      <c r="F84" t="s">
        <v>1872</v>
      </c>
      <c r="G84" t="s">
        <v>1829</v>
      </c>
      <c r="H84" t="s">
        <v>1799</v>
      </c>
      <c r="I84" t="s">
        <v>1799</v>
      </c>
      <c r="J84" t="s">
        <v>1799</v>
      </c>
      <c r="K84" t="s">
        <v>1799</v>
      </c>
      <c r="L84" t="s">
        <v>1447</v>
      </c>
      <c r="M84" t="s">
        <v>1799</v>
      </c>
      <c r="N84" t="s">
        <v>1799</v>
      </c>
      <c r="O84" s="184" t="str">
        <f>"["&amp;$C84&amp;"]["&amp;$D84&amp;"]["&amp;$F84&amp;"]"</f>
        <v>[S03_ActivityPermits][10][ActivityPermitsIssued]</v>
      </c>
    </row>
    <row r="85" spans="1:15" x14ac:dyDescent="0.3">
      <c r="A85" t="s">
        <v>1793</v>
      </c>
      <c r="B85" t="s">
        <v>1868</v>
      </c>
      <c r="C85" t="s">
        <v>1871</v>
      </c>
      <c r="D85">
        <v>11</v>
      </c>
      <c r="E85" t="s">
        <v>1447</v>
      </c>
      <c r="F85" t="s">
        <v>1872</v>
      </c>
      <c r="G85" t="s">
        <v>1829</v>
      </c>
      <c r="H85" t="s">
        <v>1799</v>
      </c>
      <c r="I85" t="s">
        <v>1799</v>
      </c>
      <c r="J85" t="s">
        <v>1799</v>
      </c>
      <c r="K85" t="s">
        <v>1799</v>
      </c>
      <c r="L85" t="s">
        <v>1447</v>
      </c>
      <c r="M85" t="s">
        <v>1799</v>
      </c>
      <c r="N85" t="s">
        <v>1799</v>
      </c>
      <c r="O85" s="184" t="str">
        <f>"["&amp;$C85&amp;"]["&amp;$D85&amp;"]["&amp;$F85&amp;"]"</f>
        <v>[S03_ActivityPermits][11][ActivityPermitsIssued]</v>
      </c>
    </row>
    <row r="86" spans="1:15" x14ac:dyDescent="0.3">
      <c r="A86" t="s">
        <v>1793</v>
      </c>
      <c r="B86" t="s">
        <v>1868</v>
      </c>
      <c r="C86" t="s">
        <v>1871</v>
      </c>
      <c r="D86">
        <v>12</v>
      </c>
      <c r="E86" t="s">
        <v>1447</v>
      </c>
      <c r="F86" t="s">
        <v>1872</v>
      </c>
      <c r="G86" t="s">
        <v>1829</v>
      </c>
      <c r="H86" t="s">
        <v>1799</v>
      </c>
      <c r="I86" t="s">
        <v>1799</v>
      </c>
      <c r="J86" t="s">
        <v>1799</v>
      </c>
      <c r="K86" t="s">
        <v>1799</v>
      </c>
      <c r="L86" t="s">
        <v>1447</v>
      </c>
      <c r="M86" t="s">
        <v>1799</v>
      </c>
      <c r="N86" t="s">
        <v>1799</v>
      </c>
      <c r="O86" s="184" t="str">
        <f>"["&amp;$C86&amp;"]["&amp;$D86&amp;"]["&amp;$F86&amp;"]"</f>
        <v>[S03_ActivityPermits][12][ActivityPermitsIssued]</v>
      </c>
    </row>
    <row r="87" spans="1:15" x14ac:dyDescent="0.3">
      <c r="A87" t="s">
        <v>1793</v>
      </c>
      <c r="B87" t="s">
        <v>1868</v>
      </c>
      <c r="C87" t="s">
        <v>1871</v>
      </c>
      <c r="D87">
        <v>13</v>
      </c>
      <c r="E87" t="s">
        <v>1447</v>
      </c>
      <c r="F87" t="s">
        <v>1872</v>
      </c>
      <c r="G87" t="s">
        <v>1829</v>
      </c>
      <c r="H87" t="s">
        <v>1799</v>
      </c>
      <c r="I87" t="s">
        <v>1799</v>
      </c>
      <c r="J87" t="s">
        <v>1799</v>
      </c>
      <c r="K87" t="s">
        <v>1799</v>
      </c>
      <c r="L87" t="s">
        <v>1447</v>
      </c>
      <c r="M87" t="s">
        <v>1799</v>
      </c>
      <c r="N87" t="s">
        <v>1799</v>
      </c>
      <c r="O87" s="184" t="str">
        <f>"["&amp;$C87&amp;"]["&amp;$D87&amp;"]["&amp;$F87&amp;"]"</f>
        <v>[S03_ActivityPermits][13][ActivityPermitsIssued]</v>
      </c>
    </row>
    <row r="88" spans="1:15" x14ac:dyDescent="0.3">
      <c r="A88" t="s">
        <v>1793</v>
      </c>
      <c r="B88" t="s">
        <v>1868</v>
      </c>
      <c r="C88" t="s">
        <v>1871</v>
      </c>
      <c r="D88">
        <v>14</v>
      </c>
      <c r="E88" t="s">
        <v>1447</v>
      </c>
      <c r="F88" t="s">
        <v>1872</v>
      </c>
      <c r="G88" t="s">
        <v>1829</v>
      </c>
      <c r="H88" t="s">
        <v>1799</v>
      </c>
      <c r="I88" t="s">
        <v>1799</v>
      </c>
      <c r="J88" t="s">
        <v>1799</v>
      </c>
      <c r="K88" t="s">
        <v>1799</v>
      </c>
      <c r="L88" t="s">
        <v>1447</v>
      </c>
      <c r="M88" t="s">
        <v>1799</v>
      </c>
      <c r="N88" t="s">
        <v>1799</v>
      </c>
      <c r="O88" s="184" t="str">
        <f>"["&amp;$C88&amp;"]["&amp;$D88&amp;"]["&amp;$F88&amp;"]"</f>
        <v>[S03_ActivityPermits][14][ActivityPermitsIssued]</v>
      </c>
    </row>
    <row r="89" spans="1:15" x14ac:dyDescent="0.3">
      <c r="A89" t="s">
        <v>1793</v>
      </c>
      <c r="B89" t="s">
        <v>1868</v>
      </c>
      <c r="C89" t="s">
        <v>1871</v>
      </c>
      <c r="D89">
        <v>15</v>
      </c>
      <c r="E89" t="s">
        <v>1447</v>
      </c>
      <c r="F89" t="s">
        <v>1872</v>
      </c>
      <c r="G89" t="s">
        <v>1829</v>
      </c>
      <c r="H89" t="s">
        <v>1799</v>
      </c>
      <c r="I89" t="s">
        <v>1799</v>
      </c>
      <c r="J89" t="s">
        <v>1799</v>
      </c>
      <c r="K89" t="s">
        <v>1799</v>
      </c>
      <c r="L89" t="s">
        <v>1447</v>
      </c>
      <c r="M89" t="s">
        <v>1799</v>
      </c>
      <c r="N89" t="s">
        <v>1799</v>
      </c>
      <c r="O89" s="184" t="str">
        <f>"["&amp;$C89&amp;"]["&amp;$D89&amp;"]["&amp;$F89&amp;"]"</f>
        <v>[S03_ActivityPermits][15][ActivityPermitsIssued]</v>
      </c>
    </row>
    <row r="90" spans="1:15" x14ac:dyDescent="0.3">
      <c r="A90" t="s">
        <v>1793</v>
      </c>
      <c r="B90" t="s">
        <v>1868</v>
      </c>
      <c r="C90" t="s">
        <v>1871</v>
      </c>
      <c r="D90">
        <v>16</v>
      </c>
      <c r="E90" t="s">
        <v>1447</v>
      </c>
      <c r="F90" t="s">
        <v>1872</v>
      </c>
      <c r="G90" t="s">
        <v>1829</v>
      </c>
      <c r="H90" t="s">
        <v>1799</v>
      </c>
      <c r="I90" t="s">
        <v>1799</v>
      </c>
      <c r="J90" t="s">
        <v>1799</v>
      </c>
      <c r="K90" t="s">
        <v>1799</v>
      </c>
      <c r="L90" t="s">
        <v>1447</v>
      </c>
      <c r="M90" t="s">
        <v>1799</v>
      </c>
      <c r="N90" t="s">
        <v>1799</v>
      </c>
      <c r="O90" s="184" t="str">
        <f>"["&amp;$C90&amp;"]["&amp;$D90&amp;"]["&amp;$F90&amp;"]"</f>
        <v>[S03_ActivityPermits][16][ActivityPermitsIssued]</v>
      </c>
    </row>
    <row r="91" spans="1:15" x14ac:dyDescent="0.3">
      <c r="A91" t="s">
        <v>1793</v>
      </c>
      <c r="B91" t="s">
        <v>1868</v>
      </c>
      <c r="C91" t="s">
        <v>1871</v>
      </c>
      <c r="D91">
        <v>17</v>
      </c>
      <c r="E91" t="s">
        <v>1447</v>
      </c>
      <c r="F91" t="s">
        <v>1872</v>
      </c>
      <c r="G91" t="s">
        <v>1829</v>
      </c>
      <c r="H91" t="s">
        <v>1799</v>
      </c>
      <c r="I91" t="s">
        <v>1799</v>
      </c>
      <c r="J91" t="s">
        <v>1799</v>
      </c>
      <c r="K91" t="s">
        <v>1799</v>
      </c>
      <c r="L91" t="s">
        <v>1447</v>
      </c>
      <c r="M91" t="s">
        <v>1799</v>
      </c>
      <c r="N91" t="s">
        <v>1799</v>
      </c>
      <c r="O91" s="184" t="str">
        <f>"["&amp;$C91&amp;"]["&amp;$D91&amp;"]["&amp;$F91&amp;"]"</f>
        <v>[S03_ActivityPermits][17][ActivityPermitsIssued]</v>
      </c>
    </row>
    <row r="92" spans="1:15" x14ac:dyDescent="0.3">
      <c r="A92" t="s">
        <v>1793</v>
      </c>
      <c r="B92" t="s">
        <v>1868</v>
      </c>
      <c r="C92" t="s">
        <v>1871</v>
      </c>
      <c r="D92">
        <v>18</v>
      </c>
      <c r="E92" t="s">
        <v>1447</v>
      </c>
      <c r="F92" t="s">
        <v>1872</v>
      </c>
      <c r="G92" t="s">
        <v>1829</v>
      </c>
      <c r="H92" t="s">
        <v>1799</v>
      </c>
      <c r="I92" t="s">
        <v>1799</v>
      </c>
      <c r="J92" t="s">
        <v>1799</v>
      </c>
      <c r="K92" t="s">
        <v>1799</v>
      </c>
      <c r="L92" t="s">
        <v>1447</v>
      </c>
      <c r="M92" t="s">
        <v>1799</v>
      </c>
      <c r="N92" t="s">
        <v>1799</v>
      </c>
      <c r="O92" s="184" t="str">
        <f>"["&amp;$C92&amp;"]["&amp;$D92&amp;"]["&amp;$F92&amp;"]"</f>
        <v>[S03_ActivityPermits][18][ActivityPermitsIssued]</v>
      </c>
    </row>
    <row r="93" spans="1:15" x14ac:dyDescent="0.3">
      <c r="A93" t="s">
        <v>1793</v>
      </c>
      <c r="B93" t="s">
        <v>1868</v>
      </c>
      <c r="C93" t="s">
        <v>1871</v>
      </c>
      <c r="D93">
        <v>19</v>
      </c>
      <c r="E93" t="s">
        <v>1447</v>
      </c>
      <c r="F93" t="s">
        <v>1872</v>
      </c>
      <c r="G93" t="s">
        <v>1829</v>
      </c>
      <c r="H93" t="s">
        <v>1799</v>
      </c>
      <c r="I93" t="s">
        <v>1799</v>
      </c>
      <c r="J93" t="s">
        <v>1799</v>
      </c>
      <c r="K93" t="s">
        <v>1799</v>
      </c>
      <c r="L93" t="s">
        <v>1447</v>
      </c>
      <c r="M93" t="s">
        <v>1799</v>
      </c>
      <c r="N93" t="s">
        <v>1799</v>
      </c>
      <c r="O93" s="184" t="str">
        <f>"["&amp;$C93&amp;"]["&amp;$D93&amp;"]["&amp;$F93&amp;"]"</f>
        <v>[S03_ActivityPermits][19][ActivityPermitsIssued]</v>
      </c>
    </row>
    <row r="94" spans="1:15" x14ac:dyDescent="0.3">
      <c r="A94" t="s">
        <v>1793</v>
      </c>
      <c r="B94" t="s">
        <v>1868</v>
      </c>
      <c r="C94" t="s">
        <v>1871</v>
      </c>
      <c r="D94">
        <v>20</v>
      </c>
      <c r="E94" t="s">
        <v>1447</v>
      </c>
      <c r="F94" t="s">
        <v>1872</v>
      </c>
      <c r="G94" t="s">
        <v>1829</v>
      </c>
      <c r="H94" t="s">
        <v>1799</v>
      </c>
      <c r="I94" t="s">
        <v>1799</v>
      </c>
      <c r="J94" t="s">
        <v>1799</v>
      </c>
      <c r="K94" t="s">
        <v>1799</v>
      </c>
      <c r="L94" t="s">
        <v>1447</v>
      </c>
      <c r="M94" t="s">
        <v>1799</v>
      </c>
      <c r="N94" t="s">
        <v>1799</v>
      </c>
      <c r="O94" s="184" t="str">
        <f>"["&amp;$C94&amp;"]["&amp;$D94&amp;"]["&amp;$F94&amp;"]"</f>
        <v>[S03_ActivityPermits][20][ActivityPermitsIssued]</v>
      </c>
    </row>
    <row r="95" spans="1:15" x14ac:dyDescent="0.3">
      <c r="A95" t="s">
        <v>1793</v>
      </c>
      <c r="B95" t="s">
        <v>1868</v>
      </c>
      <c r="C95" t="s">
        <v>1871</v>
      </c>
      <c r="D95">
        <v>21</v>
      </c>
      <c r="E95" t="s">
        <v>1447</v>
      </c>
      <c r="F95" t="s">
        <v>1872</v>
      </c>
      <c r="G95" t="s">
        <v>1829</v>
      </c>
      <c r="H95" t="s">
        <v>1799</v>
      </c>
      <c r="I95" t="s">
        <v>1799</v>
      </c>
      <c r="J95" t="s">
        <v>1799</v>
      </c>
      <c r="K95" t="s">
        <v>1799</v>
      </c>
      <c r="L95" t="s">
        <v>1447</v>
      </c>
      <c r="M95" t="s">
        <v>1799</v>
      </c>
      <c r="N95" t="s">
        <v>1799</v>
      </c>
      <c r="O95" s="184" t="str">
        <f>"["&amp;$C95&amp;"]["&amp;$D95&amp;"]["&amp;$F95&amp;"]"</f>
        <v>[S03_ActivityPermits][21][ActivityPermitsIssued]</v>
      </c>
    </row>
    <row r="96" spans="1:15" x14ac:dyDescent="0.3">
      <c r="A96" t="s">
        <v>1793</v>
      </c>
      <c r="B96" t="s">
        <v>1868</v>
      </c>
      <c r="C96" t="s">
        <v>1871</v>
      </c>
      <c r="D96">
        <v>22</v>
      </c>
      <c r="E96" t="s">
        <v>1447</v>
      </c>
      <c r="F96" t="s">
        <v>1872</v>
      </c>
      <c r="G96" t="s">
        <v>1829</v>
      </c>
      <c r="H96" t="s">
        <v>1799</v>
      </c>
      <c r="I96" t="s">
        <v>1799</v>
      </c>
      <c r="J96" t="s">
        <v>1799</v>
      </c>
      <c r="K96" t="s">
        <v>1799</v>
      </c>
      <c r="L96" t="s">
        <v>1447</v>
      </c>
      <c r="M96" t="s">
        <v>1799</v>
      </c>
      <c r="N96" t="s">
        <v>1799</v>
      </c>
      <c r="O96" s="184" t="str">
        <f>"["&amp;$C96&amp;"]["&amp;$D96&amp;"]["&amp;$F96&amp;"]"</f>
        <v>[S03_ActivityPermits][22][ActivityPermitsIssued]</v>
      </c>
    </row>
    <row r="97" spans="1:15" x14ac:dyDescent="0.3">
      <c r="A97" t="s">
        <v>1793</v>
      </c>
      <c r="B97" t="s">
        <v>1868</v>
      </c>
      <c r="C97" t="s">
        <v>1871</v>
      </c>
      <c r="D97">
        <v>23</v>
      </c>
      <c r="E97" t="s">
        <v>1447</v>
      </c>
      <c r="F97" t="s">
        <v>1872</v>
      </c>
      <c r="G97" t="s">
        <v>1829</v>
      </c>
      <c r="H97" t="s">
        <v>1799</v>
      </c>
      <c r="I97" t="s">
        <v>1799</v>
      </c>
      <c r="J97" t="s">
        <v>1799</v>
      </c>
      <c r="K97" t="s">
        <v>1799</v>
      </c>
      <c r="L97" t="s">
        <v>1447</v>
      </c>
      <c r="M97" t="s">
        <v>1799</v>
      </c>
      <c r="N97" t="s">
        <v>1799</v>
      </c>
      <c r="O97" s="184" t="str">
        <f>"["&amp;$C97&amp;"]["&amp;$D97&amp;"]["&amp;$F97&amp;"]"</f>
        <v>[S03_ActivityPermits][23][ActivityPermitsIssued]</v>
      </c>
    </row>
    <row r="98" spans="1:15" x14ac:dyDescent="0.3">
      <c r="A98" t="s">
        <v>1793</v>
      </c>
      <c r="B98" t="s">
        <v>1868</v>
      </c>
      <c r="C98" t="s">
        <v>1871</v>
      </c>
      <c r="D98">
        <v>24</v>
      </c>
      <c r="E98" t="s">
        <v>1447</v>
      </c>
      <c r="F98" t="s">
        <v>1872</v>
      </c>
      <c r="G98" t="s">
        <v>1829</v>
      </c>
      <c r="H98" t="s">
        <v>1799</v>
      </c>
      <c r="I98" t="s">
        <v>1799</v>
      </c>
      <c r="J98" t="s">
        <v>1799</v>
      </c>
      <c r="K98" t="s">
        <v>1799</v>
      </c>
      <c r="L98" t="s">
        <v>1447</v>
      </c>
      <c r="M98" t="s">
        <v>1799</v>
      </c>
      <c r="N98" t="s">
        <v>1799</v>
      </c>
      <c r="O98" s="184" t="str">
        <f>"["&amp;$C98&amp;"]["&amp;$D98&amp;"]["&amp;$F98&amp;"]"</f>
        <v>[S03_ActivityPermits][24][ActivityPermitsIssued]</v>
      </c>
    </row>
    <row r="99" spans="1:15" x14ac:dyDescent="0.3">
      <c r="A99" t="s">
        <v>1793</v>
      </c>
      <c r="B99" t="s">
        <v>1868</v>
      </c>
      <c r="C99" t="s">
        <v>1871</v>
      </c>
      <c r="D99">
        <v>25</v>
      </c>
      <c r="E99" t="s">
        <v>1447</v>
      </c>
      <c r="F99" t="s">
        <v>1872</v>
      </c>
      <c r="G99" t="s">
        <v>1829</v>
      </c>
      <c r="H99" t="s">
        <v>1799</v>
      </c>
      <c r="I99" t="s">
        <v>1799</v>
      </c>
      <c r="J99" t="s">
        <v>1799</v>
      </c>
      <c r="K99" t="s">
        <v>1799</v>
      </c>
      <c r="L99" t="s">
        <v>1447</v>
      </c>
      <c r="M99" t="s">
        <v>1799</v>
      </c>
      <c r="N99" t="s">
        <v>1799</v>
      </c>
      <c r="O99" s="184" t="str">
        <f>"["&amp;$C99&amp;"]["&amp;$D99&amp;"]["&amp;$F99&amp;"]"</f>
        <v>[S03_ActivityPermits][25][ActivityPermitsIssued]</v>
      </c>
    </row>
    <row r="100" spans="1:15" x14ac:dyDescent="0.3">
      <c r="A100" t="s">
        <v>1793</v>
      </c>
      <c r="B100" t="s">
        <v>1868</v>
      </c>
      <c r="C100" t="s">
        <v>1871</v>
      </c>
      <c r="D100">
        <v>26</v>
      </c>
      <c r="E100" t="s">
        <v>1447</v>
      </c>
      <c r="F100" t="s">
        <v>1872</v>
      </c>
      <c r="G100" t="s">
        <v>1829</v>
      </c>
      <c r="H100" t="s">
        <v>1799</v>
      </c>
      <c r="I100" t="s">
        <v>1799</v>
      </c>
      <c r="J100" t="s">
        <v>1799</v>
      </c>
      <c r="K100" t="s">
        <v>1799</v>
      </c>
      <c r="L100" t="s">
        <v>1447</v>
      </c>
      <c r="M100" t="s">
        <v>1799</v>
      </c>
      <c r="N100" t="s">
        <v>1799</v>
      </c>
      <c r="O100" s="184" t="str">
        <f>"["&amp;$C100&amp;"]["&amp;$D100&amp;"]["&amp;$F100&amp;"]"</f>
        <v>[S03_ActivityPermits][26][ActivityPermitsIssued]</v>
      </c>
    </row>
    <row r="101" spans="1:15" x14ac:dyDescent="0.3">
      <c r="A101" t="s">
        <v>1793</v>
      </c>
      <c r="B101" t="s">
        <v>1868</v>
      </c>
      <c r="C101" t="s">
        <v>1871</v>
      </c>
      <c r="D101">
        <v>27</v>
      </c>
      <c r="E101" t="s">
        <v>1447</v>
      </c>
      <c r="F101" t="s">
        <v>1872</v>
      </c>
      <c r="G101" t="s">
        <v>1829</v>
      </c>
      <c r="H101" t="s">
        <v>1799</v>
      </c>
      <c r="I101" t="s">
        <v>1799</v>
      </c>
      <c r="J101" t="s">
        <v>1799</v>
      </c>
      <c r="K101" t="s">
        <v>1799</v>
      </c>
      <c r="L101" t="s">
        <v>1447</v>
      </c>
      <c r="M101" t="s">
        <v>1799</v>
      </c>
      <c r="N101" t="s">
        <v>1799</v>
      </c>
      <c r="O101" s="184" t="str">
        <f>"["&amp;$C101&amp;"]["&amp;$D101&amp;"]["&amp;$F101&amp;"]"</f>
        <v>[S03_ActivityPermits][27][ActivityPermitsIssued]</v>
      </c>
    </row>
    <row r="102" spans="1:15" x14ac:dyDescent="0.3">
      <c r="A102" t="s">
        <v>1793</v>
      </c>
      <c r="B102" t="s">
        <v>1868</v>
      </c>
      <c r="C102" t="s">
        <v>1871</v>
      </c>
      <c r="D102">
        <v>28</v>
      </c>
      <c r="E102" t="s">
        <v>1447</v>
      </c>
      <c r="F102" t="s">
        <v>1872</v>
      </c>
      <c r="G102" t="s">
        <v>1829</v>
      </c>
      <c r="H102" t="s">
        <v>1799</v>
      </c>
      <c r="I102" t="s">
        <v>1799</v>
      </c>
      <c r="J102" t="s">
        <v>1799</v>
      </c>
      <c r="K102" t="s">
        <v>1799</v>
      </c>
      <c r="L102" t="s">
        <v>1447</v>
      </c>
      <c r="M102" t="s">
        <v>1799</v>
      </c>
      <c r="N102" t="s">
        <v>1799</v>
      </c>
      <c r="O102" s="184" t="str">
        <f>"["&amp;$C102&amp;"]["&amp;$D102&amp;"]["&amp;$F102&amp;"]"</f>
        <v>[S03_ActivityPermits][28][ActivityPermitsIssued]</v>
      </c>
    </row>
    <row r="103" spans="1:15" x14ac:dyDescent="0.3">
      <c r="A103" t="s">
        <v>1793</v>
      </c>
      <c r="B103" t="s">
        <v>1873</v>
      </c>
      <c r="C103" t="s">
        <v>1874</v>
      </c>
      <c r="D103">
        <v>0</v>
      </c>
      <c r="E103" t="s">
        <v>1447</v>
      </c>
      <c r="F103" t="s">
        <v>1874</v>
      </c>
      <c r="G103" t="s">
        <v>1829</v>
      </c>
      <c r="H103" t="s">
        <v>1799</v>
      </c>
      <c r="I103" t="s">
        <v>1799</v>
      </c>
      <c r="J103" t="s">
        <v>1799</v>
      </c>
      <c r="K103" t="s">
        <v>1799</v>
      </c>
      <c r="L103" t="s">
        <v>1419</v>
      </c>
      <c r="M103" t="s">
        <v>1799</v>
      </c>
      <c r="N103" t="s">
        <v>1799</v>
      </c>
      <c r="O103" s="184" t="str">
        <f>"["&amp;$C103&amp;"]["&amp;$D103&amp;"]["&amp;$F103&amp;"]"</f>
        <v>[InstallationsExcludedArt27][0][InstallationsExcludedArt27]</v>
      </c>
    </row>
    <row r="104" spans="1:15" x14ac:dyDescent="0.3">
      <c r="A104" t="s">
        <v>1793</v>
      </c>
      <c r="B104" t="s">
        <v>1873</v>
      </c>
      <c r="C104" t="s">
        <v>1875</v>
      </c>
      <c r="D104">
        <v>1</v>
      </c>
      <c r="E104" t="s">
        <v>1447</v>
      </c>
      <c r="F104" t="s">
        <v>1876</v>
      </c>
      <c r="G104" t="s">
        <v>1737</v>
      </c>
      <c r="H104" t="s">
        <v>1799</v>
      </c>
      <c r="I104" t="s">
        <v>1799</v>
      </c>
      <c r="J104" t="s">
        <v>1799</v>
      </c>
      <c r="K104" t="s">
        <v>1799</v>
      </c>
      <c r="L104" t="s">
        <v>1451</v>
      </c>
      <c r="M104" t="s">
        <v>1799</v>
      </c>
      <c r="N104" t="s">
        <v>1799</v>
      </c>
      <c r="O104" s="184" t="str">
        <f>"["&amp;$C104&amp;"]["&amp;$D104&amp;"]["&amp;$F104&amp;"]"</f>
        <v>[S03_InstallationsExcludedArt27Detail][1][ExclusionArticle]</v>
      </c>
    </row>
    <row r="105" spans="1:15" x14ac:dyDescent="0.3">
      <c r="A105" t="s">
        <v>1793</v>
      </c>
      <c r="B105" t="s">
        <v>1873</v>
      </c>
      <c r="C105" t="s">
        <v>1875</v>
      </c>
      <c r="D105">
        <v>1</v>
      </c>
      <c r="E105" t="s">
        <v>1447</v>
      </c>
      <c r="F105" t="s">
        <v>1877</v>
      </c>
      <c r="G105" t="s">
        <v>1878</v>
      </c>
      <c r="H105" t="s">
        <v>1799</v>
      </c>
      <c r="I105" t="s">
        <v>1799</v>
      </c>
      <c r="J105">
        <v>994</v>
      </c>
      <c r="K105" t="s">
        <v>1799</v>
      </c>
      <c r="L105" t="s">
        <v>1799</v>
      </c>
      <c r="M105" t="s">
        <v>1799</v>
      </c>
      <c r="N105" t="s">
        <v>1799</v>
      </c>
      <c r="O105" s="184" t="str">
        <f>"["&amp;$C105&amp;"]["&amp;$D105&amp;"]["&amp;$F105&amp;"]"</f>
        <v>[S03_InstallationsExcludedArt27Detail][1][InstallationsExcludedEmissions]</v>
      </c>
    </row>
    <row r="106" spans="1:15" x14ac:dyDescent="0.3">
      <c r="A106" t="s">
        <v>1793</v>
      </c>
      <c r="B106" t="s">
        <v>1873</v>
      </c>
      <c r="C106" t="s">
        <v>1875</v>
      </c>
      <c r="D106">
        <v>1</v>
      </c>
      <c r="E106" t="s">
        <v>1447</v>
      </c>
      <c r="F106" t="s">
        <v>1879</v>
      </c>
      <c r="G106" t="s">
        <v>1811</v>
      </c>
      <c r="H106" t="s">
        <v>1799</v>
      </c>
      <c r="I106">
        <v>0</v>
      </c>
      <c r="J106" t="s">
        <v>1799</v>
      </c>
      <c r="K106" t="s">
        <v>1799</v>
      </c>
      <c r="L106" t="s">
        <v>1799</v>
      </c>
      <c r="M106" t="s">
        <v>1799</v>
      </c>
      <c r="N106" t="s">
        <v>1799</v>
      </c>
      <c r="O106" s="184" t="str">
        <f>"["&amp;$C106&amp;"]["&amp;$D106&amp;"]["&amp;$F106&amp;"]"</f>
        <v>[S03_InstallationsExcludedArt27Detail][1][InstallationsExceededThreshold]</v>
      </c>
    </row>
    <row r="107" spans="1:15" x14ac:dyDescent="0.3">
      <c r="A107" t="s">
        <v>1793</v>
      </c>
      <c r="B107" t="s">
        <v>1873</v>
      </c>
      <c r="C107" t="s">
        <v>1880</v>
      </c>
      <c r="D107">
        <v>0</v>
      </c>
      <c r="E107" t="s">
        <v>1447</v>
      </c>
      <c r="F107" t="s">
        <v>1881</v>
      </c>
      <c r="G107" t="s">
        <v>1811</v>
      </c>
      <c r="H107" t="s">
        <v>1799</v>
      </c>
      <c r="I107">
        <v>0</v>
      </c>
      <c r="J107" t="s">
        <v>1799</v>
      </c>
      <c r="K107" t="s">
        <v>1799</v>
      </c>
      <c r="L107" t="s">
        <v>1799</v>
      </c>
      <c r="M107" t="s">
        <v>1799</v>
      </c>
      <c r="N107" t="s">
        <v>1799</v>
      </c>
      <c r="O107" s="184" t="str">
        <f>"["&amp;$C107&amp;"]["&amp;$D107&amp;"]["&amp;$F107&amp;"]"</f>
        <v>[S03_InstallationsExcludedClosed][0][ClosedArt27a]</v>
      </c>
    </row>
    <row r="108" spans="1:15" x14ac:dyDescent="0.3">
      <c r="A108" t="s">
        <v>1793</v>
      </c>
      <c r="B108" t="s">
        <v>1882</v>
      </c>
      <c r="C108" t="s">
        <v>1883</v>
      </c>
      <c r="D108">
        <v>1</v>
      </c>
      <c r="E108" t="s">
        <v>1447</v>
      </c>
      <c r="F108" t="s">
        <v>1884</v>
      </c>
      <c r="G108" t="s">
        <v>1811</v>
      </c>
      <c r="H108" t="s">
        <v>1799</v>
      </c>
      <c r="I108">
        <v>7</v>
      </c>
      <c r="J108" t="s">
        <v>1799</v>
      </c>
      <c r="K108" t="s">
        <v>1799</v>
      </c>
      <c r="L108" t="s">
        <v>1799</v>
      </c>
      <c r="M108" t="s">
        <v>1799</v>
      </c>
      <c r="N108" t="s">
        <v>1799</v>
      </c>
      <c r="O108" s="184" t="str">
        <f>"["&amp;$C108&amp;"]["&amp;$D108&amp;"]["&amp;$F108&amp;"]"</f>
        <v>[S03_AircraftAnnex1Activities][1][NumberCommercialOperators]</v>
      </c>
    </row>
    <row r="109" spans="1:15" x14ac:dyDescent="0.3">
      <c r="A109" t="s">
        <v>1793</v>
      </c>
      <c r="B109" t="s">
        <v>1882</v>
      </c>
      <c r="C109" t="s">
        <v>1883</v>
      </c>
      <c r="D109">
        <v>2</v>
      </c>
      <c r="E109" t="s">
        <v>1447</v>
      </c>
      <c r="F109" t="s">
        <v>1884</v>
      </c>
      <c r="G109" t="s">
        <v>1811</v>
      </c>
      <c r="H109" t="s">
        <v>1799</v>
      </c>
      <c r="I109">
        <v>0</v>
      </c>
      <c r="J109" t="s">
        <v>1799</v>
      </c>
      <c r="K109" t="s">
        <v>1799</v>
      </c>
      <c r="L109" t="s">
        <v>1799</v>
      </c>
      <c r="M109" t="s">
        <v>1799</v>
      </c>
      <c r="N109" t="s">
        <v>1799</v>
      </c>
      <c r="O109" s="184" t="str">
        <f>"["&amp;$C109&amp;"]["&amp;$D109&amp;"]["&amp;$F109&amp;"]"</f>
        <v>[S03_AircraftAnnex1Activities][2][NumberCommercialOperators]</v>
      </c>
    </row>
    <row r="110" spans="1:15" x14ac:dyDescent="0.3">
      <c r="A110" t="s">
        <v>1793</v>
      </c>
      <c r="B110" t="s">
        <v>1882</v>
      </c>
      <c r="C110" t="s">
        <v>1883</v>
      </c>
      <c r="D110">
        <v>3</v>
      </c>
      <c r="E110" t="s">
        <v>1447</v>
      </c>
      <c r="F110" t="s">
        <v>1884</v>
      </c>
      <c r="G110" t="s">
        <v>1811</v>
      </c>
      <c r="H110" t="s">
        <v>1799</v>
      </c>
      <c r="I110">
        <v>7</v>
      </c>
      <c r="J110" t="s">
        <v>1799</v>
      </c>
      <c r="K110" t="s">
        <v>1799</v>
      </c>
      <c r="L110" t="s">
        <v>1799</v>
      </c>
      <c r="M110" t="s">
        <v>1799</v>
      </c>
      <c r="N110" t="s">
        <v>1799</v>
      </c>
      <c r="O110" s="184" t="str">
        <f>"["&amp;$C110&amp;"]["&amp;$D110&amp;"]["&amp;$F110&amp;"]"</f>
        <v>[S03_AircraftAnnex1Activities][3][NumberCommercialOperators]</v>
      </c>
    </row>
    <row r="111" spans="1:15" x14ac:dyDescent="0.3">
      <c r="A111" t="s">
        <v>1793</v>
      </c>
      <c r="B111" t="s">
        <v>1882</v>
      </c>
      <c r="C111" t="s">
        <v>1883</v>
      </c>
      <c r="D111">
        <v>1</v>
      </c>
      <c r="E111" t="s">
        <v>1447</v>
      </c>
      <c r="F111" t="s">
        <v>1885</v>
      </c>
      <c r="G111" t="s">
        <v>1811</v>
      </c>
      <c r="H111" t="s">
        <v>1799</v>
      </c>
      <c r="I111">
        <v>0</v>
      </c>
      <c r="J111" t="s">
        <v>1799</v>
      </c>
      <c r="K111" t="s">
        <v>1799</v>
      </c>
      <c r="L111" t="s">
        <v>1799</v>
      </c>
      <c r="M111" t="s">
        <v>1799</v>
      </c>
      <c r="N111" t="s">
        <v>1799</v>
      </c>
      <c r="O111" s="184" t="str">
        <f>"["&amp;$C111&amp;"]["&amp;$D111&amp;"]["&amp;$F111&amp;"]"</f>
        <v>[S03_AircraftAnnex1Activities][1][NumberNonCommercialOperators]</v>
      </c>
    </row>
    <row r="112" spans="1:15" x14ac:dyDescent="0.3">
      <c r="A112" t="s">
        <v>1793</v>
      </c>
      <c r="B112" t="s">
        <v>1882</v>
      </c>
      <c r="C112" t="s">
        <v>1883</v>
      </c>
      <c r="D112">
        <v>2</v>
      </c>
      <c r="E112" t="s">
        <v>1447</v>
      </c>
      <c r="F112" t="s">
        <v>1885</v>
      </c>
      <c r="G112" t="s">
        <v>1811</v>
      </c>
      <c r="H112" t="s">
        <v>1799</v>
      </c>
      <c r="I112">
        <v>0</v>
      </c>
      <c r="J112" t="s">
        <v>1799</v>
      </c>
      <c r="K112" t="s">
        <v>1799</v>
      </c>
      <c r="L112" t="s">
        <v>1799</v>
      </c>
      <c r="M112" t="s">
        <v>1799</v>
      </c>
      <c r="N112" t="s">
        <v>1799</v>
      </c>
      <c r="O112" s="184" t="str">
        <f>"["&amp;$C112&amp;"]["&amp;$D112&amp;"]["&amp;$F112&amp;"]"</f>
        <v>[S03_AircraftAnnex1Activities][2][NumberNonCommercialOperators]</v>
      </c>
    </row>
    <row r="113" spans="1:15" x14ac:dyDescent="0.3">
      <c r="A113" t="s">
        <v>1793</v>
      </c>
      <c r="B113" t="s">
        <v>1882</v>
      </c>
      <c r="C113" t="s">
        <v>1883</v>
      </c>
      <c r="D113">
        <v>3</v>
      </c>
      <c r="E113" t="s">
        <v>1447</v>
      </c>
      <c r="F113" t="s">
        <v>1885</v>
      </c>
      <c r="G113" t="s">
        <v>1811</v>
      </c>
      <c r="H113" t="s">
        <v>1799</v>
      </c>
      <c r="I113">
        <v>0</v>
      </c>
      <c r="J113" t="s">
        <v>1799</v>
      </c>
      <c r="K113" t="s">
        <v>1799</v>
      </c>
      <c r="L113" t="s">
        <v>1799</v>
      </c>
      <c r="M113" t="s">
        <v>1799</v>
      </c>
      <c r="N113" t="s">
        <v>1799</v>
      </c>
      <c r="O113" s="184" t="str">
        <f>"["&amp;$C113&amp;"]["&amp;$D113&amp;"]["&amp;$F113&amp;"]"</f>
        <v>[S03_AircraftAnnex1Activities][3][NumberNonCommercialOperators]</v>
      </c>
    </row>
    <row r="114" spans="1:15" x14ac:dyDescent="0.3">
      <c r="A114" t="s">
        <v>1793</v>
      </c>
      <c r="B114" t="s">
        <v>1882</v>
      </c>
      <c r="C114" t="s">
        <v>1883</v>
      </c>
      <c r="D114">
        <v>1</v>
      </c>
      <c r="E114" t="s">
        <v>1447</v>
      </c>
      <c r="F114" t="s">
        <v>1886</v>
      </c>
      <c r="G114" t="s">
        <v>1811</v>
      </c>
      <c r="H114" t="s">
        <v>1799</v>
      </c>
      <c r="I114">
        <v>7</v>
      </c>
      <c r="J114" t="s">
        <v>1799</v>
      </c>
      <c r="K114" t="s">
        <v>1799</v>
      </c>
      <c r="L114" t="s">
        <v>1799</v>
      </c>
      <c r="M114" t="s">
        <v>1799</v>
      </c>
      <c r="N114" t="s">
        <v>1799</v>
      </c>
      <c r="O114" s="184" t="str">
        <f>"["&amp;$C114&amp;"]["&amp;$D114&amp;"]["&amp;$F114&amp;"]"</f>
        <v>[S03_AircraftAnnex1Activities][1][NumberTotalOperators]</v>
      </c>
    </row>
    <row r="115" spans="1:15" x14ac:dyDescent="0.3">
      <c r="A115" t="s">
        <v>1793</v>
      </c>
      <c r="B115" t="s">
        <v>1882</v>
      </c>
      <c r="C115" t="s">
        <v>1883</v>
      </c>
      <c r="D115">
        <v>2</v>
      </c>
      <c r="E115" t="s">
        <v>1447</v>
      </c>
      <c r="F115" t="s">
        <v>1886</v>
      </c>
      <c r="G115" t="s">
        <v>1811</v>
      </c>
      <c r="H115" t="s">
        <v>1799</v>
      </c>
      <c r="I115">
        <v>0</v>
      </c>
      <c r="J115" t="s">
        <v>1799</v>
      </c>
      <c r="K115" t="s">
        <v>1799</v>
      </c>
      <c r="L115" t="s">
        <v>1799</v>
      </c>
      <c r="M115" t="s">
        <v>1799</v>
      </c>
      <c r="N115" t="s">
        <v>1799</v>
      </c>
      <c r="O115" s="184" t="str">
        <f>"["&amp;$C115&amp;"]["&amp;$D115&amp;"]["&amp;$F115&amp;"]"</f>
        <v>[S03_AircraftAnnex1Activities][2][NumberTotalOperators]</v>
      </c>
    </row>
    <row r="116" spans="1:15" x14ac:dyDescent="0.3">
      <c r="A116" t="s">
        <v>1793</v>
      </c>
      <c r="B116" t="s">
        <v>1882</v>
      </c>
      <c r="C116" t="s">
        <v>1883</v>
      </c>
      <c r="D116">
        <v>3</v>
      </c>
      <c r="E116" t="s">
        <v>1447</v>
      </c>
      <c r="F116" t="s">
        <v>1886</v>
      </c>
      <c r="G116" t="s">
        <v>1811</v>
      </c>
      <c r="H116" t="s">
        <v>1799</v>
      </c>
      <c r="I116">
        <v>7</v>
      </c>
      <c r="J116" t="s">
        <v>1799</v>
      </c>
      <c r="K116" t="s">
        <v>1799</v>
      </c>
      <c r="L116" t="s">
        <v>1799</v>
      </c>
      <c r="M116" t="s">
        <v>1799</v>
      </c>
      <c r="N116" t="s">
        <v>1799</v>
      </c>
      <c r="O116" s="184" t="str">
        <f>"["&amp;$C116&amp;"]["&amp;$D116&amp;"]["&amp;$F116&amp;"]"</f>
        <v>[S03_AircraftAnnex1Activities][3][NumberTotalOperators]</v>
      </c>
    </row>
    <row r="117" spans="1:15" x14ac:dyDescent="0.3">
      <c r="A117" t="s">
        <v>1793</v>
      </c>
      <c r="B117" t="s">
        <v>1887</v>
      </c>
      <c r="C117" t="s">
        <v>1888</v>
      </c>
      <c r="D117">
        <v>1</v>
      </c>
      <c r="E117" t="s">
        <v>1447</v>
      </c>
      <c r="F117" t="s">
        <v>1889</v>
      </c>
      <c r="G117" t="s">
        <v>1737</v>
      </c>
      <c r="H117" t="s">
        <v>1799</v>
      </c>
      <c r="I117" t="s">
        <v>1799</v>
      </c>
      <c r="J117" t="s">
        <v>1799</v>
      </c>
      <c r="K117" t="s">
        <v>1799</v>
      </c>
      <c r="L117" t="s">
        <v>1447</v>
      </c>
      <c r="M117" t="s">
        <v>1799</v>
      </c>
      <c r="N117" t="s">
        <v>1799</v>
      </c>
      <c r="O117" s="184" t="str">
        <f>"["&amp;$C117&amp;"]["&amp;$D117&amp;"]["&amp;$F117&amp;"]"</f>
        <v>[S04_IEDProcedureRequirementsIntegratedYes][1][IntegrationYesNo]</v>
      </c>
    </row>
    <row r="118" spans="1:15" x14ac:dyDescent="0.3">
      <c r="A118" t="s">
        <v>1793</v>
      </c>
      <c r="B118" t="s">
        <v>1887</v>
      </c>
      <c r="C118" t="s">
        <v>1888</v>
      </c>
      <c r="D118">
        <v>2</v>
      </c>
      <c r="E118" t="s">
        <v>1447</v>
      </c>
      <c r="F118" t="s">
        <v>1889</v>
      </c>
      <c r="G118" t="s">
        <v>1737</v>
      </c>
      <c r="H118" t="s">
        <v>1799</v>
      </c>
      <c r="I118" t="s">
        <v>1799</v>
      </c>
      <c r="J118" t="s">
        <v>1799</v>
      </c>
      <c r="K118" t="s">
        <v>1799</v>
      </c>
      <c r="L118" t="s">
        <v>1447</v>
      </c>
      <c r="M118" t="s">
        <v>1799</v>
      </c>
      <c r="N118" t="s">
        <v>1799</v>
      </c>
      <c r="O118" s="184" t="str">
        <f>"["&amp;$C118&amp;"]["&amp;$D118&amp;"]["&amp;$F118&amp;"]"</f>
        <v>[S04_IEDProcedureRequirementsIntegratedYes][2][IntegrationYesNo]</v>
      </c>
    </row>
    <row r="119" spans="1:15" x14ac:dyDescent="0.3">
      <c r="A119" t="s">
        <v>1793</v>
      </c>
      <c r="B119" t="s">
        <v>1887</v>
      </c>
      <c r="C119" t="s">
        <v>1888</v>
      </c>
      <c r="D119">
        <v>3</v>
      </c>
      <c r="E119" t="s">
        <v>1447</v>
      </c>
      <c r="F119" t="s">
        <v>1889</v>
      </c>
      <c r="G119" t="s">
        <v>1737</v>
      </c>
      <c r="H119" t="s">
        <v>1799</v>
      </c>
      <c r="I119" t="s">
        <v>1799</v>
      </c>
      <c r="J119" t="s">
        <v>1799</v>
      </c>
      <c r="K119" t="s">
        <v>1799</v>
      </c>
      <c r="L119" t="s">
        <v>1447</v>
      </c>
      <c r="M119" t="s">
        <v>1799</v>
      </c>
      <c r="N119" t="s">
        <v>1799</v>
      </c>
      <c r="O119" s="184" t="str">
        <f>"["&amp;$C119&amp;"]["&amp;$D119&amp;"]["&amp;$F119&amp;"]"</f>
        <v>[S04_IEDProcedureRequirementsIntegratedYes][3][IntegrationYesNo]</v>
      </c>
    </row>
    <row r="120" spans="1:15" x14ac:dyDescent="0.3">
      <c r="A120" t="s">
        <v>1793</v>
      </c>
      <c r="B120" t="s">
        <v>1887</v>
      </c>
      <c r="C120" t="s">
        <v>1888</v>
      </c>
      <c r="D120">
        <v>4</v>
      </c>
      <c r="E120" t="s">
        <v>1447</v>
      </c>
      <c r="F120" t="s">
        <v>1889</v>
      </c>
      <c r="G120" t="s">
        <v>1737</v>
      </c>
      <c r="H120" t="s">
        <v>1799</v>
      </c>
      <c r="I120" t="s">
        <v>1799</v>
      </c>
      <c r="J120" t="s">
        <v>1799</v>
      </c>
      <c r="K120" t="s">
        <v>1799</v>
      </c>
      <c r="L120" t="s">
        <v>1447</v>
      </c>
      <c r="M120" t="s">
        <v>1799</v>
      </c>
      <c r="N120" t="s">
        <v>1799</v>
      </c>
      <c r="O120" s="184" t="str">
        <f>"["&amp;$C120&amp;"]["&amp;$D120&amp;"]["&amp;$F120&amp;"]"</f>
        <v>[S04_IEDProcedureRequirementsIntegratedYes][4][IntegrationYesNo]</v>
      </c>
    </row>
    <row r="121" spans="1:15" x14ac:dyDescent="0.3">
      <c r="A121" t="s">
        <v>1793</v>
      </c>
      <c r="B121" t="s">
        <v>1887</v>
      </c>
      <c r="C121" t="s">
        <v>1888</v>
      </c>
      <c r="D121">
        <v>5</v>
      </c>
      <c r="E121" t="s">
        <v>1447</v>
      </c>
      <c r="F121" t="s">
        <v>1889</v>
      </c>
      <c r="G121" t="s">
        <v>1737</v>
      </c>
      <c r="H121" t="s">
        <v>1799</v>
      </c>
      <c r="I121" t="s">
        <v>1799</v>
      </c>
      <c r="J121" t="s">
        <v>1799</v>
      </c>
      <c r="K121" t="s">
        <v>1799</v>
      </c>
      <c r="L121" t="s">
        <v>1447</v>
      </c>
      <c r="M121" t="s">
        <v>1799</v>
      </c>
      <c r="N121" t="s">
        <v>1799</v>
      </c>
      <c r="O121" s="184" t="str">
        <f>"["&amp;$C121&amp;"]["&amp;$D121&amp;"]["&amp;$F121&amp;"]"</f>
        <v>[S04_IEDProcedureRequirementsIntegratedYes][5][IntegrationYesNo]</v>
      </c>
    </row>
    <row r="122" spans="1:15" x14ac:dyDescent="0.3">
      <c r="A122" t="s">
        <v>1793</v>
      </c>
      <c r="B122" t="s">
        <v>1887</v>
      </c>
      <c r="C122" t="s">
        <v>1888</v>
      </c>
      <c r="D122">
        <v>6</v>
      </c>
      <c r="E122" t="s">
        <v>1447</v>
      </c>
      <c r="F122" t="s">
        <v>1889</v>
      </c>
      <c r="G122" t="s">
        <v>1737</v>
      </c>
      <c r="H122" t="s">
        <v>1799</v>
      </c>
      <c r="I122" t="s">
        <v>1799</v>
      </c>
      <c r="J122" t="s">
        <v>1799</v>
      </c>
      <c r="K122" t="s">
        <v>1799</v>
      </c>
      <c r="L122" t="s">
        <v>1447</v>
      </c>
      <c r="M122" t="s">
        <v>1799</v>
      </c>
      <c r="N122" t="s">
        <v>1799</v>
      </c>
      <c r="O122" s="184" t="str">
        <f>"["&amp;$C122&amp;"]["&amp;$D122&amp;"]["&amp;$F122&amp;"]"</f>
        <v>[S04_IEDProcedureRequirementsIntegratedYes][6][IntegrationYesNo]</v>
      </c>
    </row>
    <row r="123" spans="1:15" x14ac:dyDescent="0.3">
      <c r="A123" t="s">
        <v>1793</v>
      </c>
      <c r="B123" t="s">
        <v>1887</v>
      </c>
      <c r="C123" t="s">
        <v>1888</v>
      </c>
      <c r="D123">
        <v>8</v>
      </c>
      <c r="E123" t="s">
        <v>1447</v>
      </c>
      <c r="F123" t="s">
        <v>1889</v>
      </c>
      <c r="G123" t="s">
        <v>1737</v>
      </c>
      <c r="H123" t="s">
        <v>1799</v>
      </c>
      <c r="I123" t="s">
        <v>1799</v>
      </c>
      <c r="J123" t="s">
        <v>1799</v>
      </c>
      <c r="K123" t="s">
        <v>1799</v>
      </c>
      <c r="L123" t="s">
        <v>1447</v>
      </c>
      <c r="M123" t="s">
        <v>1799</v>
      </c>
      <c r="N123" t="s">
        <v>1799</v>
      </c>
      <c r="O123" s="184" t="str">
        <f>"["&amp;$C123&amp;"]["&amp;$D123&amp;"]["&amp;$F123&amp;"]"</f>
        <v>[S04_IEDProcedureRequirementsIntegratedYes][8][IntegrationYesNo]</v>
      </c>
    </row>
    <row r="124" spans="1:15" x14ac:dyDescent="0.3">
      <c r="A124" t="s">
        <v>1793</v>
      </c>
      <c r="B124" t="s">
        <v>1890</v>
      </c>
      <c r="C124" t="s">
        <v>1891</v>
      </c>
      <c r="D124">
        <v>1</v>
      </c>
      <c r="E124" t="s">
        <v>1447</v>
      </c>
      <c r="F124" t="s">
        <v>1892</v>
      </c>
      <c r="G124" t="s">
        <v>1797</v>
      </c>
      <c r="H124" t="s">
        <v>1893</v>
      </c>
      <c r="I124" t="s">
        <v>1799</v>
      </c>
      <c r="J124" t="s">
        <v>1799</v>
      </c>
      <c r="K124" t="s">
        <v>1799</v>
      </c>
      <c r="L124" t="s">
        <v>1799</v>
      </c>
      <c r="M124" t="s">
        <v>1799</v>
      </c>
      <c r="N124" t="s">
        <v>1799</v>
      </c>
      <c r="O124" s="184" t="str">
        <f>"["&amp;$C124&amp;"]["&amp;$D124&amp;"]["&amp;$F124&amp;"]"</f>
        <v>[S04_NationalLawPermitUpdate][1][PermitUpdateNationalLawDetail]</v>
      </c>
    </row>
    <row r="125" spans="1:15" x14ac:dyDescent="0.3">
      <c r="A125" t="s">
        <v>1793</v>
      </c>
      <c r="B125" t="s">
        <v>1890</v>
      </c>
      <c r="C125" t="s">
        <v>1891</v>
      </c>
      <c r="D125">
        <v>2</v>
      </c>
      <c r="E125" t="s">
        <v>1447</v>
      </c>
      <c r="F125" t="s">
        <v>1892</v>
      </c>
      <c r="G125" t="s">
        <v>1797</v>
      </c>
      <c r="H125" t="s">
        <v>1894</v>
      </c>
      <c r="I125" t="s">
        <v>1799</v>
      </c>
      <c r="J125" t="s">
        <v>1799</v>
      </c>
      <c r="K125" t="s">
        <v>1799</v>
      </c>
      <c r="L125" t="s">
        <v>1799</v>
      </c>
      <c r="M125" t="s">
        <v>1799</v>
      </c>
      <c r="N125" t="s">
        <v>1799</v>
      </c>
      <c r="O125" s="184" t="str">
        <f>"["&amp;$C125&amp;"]["&amp;$D125&amp;"]["&amp;$F125&amp;"]"</f>
        <v>[S04_NationalLawPermitUpdate][2][PermitUpdateNationalLawDetail]</v>
      </c>
    </row>
    <row r="126" spans="1:15" x14ac:dyDescent="0.3">
      <c r="A126" t="s">
        <v>1793</v>
      </c>
      <c r="B126" t="s">
        <v>1890</v>
      </c>
      <c r="C126" t="s">
        <v>1891</v>
      </c>
      <c r="D126">
        <v>3</v>
      </c>
      <c r="E126" t="s">
        <v>1447</v>
      </c>
      <c r="F126" t="s">
        <v>1892</v>
      </c>
      <c r="G126" t="s">
        <v>1797</v>
      </c>
      <c r="H126" t="s">
        <v>1895</v>
      </c>
      <c r="I126" t="s">
        <v>1799</v>
      </c>
      <c r="J126" t="s">
        <v>1799</v>
      </c>
      <c r="K126" t="s">
        <v>1799</v>
      </c>
      <c r="L126" t="s">
        <v>1799</v>
      </c>
      <c r="M126" t="s">
        <v>1799</v>
      </c>
      <c r="N126" t="s">
        <v>1799</v>
      </c>
      <c r="O126" s="184" t="str">
        <f>"["&amp;$C126&amp;"]["&amp;$D126&amp;"]["&amp;$F126&amp;"]"</f>
        <v>[S04_NationalLawPermitUpdate][3][PermitUpdateNationalLawDetail]</v>
      </c>
    </row>
    <row r="127" spans="1:15" x14ac:dyDescent="0.3">
      <c r="A127" t="s">
        <v>1793</v>
      </c>
      <c r="B127" t="s">
        <v>1890</v>
      </c>
      <c r="C127" t="s">
        <v>1891</v>
      </c>
      <c r="D127">
        <v>4</v>
      </c>
      <c r="E127" t="s">
        <v>1447</v>
      </c>
      <c r="F127" t="s">
        <v>1892</v>
      </c>
      <c r="G127" t="s">
        <v>1797</v>
      </c>
      <c r="H127" t="s">
        <v>1895</v>
      </c>
      <c r="I127" t="s">
        <v>1799</v>
      </c>
      <c r="J127" t="s">
        <v>1799</v>
      </c>
      <c r="K127" t="s">
        <v>1799</v>
      </c>
      <c r="L127" t="s">
        <v>1799</v>
      </c>
      <c r="M127" t="s">
        <v>1799</v>
      </c>
      <c r="N127" t="s">
        <v>1799</v>
      </c>
      <c r="O127" s="184" t="str">
        <f>"["&amp;$C127&amp;"]["&amp;$D127&amp;"]["&amp;$F127&amp;"]"</f>
        <v>[S04_NationalLawPermitUpdate][4][PermitUpdateNationalLawDetail]</v>
      </c>
    </row>
    <row r="128" spans="1:15" x14ac:dyDescent="0.3">
      <c r="A128" t="s">
        <v>1793</v>
      </c>
      <c r="B128" t="s">
        <v>1890</v>
      </c>
      <c r="C128" t="s">
        <v>1891</v>
      </c>
      <c r="D128">
        <v>5</v>
      </c>
      <c r="E128" t="s">
        <v>1447</v>
      </c>
      <c r="F128" t="s">
        <v>1892</v>
      </c>
      <c r="G128" t="s">
        <v>1797</v>
      </c>
      <c r="H128" t="s">
        <v>1896</v>
      </c>
      <c r="I128" t="s">
        <v>1799</v>
      </c>
      <c r="J128" t="s">
        <v>1799</v>
      </c>
      <c r="K128" t="s">
        <v>1799</v>
      </c>
      <c r="L128" t="s">
        <v>1799</v>
      </c>
      <c r="M128" t="s">
        <v>1799</v>
      </c>
      <c r="N128" t="s">
        <v>1799</v>
      </c>
      <c r="O128" s="184" t="str">
        <f>"["&amp;$C128&amp;"]["&amp;$D128&amp;"]["&amp;$F128&amp;"]"</f>
        <v>[S04_NationalLawPermitUpdate][5][PermitUpdateNationalLawDetail]</v>
      </c>
    </row>
    <row r="129" spans="1:15" x14ac:dyDescent="0.3">
      <c r="A129" t="s">
        <v>1793</v>
      </c>
      <c r="B129" t="s">
        <v>1890</v>
      </c>
      <c r="C129" t="s">
        <v>1891</v>
      </c>
      <c r="D129">
        <v>6</v>
      </c>
      <c r="E129" t="s">
        <v>1447</v>
      </c>
      <c r="F129" t="s">
        <v>1892</v>
      </c>
      <c r="G129" t="s">
        <v>1797</v>
      </c>
      <c r="H129" t="s">
        <v>1897</v>
      </c>
      <c r="I129" t="s">
        <v>1799</v>
      </c>
      <c r="J129" t="s">
        <v>1799</v>
      </c>
      <c r="K129" t="s">
        <v>1799</v>
      </c>
      <c r="L129" t="s">
        <v>1799</v>
      </c>
      <c r="M129" t="s">
        <v>1799</v>
      </c>
      <c r="N129" t="s">
        <v>1799</v>
      </c>
      <c r="O129" s="184" t="str">
        <f>"["&amp;$C129&amp;"]["&amp;$D129&amp;"]["&amp;$F129&amp;"]"</f>
        <v>[S04_NationalLawPermitUpdate][6][PermitUpdateNationalLawDetail]</v>
      </c>
    </row>
    <row r="130" spans="1:15" x14ac:dyDescent="0.3">
      <c r="A130" t="s">
        <v>1793</v>
      </c>
      <c r="B130" t="s">
        <v>1890</v>
      </c>
      <c r="C130" t="s">
        <v>1891</v>
      </c>
      <c r="D130">
        <v>7</v>
      </c>
      <c r="E130" t="s">
        <v>1447</v>
      </c>
      <c r="F130" t="s">
        <v>1892</v>
      </c>
      <c r="G130" t="s">
        <v>1797</v>
      </c>
      <c r="H130" t="s">
        <v>1898</v>
      </c>
      <c r="I130" t="s">
        <v>1799</v>
      </c>
      <c r="J130" t="s">
        <v>1799</v>
      </c>
      <c r="K130" t="s">
        <v>1799</v>
      </c>
      <c r="L130" t="s">
        <v>1799</v>
      </c>
      <c r="M130" t="s">
        <v>1799</v>
      </c>
      <c r="N130" t="s">
        <v>1799</v>
      </c>
      <c r="O130" s="184" t="str">
        <f>"["&amp;$C130&amp;"]["&amp;$D130&amp;"]["&amp;$F130&amp;"]"</f>
        <v>[S04_NationalLawPermitUpdate][7][PermitUpdateNationalLawDetail]</v>
      </c>
    </row>
    <row r="131" spans="1:15" x14ac:dyDescent="0.3">
      <c r="A131" t="s">
        <v>1793</v>
      </c>
      <c r="B131" t="s">
        <v>1890</v>
      </c>
      <c r="C131" t="s">
        <v>1899</v>
      </c>
      <c r="D131">
        <v>0</v>
      </c>
      <c r="E131" t="s">
        <v>1447</v>
      </c>
      <c r="F131" t="s">
        <v>1899</v>
      </c>
      <c r="G131" t="s">
        <v>1811</v>
      </c>
      <c r="H131" t="s">
        <v>1799</v>
      </c>
      <c r="I131">
        <v>1</v>
      </c>
      <c r="J131" t="s">
        <v>1799</v>
      </c>
      <c r="K131" t="s">
        <v>1799</v>
      </c>
      <c r="L131" t="s">
        <v>1799</v>
      </c>
      <c r="M131" t="s">
        <v>1799</v>
      </c>
      <c r="N131" t="s">
        <v>1799</v>
      </c>
      <c r="O131" s="184" t="str">
        <f>"["&amp;$C131&amp;"]["&amp;$D131&amp;"]["&amp;$F131&amp;"]"</f>
        <v>[PermitUpdateTotalNumber][0][PermitUpdateTotalNumber]</v>
      </c>
    </row>
    <row r="132" spans="1:15" x14ac:dyDescent="0.3">
      <c r="A132" t="s">
        <v>1793</v>
      </c>
      <c r="B132" t="s">
        <v>1900</v>
      </c>
      <c r="C132" t="s">
        <v>1901</v>
      </c>
      <c r="D132">
        <v>0</v>
      </c>
      <c r="E132" t="s">
        <v>1447</v>
      </c>
      <c r="F132" t="s">
        <v>1901</v>
      </c>
      <c r="G132" t="s">
        <v>1829</v>
      </c>
      <c r="H132" t="s">
        <v>1799</v>
      </c>
      <c r="I132" t="s">
        <v>1799</v>
      </c>
      <c r="J132" t="s">
        <v>1799</v>
      </c>
      <c r="K132" t="s">
        <v>1799</v>
      </c>
      <c r="L132" t="s">
        <v>1447</v>
      </c>
      <c r="M132" t="s">
        <v>1799</v>
      </c>
      <c r="N132" t="s">
        <v>1799</v>
      </c>
      <c r="O132" s="184" t="str">
        <f>"["&amp;$C132&amp;"]["&amp;$D132&amp;"]["&amp;$F132&amp;"]"</f>
        <v>[AdditionalNationalLegislation][0][AdditionalNationalLegislation]</v>
      </c>
    </row>
    <row r="133" spans="1:15" x14ac:dyDescent="0.3">
      <c r="A133" t="s">
        <v>1793</v>
      </c>
      <c r="B133" t="s">
        <v>1900</v>
      </c>
      <c r="C133" t="s">
        <v>1902</v>
      </c>
      <c r="D133">
        <v>0</v>
      </c>
      <c r="E133" t="s">
        <v>1447</v>
      </c>
      <c r="F133" t="s">
        <v>1902</v>
      </c>
      <c r="G133" t="s">
        <v>1829</v>
      </c>
      <c r="H133" t="s">
        <v>1799</v>
      </c>
      <c r="I133" t="s">
        <v>1799</v>
      </c>
      <c r="J133" t="s">
        <v>1799</v>
      </c>
      <c r="K133" t="s">
        <v>1799</v>
      </c>
      <c r="L133" t="s">
        <v>1447</v>
      </c>
      <c r="M133" t="s">
        <v>1799</v>
      </c>
      <c r="N133" t="s">
        <v>1799</v>
      </c>
      <c r="O133" s="184" t="str">
        <f>"["&amp;$C133&amp;"]["&amp;$D133&amp;"]["&amp;$F133&amp;"]"</f>
        <v>[AdditionalNationalGuidance][0][AdditionalNationalGuidance]</v>
      </c>
    </row>
    <row r="134" spans="1:15" x14ac:dyDescent="0.3">
      <c r="A134" t="s">
        <v>1793</v>
      </c>
      <c r="B134" t="s">
        <v>1903</v>
      </c>
      <c r="C134" t="s">
        <v>1904</v>
      </c>
      <c r="D134">
        <v>1</v>
      </c>
      <c r="E134" t="s">
        <v>1447</v>
      </c>
      <c r="F134" t="s">
        <v>1905</v>
      </c>
      <c r="G134" t="s">
        <v>1829</v>
      </c>
      <c r="H134" t="s">
        <v>1799</v>
      </c>
      <c r="I134" t="s">
        <v>1799</v>
      </c>
      <c r="J134" t="s">
        <v>1799</v>
      </c>
      <c r="K134" t="s">
        <v>1799</v>
      </c>
      <c r="L134" t="s">
        <v>1419</v>
      </c>
      <c r="M134" t="s">
        <v>1799</v>
      </c>
      <c r="N134" t="s">
        <v>1799</v>
      </c>
      <c r="O134" s="184" t="str">
        <f>"["&amp;$C134&amp;"]["&amp;$D134&amp;"]["&amp;$F134&amp;"]"</f>
        <v>[MeasuresStreamline][1][MeasuresStreamlineYesNo]</v>
      </c>
    </row>
    <row r="135" spans="1:15" x14ac:dyDescent="0.3">
      <c r="A135" t="s">
        <v>1793</v>
      </c>
      <c r="B135" t="s">
        <v>1903</v>
      </c>
      <c r="C135" t="s">
        <v>1904</v>
      </c>
      <c r="D135">
        <v>2</v>
      </c>
      <c r="E135" t="s">
        <v>1447</v>
      </c>
      <c r="F135" t="s">
        <v>1905</v>
      </c>
      <c r="G135" t="s">
        <v>1829</v>
      </c>
      <c r="H135" t="s">
        <v>1799</v>
      </c>
      <c r="I135" t="s">
        <v>1799</v>
      </c>
      <c r="J135" t="s">
        <v>1799</v>
      </c>
      <c r="K135" t="s">
        <v>1799</v>
      </c>
      <c r="L135" t="s">
        <v>1419</v>
      </c>
      <c r="M135" t="s">
        <v>1799</v>
      </c>
      <c r="N135" t="s">
        <v>1799</v>
      </c>
      <c r="O135" s="184" t="str">
        <f>"["&amp;$C135&amp;"]["&amp;$D135&amp;"]["&amp;$F135&amp;"]"</f>
        <v>[MeasuresStreamline][2][MeasuresStreamlineYesNo]</v>
      </c>
    </row>
    <row r="136" spans="1:15" x14ac:dyDescent="0.3">
      <c r="A136" t="s">
        <v>1793</v>
      </c>
      <c r="B136" t="s">
        <v>1903</v>
      </c>
      <c r="C136" t="s">
        <v>1904</v>
      </c>
      <c r="D136">
        <v>3</v>
      </c>
      <c r="E136" t="s">
        <v>1447</v>
      </c>
      <c r="F136" t="s">
        <v>1905</v>
      </c>
      <c r="G136" t="s">
        <v>1829</v>
      </c>
      <c r="H136" t="s">
        <v>1799</v>
      </c>
      <c r="I136" t="s">
        <v>1799</v>
      </c>
      <c r="J136" t="s">
        <v>1799</v>
      </c>
      <c r="K136" t="s">
        <v>1799</v>
      </c>
      <c r="L136" t="s">
        <v>1447</v>
      </c>
      <c r="M136" t="s">
        <v>1799</v>
      </c>
      <c r="N136" t="s">
        <v>1799</v>
      </c>
      <c r="O136" s="184" t="str">
        <f>"["&amp;$C136&amp;"]["&amp;$D136&amp;"]["&amp;$F136&amp;"]"</f>
        <v>[MeasuresStreamline][3][MeasuresStreamlineYesNo]</v>
      </c>
    </row>
    <row r="137" spans="1:15" x14ac:dyDescent="0.3">
      <c r="A137" t="s">
        <v>1793</v>
      </c>
      <c r="B137" t="s">
        <v>1903</v>
      </c>
      <c r="C137" t="s">
        <v>1904</v>
      </c>
      <c r="D137">
        <v>4</v>
      </c>
      <c r="E137" t="s">
        <v>1447</v>
      </c>
      <c r="F137" t="s">
        <v>1905</v>
      </c>
      <c r="G137" t="s">
        <v>1829</v>
      </c>
      <c r="H137" t="s">
        <v>1799</v>
      </c>
      <c r="I137" t="s">
        <v>1799</v>
      </c>
      <c r="J137" t="s">
        <v>1799</v>
      </c>
      <c r="K137" t="s">
        <v>1799</v>
      </c>
      <c r="L137" t="s">
        <v>1419</v>
      </c>
      <c r="M137" t="s">
        <v>1799</v>
      </c>
      <c r="N137" t="s">
        <v>1799</v>
      </c>
      <c r="O137" s="184" t="str">
        <f>"["&amp;$C137&amp;"]["&amp;$D137&amp;"]["&amp;$F137&amp;"]"</f>
        <v>[MeasuresStreamline][4][MeasuresStreamlineYesNo]</v>
      </c>
    </row>
    <row r="138" spans="1:15" x14ac:dyDescent="0.3">
      <c r="A138" t="s">
        <v>1793</v>
      </c>
      <c r="B138" t="s">
        <v>1903</v>
      </c>
      <c r="C138" t="s">
        <v>1904</v>
      </c>
      <c r="D138">
        <v>5</v>
      </c>
      <c r="E138" t="s">
        <v>1447</v>
      </c>
      <c r="F138" t="s">
        <v>1905</v>
      </c>
      <c r="G138" t="s">
        <v>1829</v>
      </c>
      <c r="H138" t="s">
        <v>1799</v>
      </c>
      <c r="I138" t="s">
        <v>1799</v>
      </c>
      <c r="J138" t="s">
        <v>1799</v>
      </c>
      <c r="K138" t="s">
        <v>1799</v>
      </c>
      <c r="L138" t="s">
        <v>1447</v>
      </c>
      <c r="M138" t="s">
        <v>1799</v>
      </c>
      <c r="N138" t="s">
        <v>1799</v>
      </c>
      <c r="O138" s="184" t="str">
        <f>"["&amp;$C138&amp;"]["&amp;$D138&amp;"]["&amp;$F138&amp;"]"</f>
        <v>[MeasuresStreamline][5][MeasuresStreamlineYesNo]</v>
      </c>
    </row>
    <row r="139" spans="1:15" x14ac:dyDescent="0.3">
      <c r="A139" t="s">
        <v>1793</v>
      </c>
      <c r="B139" t="s">
        <v>1903</v>
      </c>
      <c r="C139" t="s">
        <v>1904</v>
      </c>
      <c r="D139">
        <v>6</v>
      </c>
      <c r="E139" t="s">
        <v>1447</v>
      </c>
      <c r="F139" t="s">
        <v>1905</v>
      </c>
      <c r="G139" t="s">
        <v>1829</v>
      </c>
      <c r="H139" t="s">
        <v>1799</v>
      </c>
      <c r="I139" t="s">
        <v>1799</v>
      </c>
      <c r="J139" t="s">
        <v>1799</v>
      </c>
      <c r="K139" t="s">
        <v>1799</v>
      </c>
      <c r="L139" t="s">
        <v>1447</v>
      </c>
      <c r="M139" t="s">
        <v>1799</v>
      </c>
      <c r="N139" t="s">
        <v>1799</v>
      </c>
      <c r="O139" s="184" t="str">
        <f>"["&amp;$C139&amp;"]["&amp;$D139&amp;"]["&amp;$F139&amp;"]"</f>
        <v>[MeasuresStreamline][6][MeasuresStreamlineYesNo]</v>
      </c>
    </row>
    <row r="140" spans="1:15" x14ac:dyDescent="0.3">
      <c r="A140" t="s">
        <v>1793</v>
      </c>
      <c r="B140" t="s">
        <v>1903</v>
      </c>
      <c r="C140" t="s">
        <v>1904</v>
      </c>
      <c r="D140">
        <v>7</v>
      </c>
      <c r="E140" t="s">
        <v>1447</v>
      </c>
      <c r="F140" t="s">
        <v>1905</v>
      </c>
      <c r="G140" t="s">
        <v>1829</v>
      </c>
      <c r="H140" t="s">
        <v>1799</v>
      </c>
      <c r="I140" t="s">
        <v>1799</v>
      </c>
      <c r="J140" t="s">
        <v>1799</v>
      </c>
      <c r="K140" t="s">
        <v>1799</v>
      </c>
      <c r="L140" t="s">
        <v>1447</v>
      </c>
      <c r="M140" t="s">
        <v>1799</v>
      </c>
      <c r="N140" t="s">
        <v>1799</v>
      </c>
      <c r="O140" s="184" t="str">
        <f>"["&amp;$C140&amp;"]["&amp;$D140&amp;"]["&amp;$F140&amp;"]"</f>
        <v>[MeasuresStreamline][7][MeasuresStreamlineYesNo]</v>
      </c>
    </row>
    <row r="141" spans="1:15" x14ac:dyDescent="0.3">
      <c r="A141" t="s">
        <v>1793</v>
      </c>
      <c r="B141" t="s">
        <v>1903</v>
      </c>
      <c r="C141" t="s">
        <v>1904</v>
      </c>
      <c r="D141">
        <v>1</v>
      </c>
      <c r="E141" t="s">
        <v>1447</v>
      </c>
      <c r="F141" t="s">
        <v>1906</v>
      </c>
      <c r="G141" t="s">
        <v>1860</v>
      </c>
      <c r="H141" t="s">
        <v>1799</v>
      </c>
      <c r="I141" t="s">
        <v>1799</v>
      </c>
      <c r="J141" t="s">
        <v>1799</v>
      </c>
      <c r="K141" t="s">
        <v>1907</v>
      </c>
      <c r="L141" t="s">
        <v>1799</v>
      </c>
      <c r="M141" t="s">
        <v>1799</v>
      </c>
      <c r="N141" t="s">
        <v>1799</v>
      </c>
      <c r="O141" s="184" t="str">
        <f>"["&amp;$C141&amp;"]["&amp;$D141&amp;"]["&amp;$F141&amp;"]"</f>
        <v>[MeasuresStreamline][1][MeasuresStreamlineComments]</v>
      </c>
    </row>
    <row r="142" spans="1:15" x14ac:dyDescent="0.3">
      <c r="A142" t="s">
        <v>1793</v>
      </c>
      <c r="B142" t="s">
        <v>1903</v>
      </c>
      <c r="C142" t="s">
        <v>1904</v>
      </c>
      <c r="D142">
        <v>2</v>
      </c>
      <c r="E142" t="s">
        <v>1447</v>
      </c>
      <c r="F142" t="s">
        <v>1906</v>
      </c>
      <c r="G142" t="s">
        <v>1860</v>
      </c>
      <c r="H142" t="s">
        <v>1799</v>
      </c>
      <c r="I142" t="s">
        <v>1799</v>
      </c>
      <c r="J142" t="s">
        <v>1799</v>
      </c>
      <c r="K142" t="s">
        <v>1908</v>
      </c>
      <c r="L142" t="s">
        <v>1799</v>
      </c>
      <c r="M142" t="s">
        <v>1799</v>
      </c>
      <c r="N142" t="s">
        <v>1799</v>
      </c>
      <c r="O142" s="184" t="str">
        <f>"["&amp;$C142&amp;"]["&amp;$D142&amp;"]["&amp;$F142&amp;"]"</f>
        <v>[MeasuresStreamline][2][MeasuresStreamlineComments]</v>
      </c>
    </row>
    <row r="143" spans="1:15" x14ac:dyDescent="0.3">
      <c r="A143" t="s">
        <v>1793</v>
      </c>
      <c r="B143" t="s">
        <v>1903</v>
      </c>
      <c r="C143" t="s">
        <v>1904</v>
      </c>
      <c r="D143">
        <v>4</v>
      </c>
      <c r="E143" t="s">
        <v>1447</v>
      </c>
      <c r="F143" t="s">
        <v>1906</v>
      </c>
      <c r="G143" t="s">
        <v>1860</v>
      </c>
      <c r="H143" t="s">
        <v>1799</v>
      </c>
      <c r="I143" t="s">
        <v>1799</v>
      </c>
      <c r="J143" t="s">
        <v>1799</v>
      </c>
      <c r="K143" t="s">
        <v>1909</v>
      </c>
      <c r="L143" t="s">
        <v>1799</v>
      </c>
      <c r="M143" t="s">
        <v>1799</v>
      </c>
      <c r="N143" t="s">
        <v>1799</v>
      </c>
      <c r="O143" s="184" t="str">
        <f>"["&amp;$C143&amp;"]["&amp;$D143&amp;"]["&amp;$F143&amp;"]"</f>
        <v>[MeasuresStreamline][4][MeasuresStreamlineComments]</v>
      </c>
    </row>
    <row r="144" spans="1:15" x14ac:dyDescent="0.3">
      <c r="A144" t="s">
        <v>1793</v>
      </c>
      <c r="B144" t="s">
        <v>1910</v>
      </c>
      <c r="C144" t="s">
        <v>1911</v>
      </c>
      <c r="D144">
        <v>0</v>
      </c>
      <c r="E144" t="s">
        <v>1447</v>
      </c>
      <c r="F144" t="s">
        <v>1911</v>
      </c>
      <c r="G144" t="s">
        <v>1829</v>
      </c>
      <c r="H144" t="s">
        <v>1799</v>
      </c>
      <c r="I144" t="s">
        <v>1799</v>
      </c>
      <c r="J144" t="s">
        <v>1799</v>
      </c>
      <c r="K144" t="s">
        <v>1799</v>
      </c>
      <c r="L144" t="s">
        <v>1419</v>
      </c>
      <c r="M144" t="s">
        <v>1799</v>
      </c>
      <c r="N144" t="s">
        <v>1799</v>
      </c>
      <c r="O144" s="184" t="str">
        <f>"["&amp;$C144&amp;"]["&amp;$D144&amp;"]["&amp;$F144&amp;"]"</f>
        <v>[CommissionTemplatesMRR][0][CommissionTemplatesMRR]</v>
      </c>
    </row>
    <row r="145" spans="1:15" x14ac:dyDescent="0.3">
      <c r="A145" t="s">
        <v>1793</v>
      </c>
      <c r="B145" t="s">
        <v>1910</v>
      </c>
      <c r="C145" t="s">
        <v>1912</v>
      </c>
      <c r="D145">
        <v>0</v>
      </c>
      <c r="E145" t="s">
        <v>1447</v>
      </c>
      <c r="F145" t="s">
        <v>1912</v>
      </c>
      <c r="G145" t="s">
        <v>1797</v>
      </c>
      <c r="H145" t="s">
        <v>1852</v>
      </c>
      <c r="I145" t="s">
        <v>1799</v>
      </c>
      <c r="J145" t="s">
        <v>1799</v>
      </c>
      <c r="K145" t="s">
        <v>1799</v>
      </c>
      <c r="L145" t="s">
        <v>1799</v>
      </c>
      <c r="M145" t="s">
        <v>1799</v>
      </c>
      <c r="N145" t="s">
        <v>1799</v>
      </c>
      <c r="O145" s="184" t="str">
        <f>"["&amp;$C145&amp;"]["&amp;$D145&amp;"]["&amp;$F145&amp;"]"</f>
        <v>[ComplyMeasuresArt74][0][ComplyMeasuresArt74]</v>
      </c>
    </row>
    <row r="146" spans="1:15" x14ac:dyDescent="0.3">
      <c r="A146" t="s">
        <v>1793</v>
      </c>
      <c r="B146" t="s">
        <v>1913</v>
      </c>
      <c r="C146" t="s">
        <v>1914</v>
      </c>
      <c r="D146">
        <v>0</v>
      </c>
      <c r="E146" t="s">
        <v>1447</v>
      </c>
      <c r="F146" t="s">
        <v>1914</v>
      </c>
      <c r="G146" t="s">
        <v>1829</v>
      </c>
      <c r="H146" t="s">
        <v>1799</v>
      </c>
      <c r="I146" t="s">
        <v>1799</v>
      </c>
      <c r="J146" t="s">
        <v>1799</v>
      </c>
      <c r="K146" t="s">
        <v>1799</v>
      </c>
      <c r="L146" t="s">
        <v>1447</v>
      </c>
      <c r="M146" t="s">
        <v>1799</v>
      </c>
      <c r="N146" t="s">
        <v>1799</v>
      </c>
      <c r="O146" s="184" t="str">
        <f>"["&amp;$C146&amp;"]["&amp;$D146&amp;"]["&amp;$F146&amp;"]"</f>
        <v>[AutomatedSystemInformationExchange][0][AutomatedSystemInformationExchange]</v>
      </c>
    </row>
    <row r="147" spans="1:15" x14ac:dyDescent="0.3">
      <c r="A147" t="s">
        <v>1793</v>
      </c>
      <c r="B147" t="s">
        <v>1915</v>
      </c>
      <c r="C147" t="s">
        <v>1916</v>
      </c>
      <c r="D147">
        <v>5</v>
      </c>
      <c r="E147" t="s">
        <v>1447</v>
      </c>
      <c r="F147" t="s">
        <v>1917</v>
      </c>
      <c r="G147" t="s">
        <v>1878</v>
      </c>
      <c r="H147" t="s">
        <v>1799</v>
      </c>
      <c r="I147" t="s">
        <v>1799</v>
      </c>
      <c r="J147">
        <v>13957.848</v>
      </c>
      <c r="K147" t="s">
        <v>1799</v>
      </c>
      <c r="L147" t="s">
        <v>1799</v>
      </c>
      <c r="M147" t="s">
        <v>1799</v>
      </c>
      <c r="N147" t="s">
        <v>1799</v>
      </c>
      <c r="O147" s="184" t="str">
        <f>"["&amp;$C147&amp;"]["&amp;$D147&amp;"]["&amp;$F147&amp;"]"</f>
        <v>[S05_InstallationFuelConsEmissions][5][FuelConsumption]</v>
      </c>
    </row>
    <row r="148" spans="1:15" x14ac:dyDescent="0.3">
      <c r="A148" t="s">
        <v>1793</v>
      </c>
      <c r="B148" t="s">
        <v>1918</v>
      </c>
      <c r="C148" t="s">
        <v>1916</v>
      </c>
      <c r="D148">
        <v>12</v>
      </c>
      <c r="E148" t="s">
        <v>1447</v>
      </c>
      <c r="F148" t="s">
        <v>1917</v>
      </c>
      <c r="G148" t="s">
        <v>1878</v>
      </c>
      <c r="H148" t="s">
        <v>1799</v>
      </c>
      <c r="I148" t="s">
        <v>1799</v>
      </c>
      <c r="J148">
        <v>448.94799999999998</v>
      </c>
      <c r="K148" t="s">
        <v>1799</v>
      </c>
      <c r="L148" t="s">
        <v>1799</v>
      </c>
      <c r="M148" t="s">
        <v>1799</v>
      </c>
      <c r="N148" t="s">
        <v>1799</v>
      </c>
      <c r="O148" s="184" t="str">
        <f>"["&amp;$C148&amp;"]["&amp;$D148&amp;"]["&amp;$F148&amp;"]"</f>
        <v>[S05_InstallationFuelConsEmissions][12][FuelConsumption]</v>
      </c>
    </row>
    <row r="149" spans="1:15" x14ac:dyDescent="0.3">
      <c r="A149" t="s">
        <v>1793</v>
      </c>
      <c r="B149" t="s">
        <v>1915</v>
      </c>
      <c r="C149" t="s">
        <v>1916</v>
      </c>
      <c r="D149">
        <v>5</v>
      </c>
      <c r="E149" t="s">
        <v>1447</v>
      </c>
      <c r="F149" t="s">
        <v>1919</v>
      </c>
      <c r="G149" t="s">
        <v>1878</v>
      </c>
      <c r="H149" t="s">
        <v>1799</v>
      </c>
      <c r="I149" t="s">
        <v>1799</v>
      </c>
      <c r="J149">
        <v>738579.64</v>
      </c>
      <c r="K149" t="s">
        <v>1799</v>
      </c>
      <c r="L149" t="s">
        <v>1799</v>
      </c>
      <c r="M149" t="s">
        <v>1799</v>
      </c>
      <c r="N149" t="s">
        <v>1799</v>
      </c>
      <c r="O149" s="184" t="str">
        <f>"["&amp;$C149&amp;"]["&amp;$D149&amp;"]["&amp;$F149&amp;"]"</f>
        <v>[S05_InstallationFuelConsEmissions][5][FuelAnnualEmissions]</v>
      </c>
    </row>
    <row r="150" spans="1:15" x14ac:dyDescent="0.3">
      <c r="A150" t="s">
        <v>1793</v>
      </c>
      <c r="B150" t="s">
        <v>1915</v>
      </c>
      <c r="C150" t="s">
        <v>1916</v>
      </c>
      <c r="D150">
        <v>12</v>
      </c>
      <c r="E150" t="s">
        <v>1447</v>
      </c>
      <c r="F150" t="s">
        <v>1919</v>
      </c>
      <c r="G150" t="s">
        <v>1878</v>
      </c>
      <c r="H150" t="s">
        <v>1799</v>
      </c>
      <c r="I150" t="s">
        <v>1799</v>
      </c>
      <c r="J150">
        <v>33051.769999999997</v>
      </c>
      <c r="K150" t="s">
        <v>1799</v>
      </c>
      <c r="L150" t="s">
        <v>1799</v>
      </c>
      <c r="M150" t="s">
        <v>1799</v>
      </c>
      <c r="N150" t="s">
        <v>1799</v>
      </c>
      <c r="O150" s="184" t="str">
        <f>"["&amp;$C150&amp;"]["&amp;$D150&amp;"]["&amp;$F150&amp;"]"</f>
        <v>[S05_InstallationFuelConsEmissions][12][FuelAnnualEmissions]</v>
      </c>
    </row>
    <row r="151" spans="1:15" x14ac:dyDescent="0.3">
      <c r="A151" t="s">
        <v>1793</v>
      </c>
      <c r="B151" t="s">
        <v>1920</v>
      </c>
      <c r="C151" t="s">
        <v>1921</v>
      </c>
      <c r="D151">
        <v>1</v>
      </c>
      <c r="E151" t="s">
        <v>1447</v>
      </c>
      <c r="F151" t="s">
        <v>1922</v>
      </c>
      <c r="G151" t="s">
        <v>1737</v>
      </c>
      <c r="H151" t="s">
        <v>1799</v>
      </c>
      <c r="I151" t="s">
        <v>1799</v>
      </c>
      <c r="J151" t="s">
        <v>1799</v>
      </c>
      <c r="K151" t="s">
        <v>1799</v>
      </c>
      <c r="L151" t="s">
        <v>1453</v>
      </c>
      <c r="M151" t="s">
        <v>1799</v>
      </c>
      <c r="N151" t="s">
        <v>1799</v>
      </c>
      <c r="O151" s="184" t="str">
        <f>"["&amp;$C151&amp;"]["&amp;$D151&amp;"]["&amp;$F151&amp;"]"</f>
        <v>[S05_AggregateTotalEmissionsByCRF][1][CRFCategory1]</v>
      </c>
    </row>
    <row r="152" spans="1:15" x14ac:dyDescent="0.3">
      <c r="A152" t="s">
        <v>1793</v>
      </c>
      <c r="B152" t="s">
        <v>1920</v>
      </c>
      <c r="C152" t="s">
        <v>1921</v>
      </c>
      <c r="D152">
        <v>1</v>
      </c>
      <c r="E152" t="s">
        <v>1447</v>
      </c>
      <c r="F152" t="s">
        <v>1923</v>
      </c>
      <c r="G152" t="s">
        <v>1878</v>
      </c>
      <c r="H152" t="s">
        <v>1799</v>
      </c>
      <c r="I152" t="s">
        <v>1799</v>
      </c>
      <c r="J152">
        <v>772036.92</v>
      </c>
      <c r="K152" t="s">
        <v>1799</v>
      </c>
      <c r="L152" t="s">
        <v>1799</v>
      </c>
      <c r="M152" t="s">
        <v>1799</v>
      </c>
      <c r="N152" t="s">
        <v>1799</v>
      </c>
      <c r="O152" s="184" t="str">
        <f>"["&amp;$C152&amp;"]["&amp;$D152&amp;"]["&amp;$F152&amp;"]"</f>
        <v>[S05_AggregateTotalEmissionsByCRF][1][TotalEmissionsTCo2e]</v>
      </c>
    </row>
    <row r="153" spans="1:15" x14ac:dyDescent="0.3">
      <c r="A153" t="s">
        <v>1793</v>
      </c>
      <c r="B153" t="s">
        <v>1920</v>
      </c>
      <c r="C153" t="s">
        <v>1921</v>
      </c>
      <c r="D153">
        <v>1</v>
      </c>
      <c r="E153" t="s">
        <v>1447</v>
      </c>
      <c r="F153" t="s">
        <v>1924</v>
      </c>
      <c r="G153" t="s">
        <v>1878</v>
      </c>
      <c r="H153" t="s">
        <v>1799</v>
      </c>
      <c r="I153" t="s">
        <v>1799</v>
      </c>
      <c r="J153">
        <v>771631.41</v>
      </c>
      <c r="K153" t="s">
        <v>1799</v>
      </c>
      <c r="L153" t="s">
        <v>1799</v>
      </c>
      <c r="M153" t="s">
        <v>1799</v>
      </c>
      <c r="N153" t="s">
        <v>1799</v>
      </c>
      <c r="O153" s="184" t="str">
        <f>"["&amp;$C153&amp;"]["&amp;$D153&amp;"]["&amp;$F153&amp;"]"</f>
        <v>[S05_AggregateTotalEmissionsByCRF][1][TotalCombustionEmissionsTCo2e]</v>
      </c>
    </row>
    <row r="154" spans="1:15" x14ac:dyDescent="0.3">
      <c r="A154" t="s">
        <v>1793</v>
      </c>
      <c r="B154" t="s">
        <v>1920</v>
      </c>
      <c r="C154" t="s">
        <v>1921</v>
      </c>
      <c r="D154">
        <v>1</v>
      </c>
      <c r="E154" t="s">
        <v>1447</v>
      </c>
      <c r="F154" t="s">
        <v>1925</v>
      </c>
      <c r="G154" t="s">
        <v>1878</v>
      </c>
      <c r="H154" t="s">
        <v>1799</v>
      </c>
      <c r="I154" t="s">
        <v>1799</v>
      </c>
      <c r="J154">
        <v>405.51</v>
      </c>
      <c r="K154" t="s">
        <v>1799</v>
      </c>
      <c r="L154" t="s">
        <v>1799</v>
      </c>
      <c r="M154" t="s">
        <v>1799</v>
      </c>
      <c r="N154" t="s">
        <v>1799</v>
      </c>
      <c r="O154" s="184" t="str">
        <f>"["&amp;$C154&amp;"]["&amp;$D154&amp;"]["&amp;$F154&amp;"]"</f>
        <v>[S05_AggregateTotalEmissionsByCRF][1][TotalProcessEmissionsTCo2e]</v>
      </c>
    </row>
    <row r="155" spans="1:15" x14ac:dyDescent="0.3">
      <c r="A155" t="s">
        <v>1793</v>
      </c>
      <c r="B155" t="s">
        <v>1918</v>
      </c>
      <c r="C155" t="s">
        <v>1926</v>
      </c>
      <c r="D155">
        <v>1</v>
      </c>
      <c r="E155" t="s">
        <v>1447</v>
      </c>
      <c r="F155" t="s">
        <v>1927</v>
      </c>
      <c r="G155" t="s">
        <v>1737</v>
      </c>
      <c r="H155" t="s">
        <v>1799</v>
      </c>
      <c r="I155" t="s">
        <v>1799</v>
      </c>
      <c r="J155" t="s">
        <v>1799</v>
      </c>
      <c r="K155" t="s">
        <v>1799</v>
      </c>
      <c r="L155" t="s">
        <v>1455</v>
      </c>
      <c r="M155" t="s">
        <v>1799</v>
      </c>
      <c r="N155" t="s">
        <v>1799</v>
      </c>
      <c r="O155" s="184" t="str">
        <f>"["&amp;$C155&amp;"]["&amp;$D155&amp;"]["&amp;$F155&amp;"]"</f>
        <v>[S05_DefaultValues][1][InstallationCategory]</v>
      </c>
    </row>
    <row r="156" spans="1:15" x14ac:dyDescent="0.3">
      <c r="A156" t="s">
        <v>1793</v>
      </c>
      <c r="B156" t="s">
        <v>1918</v>
      </c>
      <c r="C156" t="s">
        <v>1926</v>
      </c>
      <c r="D156">
        <v>1</v>
      </c>
      <c r="E156" t="s">
        <v>1447</v>
      </c>
      <c r="F156" t="s">
        <v>1928</v>
      </c>
      <c r="G156" t="s">
        <v>1797</v>
      </c>
      <c r="H156" t="s">
        <v>1929</v>
      </c>
      <c r="I156" t="s">
        <v>1799</v>
      </c>
      <c r="J156" t="s">
        <v>1799</v>
      </c>
      <c r="K156" t="s">
        <v>1799</v>
      </c>
      <c r="L156" t="s">
        <v>1799</v>
      </c>
      <c r="M156" t="s">
        <v>1799</v>
      </c>
      <c r="N156" t="s">
        <v>1799</v>
      </c>
      <c r="O156" s="184" t="str">
        <f>"["&amp;$C156&amp;"]["&amp;$D156&amp;"]["&amp;$F156&amp;"]"</f>
        <v>[S05_DefaultValues][1][FuelMaterialType]</v>
      </c>
    </row>
    <row r="157" spans="1:15" x14ac:dyDescent="0.3">
      <c r="A157" t="s">
        <v>1793</v>
      </c>
      <c r="B157" t="s">
        <v>1918</v>
      </c>
      <c r="C157" t="s">
        <v>1926</v>
      </c>
      <c r="D157">
        <v>1</v>
      </c>
      <c r="E157" t="s">
        <v>1447</v>
      </c>
      <c r="F157" t="s">
        <v>1930</v>
      </c>
      <c r="G157" t="s">
        <v>1811</v>
      </c>
      <c r="H157" t="s">
        <v>1799</v>
      </c>
      <c r="I157">
        <v>1</v>
      </c>
      <c r="J157" t="s">
        <v>1799</v>
      </c>
      <c r="K157" t="s">
        <v>1799</v>
      </c>
      <c r="L157" t="s">
        <v>1799</v>
      </c>
      <c r="M157" t="s">
        <v>1799</v>
      </c>
      <c r="N157" t="s">
        <v>1799</v>
      </c>
      <c r="O157" s="184" t="str">
        <f>"["&amp;$C157&amp;"]["&amp;$D157&amp;"]["&amp;$F157&amp;"]"</f>
        <v>[S05_DefaultValues][1][InstallationNumber]</v>
      </c>
    </row>
    <row r="158" spans="1:15" x14ac:dyDescent="0.3">
      <c r="A158" t="s">
        <v>1793</v>
      </c>
      <c r="B158" t="s">
        <v>1931</v>
      </c>
      <c r="C158" t="s">
        <v>1932</v>
      </c>
      <c r="D158">
        <v>1</v>
      </c>
      <c r="E158" t="s">
        <v>1447</v>
      </c>
      <c r="F158" t="s">
        <v>1933</v>
      </c>
      <c r="G158" t="s">
        <v>1797</v>
      </c>
      <c r="H158" t="s">
        <v>1756</v>
      </c>
      <c r="I158" t="s">
        <v>1799</v>
      </c>
      <c r="J158" t="s">
        <v>1799</v>
      </c>
      <c r="K158" t="s">
        <v>1799</v>
      </c>
      <c r="L158" t="s">
        <v>1799</v>
      </c>
      <c r="M158" t="s">
        <v>1799</v>
      </c>
      <c r="N158" t="s">
        <v>1799</v>
      </c>
      <c r="O158" s="184" t="str">
        <f>"["&amp;$C158&amp;"]["&amp;$D158&amp;"]["&amp;$F158&amp;"]"</f>
        <v>[S05_InstallationDifferentSamplingFrequency][1][SamplingFuelMaterial]</v>
      </c>
    </row>
    <row r="159" spans="1:15" x14ac:dyDescent="0.3">
      <c r="A159" t="s">
        <v>1793</v>
      </c>
      <c r="B159" t="s">
        <v>1931</v>
      </c>
      <c r="C159" t="s">
        <v>1932</v>
      </c>
      <c r="D159">
        <v>1</v>
      </c>
      <c r="E159" t="s">
        <v>1447</v>
      </c>
      <c r="F159" t="s">
        <v>1934</v>
      </c>
      <c r="G159" t="s">
        <v>1811</v>
      </c>
      <c r="H159" t="s">
        <v>1799</v>
      </c>
      <c r="I159">
        <v>0</v>
      </c>
      <c r="J159" t="s">
        <v>1799</v>
      </c>
      <c r="K159" t="s">
        <v>1799</v>
      </c>
      <c r="L159" t="s">
        <v>1799</v>
      </c>
      <c r="M159" t="s">
        <v>1799</v>
      </c>
      <c r="N159" t="s">
        <v>1799</v>
      </c>
      <c r="O159" s="184" t="str">
        <f>"["&amp;$C159&amp;"]["&amp;$D159&amp;"]["&amp;$F159&amp;"]"</f>
        <v>[S05_InstallationDifferentSamplingFrequency][1][CountInstallationsDiffFrequency]</v>
      </c>
    </row>
    <row r="160" spans="1:15" x14ac:dyDescent="0.3">
      <c r="A160" t="s">
        <v>1793</v>
      </c>
      <c r="B160" t="s">
        <v>1931</v>
      </c>
      <c r="C160" t="s">
        <v>1932</v>
      </c>
      <c r="D160">
        <v>1</v>
      </c>
      <c r="E160" t="s">
        <v>1447</v>
      </c>
      <c r="F160" t="s">
        <v>1935</v>
      </c>
      <c r="G160" t="s">
        <v>1811</v>
      </c>
      <c r="H160" t="s">
        <v>1799</v>
      </c>
      <c r="I160">
        <v>0</v>
      </c>
      <c r="J160" t="s">
        <v>1799</v>
      </c>
      <c r="K160" t="s">
        <v>1799</v>
      </c>
      <c r="L160" t="s">
        <v>1799</v>
      </c>
      <c r="M160" t="s">
        <v>1799</v>
      </c>
      <c r="N160" t="s">
        <v>1799</v>
      </c>
      <c r="O160" s="184" t="str">
        <f>"["&amp;$C160&amp;"]["&amp;$D160&amp;"]["&amp;$F160&amp;"]"</f>
        <v>[S05_InstallationDifferentSamplingFrequency][1][MajorSourceStreams]</v>
      </c>
    </row>
    <row r="161" spans="1:15" x14ac:dyDescent="0.3">
      <c r="A161" t="s">
        <v>1793</v>
      </c>
      <c r="B161" t="s">
        <v>1936</v>
      </c>
      <c r="C161" t="s">
        <v>1937</v>
      </c>
      <c r="D161">
        <v>0</v>
      </c>
      <c r="E161" t="s">
        <v>1447</v>
      </c>
      <c r="F161" t="s">
        <v>1937</v>
      </c>
      <c r="G161" t="s">
        <v>1829</v>
      </c>
      <c r="H161" t="s">
        <v>1799</v>
      </c>
      <c r="I161" t="s">
        <v>1799</v>
      </c>
      <c r="J161" t="s">
        <v>1799</v>
      </c>
      <c r="K161" t="s">
        <v>1799</v>
      </c>
      <c r="L161" t="s">
        <v>1447</v>
      </c>
      <c r="M161" t="s">
        <v>1799</v>
      </c>
      <c r="N161" t="s">
        <v>1799</v>
      </c>
      <c r="O161" s="184" t="str">
        <f>"["&amp;$C161&amp;"]["&amp;$D161&amp;"]["&amp;$F161&amp;"]"</f>
        <v>[FallBackApproachApplied][0][FallBackApproachApplied]</v>
      </c>
    </row>
    <row r="162" spans="1:15" x14ac:dyDescent="0.3">
      <c r="A162" t="s">
        <v>1793</v>
      </c>
      <c r="B162" t="s">
        <v>1938</v>
      </c>
      <c r="C162" t="s">
        <v>1939</v>
      </c>
      <c r="D162">
        <v>0</v>
      </c>
      <c r="E162" t="s">
        <v>1447</v>
      </c>
      <c r="F162" t="s">
        <v>1939</v>
      </c>
      <c r="G162" t="s">
        <v>1829</v>
      </c>
      <c r="H162" t="s">
        <v>1799</v>
      </c>
      <c r="I162" t="s">
        <v>1799</v>
      </c>
      <c r="J162" t="s">
        <v>1799</v>
      </c>
      <c r="K162" t="s">
        <v>1799</v>
      </c>
      <c r="L162" t="s">
        <v>1447</v>
      </c>
      <c r="M162" t="s">
        <v>1799</v>
      </c>
      <c r="N162" t="s">
        <v>1799</v>
      </c>
      <c r="O162" s="184" t="str">
        <f>"["&amp;$C162&amp;"]["&amp;$D162&amp;"]["&amp;$F162&amp;"]"</f>
        <v>[InherentCarbonTransferred][0][InherentCarbonTransferred]</v>
      </c>
    </row>
    <row r="163" spans="1:15" x14ac:dyDescent="0.3">
      <c r="A163" t="s">
        <v>1793</v>
      </c>
      <c r="B163" t="s">
        <v>1940</v>
      </c>
      <c r="C163" t="s">
        <v>1941</v>
      </c>
      <c r="D163">
        <v>0</v>
      </c>
      <c r="E163" t="s">
        <v>1447</v>
      </c>
      <c r="F163" t="s">
        <v>1941</v>
      </c>
      <c r="G163" t="s">
        <v>1829</v>
      </c>
      <c r="H163" t="s">
        <v>1799</v>
      </c>
      <c r="I163" t="s">
        <v>1799</v>
      </c>
      <c r="J163" t="s">
        <v>1799</v>
      </c>
      <c r="K163" t="s">
        <v>1799</v>
      </c>
      <c r="L163" t="s">
        <v>1447</v>
      </c>
      <c r="M163" t="s">
        <v>1799</v>
      </c>
      <c r="N163" t="s">
        <v>1799</v>
      </c>
      <c r="O163" s="184" t="str">
        <f>"["&amp;$C163&amp;"]["&amp;$D163&amp;"]["&amp;$F163&amp;"]"</f>
        <v>[ContinuousEmissionsMeasurement][0][ContinuousEmissionsMeasurement]</v>
      </c>
    </row>
    <row r="164" spans="1:15" x14ac:dyDescent="0.3">
      <c r="A164" t="s">
        <v>1793</v>
      </c>
      <c r="B164" t="s">
        <v>1942</v>
      </c>
      <c r="C164" t="s">
        <v>1943</v>
      </c>
      <c r="D164">
        <v>0</v>
      </c>
      <c r="E164" t="s">
        <v>1447</v>
      </c>
      <c r="F164" t="s">
        <v>1943</v>
      </c>
      <c r="G164" t="s">
        <v>1797</v>
      </c>
      <c r="H164" t="s">
        <v>1852</v>
      </c>
      <c r="I164" t="s">
        <v>1799</v>
      </c>
      <c r="J164" t="s">
        <v>1799</v>
      </c>
      <c r="K164" t="s">
        <v>1799</v>
      </c>
      <c r="L164" t="s">
        <v>1799</v>
      </c>
      <c r="M164" t="s">
        <v>1799</v>
      </c>
      <c r="N164" t="s">
        <v>1799</v>
      </c>
      <c r="O164" s="184" t="str">
        <f>"["&amp;$C164&amp;"]["&amp;$D164&amp;"]["&amp;$F164&amp;"]"</f>
        <v>[SustainabilityComplianceDemonstrate][0][SustainabilityComplianceDemonstrate]</v>
      </c>
    </row>
    <row r="165" spans="1:15" x14ac:dyDescent="0.3">
      <c r="A165" t="s">
        <v>1793</v>
      </c>
      <c r="B165" t="s">
        <v>1942</v>
      </c>
      <c r="C165" t="s">
        <v>1944</v>
      </c>
      <c r="D165">
        <v>1</v>
      </c>
      <c r="E165" t="s">
        <v>1447</v>
      </c>
      <c r="F165" t="s">
        <v>1945</v>
      </c>
      <c r="G165" t="s">
        <v>1737</v>
      </c>
      <c r="H165" t="s">
        <v>1799</v>
      </c>
      <c r="I165" t="s">
        <v>1799</v>
      </c>
      <c r="J165" t="s">
        <v>1799</v>
      </c>
      <c r="K165" t="s">
        <v>1799</v>
      </c>
      <c r="L165" t="s">
        <v>1420</v>
      </c>
      <c r="M165" t="s">
        <v>1799</v>
      </c>
      <c r="N165" t="s">
        <v>1799</v>
      </c>
      <c r="O165" s="184" t="str">
        <f>"["&amp;$C165&amp;"]["&amp;$D165&amp;"]["&amp;$F165&amp;"]"</f>
        <v>[S05_BiomassInstallations][1][Annex1Activity]</v>
      </c>
    </row>
    <row r="166" spans="1:15" x14ac:dyDescent="0.3">
      <c r="A166" t="s">
        <v>1793</v>
      </c>
      <c r="B166" t="s">
        <v>1942</v>
      </c>
      <c r="C166" t="s">
        <v>1944</v>
      </c>
      <c r="D166">
        <v>2</v>
      </c>
      <c r="E166" t="s">
        <v>1447</v>
      </c>
      <c r="F166" t="s">
        <v>1945</v>
      </c>
      <c r="G166" t="s">
        <v>1737</v>
      </c>
      <c r="H166" t="s">
        <v>1799</v>
      </c>
      <c r="I166" t="s">
        <v>1799</v>
      </c>
      <c r="J166" t="s">
        <v>1799</v>
      </c>
      <c r="K166" t="s">
        <v>1799</v>
      </c>
      <c r="L166" t="s">
        <v>1420</v>
      </c>
      <c r="M166" t="s">
        <v>1799</v>
      </c>
      <c r="N166" t="s">
        <v>1799</v>
      </c>
      <c r="O166" s="184" t="str">
        <f>"["&amp;$C166&amp;"]["&amp;$D166&amp;"]["&amp;$F166&amp;"]"</f>
        <v>[S05_BiomassInstallations][2][Annex1Activity]</v>
      </c>
    </row>
    <row r="167" spans="1:15" x14ac:dyDescent="0.3">
      <c r="A167" t="s">
        <v>1793</v>
      </c>
      <c r="B167" t="s">
        <v>1942</v>
      </c>
      <c r="C167" t="s">
        <v>1944</v>
      </c>
      <c r="D167">
        <v>3</v>
      </c>
      <c r="E167" t="s">
        <v>1447</v>
      </c>
      <c r="F167" t="s">
        <v>1945</v>
      </c>
      <c r="G167" t="s">
        <v>1737</v>
      </c>
      <c r="H167" t="s">
        <v>1799</v>
      </c>
      <c r="I167" t="s">
        <v>1799</v>
      </c>
      <c r="J167" t="s">
        <v>1799</v>
      </c>
      <c r="K167" t="s">
        <v>1799</v>
      </c>
      <c r="L167" t="s">
        <v>1420</v>
      </c>
      <c r="M167" t="s">
        <v>1799</v>
      </c>
      <c r="N167" t="s">
        <v>1799</v>
      </c>
      <c r="O167" s="184" t="str">
        <f>"["&amp;$C167&amp;"]["&amp;$D167&amp;"]["&amp;$F167&amp;"]"</f>
        <v>[S05_BiomassInstallations][3][Annex1Activity]</v>
      </c>
    </row>
    <row r="168" spans="1:15" x14ac:dyDescent="0.3">
      <c r="A168" t="s">
        <v>1793</v>
      </c>
      <c r="B168" t="s">
        <v>1942</v>
      </c>
      <c r="C168" t="s">
        <v>1944</v>
      </c>
      <c r="D168">
        <v>1</v>
      </c>
      <c r="E168" t="s">
        <v>1447</v>
      </c>
      <c r="F168" t="s">
        <v>1946</v>
      </c>
      <c r="G168" t="s">
        <v>1737</v>
      </c>
      <c r="H168" t="s">
        <v>1799</v>
      </c>
      <c r="I168" t="s">
        <v>1799</v>
      </c>
      <c r="J168" t="s">
        <v>1799</v>
      </c>
      <c r="K168" t="s">
        <v>1799</v>
      </c>
      <c r="L168" t="s">
        <v>1432</v>
      </c>
      <c r="M168" t="s">
        <v>1799</v>
      </c>
      <c r="N168" t="s">
        <v>1799</v>
      </c>
      <c r="O168" s="184" t="str">
        <f>"["&amp;$C168&amp;"]["&amp;$D168&amp;"]["&amp;$F168&amp;"]"</f>
        <v>[S05_BiomassInstallations][1][BiomassInstallationCategory]</v>
      </c>
    </row>
    <row r="169" spans="1:15" x14ac:dyDescent="0.3">
      <c r="A169" t="s">
        <v>1793</v>
      </c>
      <c r="B169" t="s">
        <v>1942</v>
      </c>
      <c r="C169" t="s">
        <v>1944</v>
      </c>
      <c r="D169">
        <v>2</v>
      </c>
      <c r="E169" t="s">
        <v>1447</v>
      </c>
      <c r="F169" t="s">
        <v>1946</v>
      </c>
      <c r="G169" t="s">
        <v>1737</v>
      </c>
      <c r="H169" t="s">
        <v>1799</v>
      </c>
      <c r="I169" t="s">
        <v>1799</v>
      </c>
      <c r="J169" t="s">
        <v>1799</v>
      </c>
      <c r="K169" t="s">
        <v>1799</v>
      </c>
      <c r="L169" t="s">
        <v>1460</v>
      </c>
      <c r="M169" t="s">
        <v>1799</v>
      </c>
      <c r="N169" t="s">
        <v>1799</v>
      </c>
      <c r="O169" s="184" t="str">
        <f>"["&amp;$C169&amp;"]["&amp;$D169&amp;"]["&amp;$F169&amp;"]"</f>
        <v>[S05_BiomassInstallations][2][BiomassInstallationCategory]</v>
      </c>
    </row>
    <row r="170" spans="1:15" x14ac:dyDescent="0.3">
      <c r="A170" t="s">
        <v>1793</v>
      </c>
      <c r="B170" t="s">
        <v>1942</v>
      </c>
      <c r="C170" t="s">
        <v>1944</v>
      </c>
      <c r="D170">
        <v>3</v>
      </c>
      <c r="E170" t="s">
        <v>1447</v>
      </c>
      <c r="F170" t="s">
        <v>1946</v>
      </c>
      <c r="G170" t="s">
        <v>1737</v>
      </c>
      <c r="H170" t="s">
        <v>1799</v>
      </c>
      <c r="I170" t="s">
        <v>1799</v>
      </c>
      <c r="J170" t="s">
        <v>1799</v>
      </c>
      <c r="K170" t="s">
        <v>1799</v>
      </c>
      <c r="L170" t="s">
        <v>1487</v>
      </c>
      <c r="M170" t="s">
        <v>1799</v>
      </c>
      <c r="N170" t="s">
        <v>1799</v>
      </c>
      <c r="O170" s="184" t="str">
        <f>"["&amp;$C170&amp;"]["&amp;$D170&amp;"]["&amp;$F170&amp;"]"</f>
        <v>[S05_BiomassInstallations][3][BiomassInstallationCategory]</v>
      </c>
    </row>
    <row r="171" spans="1:15" x14ac:dyDescent="0.3">
      <c r="A171" t="s">
        <v>1793</v>
      </c>
      <c r="B171" t="s">
        <v>1942</v>
      </c>
      <c r="C171" t="s">
        <v>1944</v>
      </c>
      <c r="D171">
        <v>1</v>
      </c>
      <c r="E171" t="s">
        <v>1447</v>
      </c>
      <c r="F171" t="s">
        <v>1947</v>
      </c>
      <c r="G171" t="s">
        <v>1811</v>
      </c>
      <c r="H171" t="s">
        <v>1799</v>
      </c>
      <c r="I171">
        <v>0</v>
      </c>
      <c r="J171" t="s">
        <v>1799</v>
      </c>
      <c r="K171" t="s">
        <v>1799</v>
      </c>
      <c r="L171" t="s">
        <v>1799</v>
      </c>
      <c r="M171" t="s">
        <v>1799</v>
      </c>
      <c r="N171" t="s">
        <v>1799</v>
      </c>
      <c r="O171" s="184" t="str">
        <f>"["&amp;$C171&amp;"]["&amp;$D171&amp;"]["&amp;$F171&amp;"]"</f>
        <v>[S05_BiomassInstallations][1][NumberUsingBiomass]</v>
      </c>
    </row>
    <row r="172" spans="1:15" x14ac:dyDescent="0.3">
      <c r="A172" t="s">
        <v>1793</v>
      </c>
      <c r="B172" t="s">
        <v>1942</v>
      </c>
      <c r="C172" t="s">
        <v>1944</v>
      </c>
      <c r="D172">
        <v>2</v>
      </c>
      <c r="E172" t="s">
        <v>1447</v>
      </c>
      <c r="F172" t="s">
        <v>1947</v>
      </c>
      <c r="G172" t="s">
        <v>1811</v>
      </c>
      <c r="H172" t="s">
        <v>1799</v>
      </c>
      <c r="I172">
        <v>0</v>
      </c>
      <c r="J172" t="s">
        <v>1799</v>
      </c>
      <c r="K172" t="s">
        <v>1799</v>
      </c>
      <c r="L172" t="s">
        <v>1799</v>
      </c>
      <c r="M172" t="s">
        <v>1799</v>
      </c>
      <c r="N172" t="s">
        <v>1799</v>
      </c>
      <c r="O172" s="184" t="str">
        <f>"["&amp;$C172&amp;"]["&amp;$D172&amp;"]["&amp;$F172&amp;"]"</f>
        <v>[S05_BiomassInstallations][2][NumberUsingBiomass]</v>
      </c>
    </row>
    <row r="173" spans="1:15" x14ac:dyDescent="0.3">
      <c r="A173" t="s">
        <v>1793</v>
      </c>
      <c r="B173" t="s">
        <v>1942</v>
      </c>
      <c r="C173" t="s">
        <v>1944</v>
      </c>
      <c r="D173">
        <v>3</v>
      </c>
      <c r="E173" t="s">
        <v>1447</v>
      </c>
      <c r="F173" t="s">
        <v>1947</v>
      </c>
      <c r="G173" t="s">
        <v>1811</v>
      </c>
      <c r="H173" t="s">
        <v>1799</v>
      </c>
      <c r="I173">
        <v>0</v>
      </c>
      <c r="J173" t="s">
        <v>1799</v>
      </c>
      <c r="K173" t="s">
        <v>1799</v>
      </c>
      <c r="L173" t="s">
        <v>1799</v>
      </c>
      <c r="M173" t="s">
        <v>1799</v>
      </c>
      <c r="N173" t="s">
        <v>1799</v>
      </c>
      <c r="O173" s="184" t="str">
        <f>"["&amp;$C173&amp;"]["&amp;$D173&amp;"]["&amp;$F173&amp;"]"</f>
        <v>[S05_BiomassInstallations][3][NumberUsingBiomass]</v>
      </c>
    </row>
    <row r="174" spans="1:15" x14ac:dyDescent="0.3">
      <c r="A174" t="s">
        <v>1793</v>
      </c>
      <c r="B174" t="s">
        <v>1942</v>
      </c>
      <c r="C174" t="s">
        <v>1944</v>
      </c>
      <c r="D174">
        <v>1</v>
      </c>
      <c r="E174" t="s">
        <v>1447</v>
      </c>
      <c r="F174" t="s">
        <v>1948</v>
      </c>
      <c r="G174" t="s">
        <v>1878</v>
      </c>
      <c r="H174" t="s">
        <v>1799</v>
      </c>
      <c r="I174" t="s">
        <v>1799</v>
      </c>
      <c r="J174">
        <v>0</v>
      </c>
      <c r="K174" t="s">
        <v>1799</v>
      </c>
      <c r="L174" t="s">
        <v>1799</v>
      </c>
      <c r="M174" t="s">
        <v>1799</v>
      </c>
      <c r="N174" t="s">
        <v>1799</v>
      </c>
      <c r="O174" s="184" t="str">
        <f>"["&amp;$C174&amp;"]["&amp;$D174&amp;"]["&amp;$F174&amp;"]"</f>
        <v>[S05_BiomassInstallations][1][EmissionsBiomassSustainabilitySatisfied]</v>
      </c>
    </row>
    <row r="175" spans="1:15" x14ac:dyDescent="0.3">
      <c r="A175" t="s">
        <v>1793</v>
      </c>
      <c r="B175" t="s">
        <v>1942</v>
      </c>
      <c r="C175" t="s">
        <v>1944</v>
      </c>
      <c r="D175">
        <v>2</v>
      </c>
      <c r="E175" t="s">
        <v>1447</v>
      </c>
      <c r="F175" t="s">
        <v>1948</v>
      </c>
      <c r="G175" t="s">
        <v>1878</v>
      </c>
      <c r="H175" t="s">
        <v>1799</v>
      </c>
      <c r="I175" t="s">
        <v>1799</v>
      </c>
      <c r="J175">
        <v>0</v>
      </c>
      <c r="K175" t="s">
        <v>1799</v>
      </c>
      <c r="L175" t="s">
        <v>1799</v>
      </c>
      <c r="M175" t="s">
        <v>1799</v>
      </c>
      <c r="N175" t="s">
        <v>1799</v>
      </c>
      <c r="O175" s="184" t="str">
        <f>"["&amp;$C175&amp;"]["&amp;$D175&amp;"]["&amp;$F175&amp;"]"</f>
        <v>[S05_BiomassInstallations][2][EmissionsBiomassSustainabilitySatisfied]</v>
      </c>
    </row>
    <row r="176" spans="1:15" x14ac:dyDescent="0.3">
      <c r="A176" t="s">
        <v>1793</v>
      </c>
      <c r="B176" t="s">
        <v>1942</v>
      </c>
      <c r="C176" t="s">
        <v>1944</v>
      </c>
      <c r="D176">
        <v>3</v>
      </c>
      <c r="E176" t="s">
        <v>1447</v>
      </c>
      <c r="F176" t="s">
        <v>1948</v>
      </c>
      <c r="G176" t="s">
        <v>1878</v>
      </c>
      <c r="H176" t="s">
        <v>1799</v>
      </c>
      <c r="I176" t="s">
        <v>1799</v>
      </c>
      <c r="J176">
        <v>0</v>
      </c>
      <c r="K176" t="s">
        <v>1799</v>
      </c>
      <c r="L176" t="s">
        <v>1799</v>
      </c>
      <c r="M176" t="s">
        <v>1799</v>
      </c>
      <c r="N176" t="s">
        <v>1799</v>
      </c>
      <c r="O176" s="184" t="str">
        <f>"["&amp;$C176&amp;"]["&amp;$D176&amp;"]["&amp;$F176&amp;"]"</f>
        <v>[S05_BiomassInstallations][3][EmissionsBiomassSustainabilitySatisfied]</v>
      </c>
    </row>
    <row r="177" spans="1:15" x14ac:dyDescent="0.3">
      <c r="A177" t="s">
        <v>1793</v>
      </c>
      <c r="B177" t="s">
        <v>1942</v>
      </c>
      <c r="C177" t="s">
        <v>1944</v>
      </c>
      <c r="D177">
        <v>1</v>
      </c>
      <c r="E177" t="s">
        <v>1447</v>
      </c>
      <c r="F177" t="s">
        <v>1949</v>
      </c>
      <c r="G177" t="s">
        <v>1878</v>
      </c>
      <c r="H177" t="s">
        <v>1799</v>
      </c>
      <c r="I177" t="s">
        <v>1799</v>
      </c>
      <c r="J177">
        <v>0</v>
      </c>
      <c r="K177" t="s">
        <v>1799</v>
      </c>
      <c r="L177" t="s">
        <v>1799</v>
      </c>
      <c r="M177" t="s">
        <v>1799</v>
      </c>
      <c r="N177" t="s">
        <v>1799</v>
      </c>
      <c r="O177" s="184" t="str">
        <f>"["&amp;$C177&amp;"]["&amp;$D177&amp;"]["&amp;$F177&amp;"]"</f>
        <v>[S05_BiomassInstallations][1][EmissionsBiomassSustainabilityNotSatisfied]</v>
      </c>
    </row>
    <row r="178" spans="1:15" x14ac:dyDescent="0.3">
      <c r="A178" t="s">
        <v>1793</v>
      </c>
      <c r="B178" t="s">
        <v>1942</v>
      </c>
      <c r="C178" t="s">
        <v>1944</v>
      </c>
      <c r="D178">
        <v>2</v>
      </c>
      <c r="E178" t="s">
        <v>1447</v>
      </c>
      <c r="F178" t="s">
        <v>1949</v>
      </c>
      <c r="G178" t="s">
        <v>1878</v>
      </c>
      <c r="H178" t="s">
        <v>1799</v>
      </c>
      <c r="I178" t="s">
        <v>1799</v>
      </c>
      <c r="J178">
        <v>0</v>
      </c>
      <c r="K178" t="s">
        <v>1799</v>
      </c>
      <c r="L178" t="s">
        <v>1799</v>
      </c>
      <c r="M178" t="s">
        <v>1799</v>
      </c>
      <c r="N178" t="s">
        <v>1799</v>
      </c>
      <c r="O178" s="184" t="str">
        <f>"["&amp;$C178&amp;"]["&amp;$D178&amp;"]["&amp;$F178&amp;"]"</f>
        <v>[S05_BiomassInstallations][2][EmissionsBiomassSustainabilityNotSatisfied]</v>
      </c>
    </row>
    <row r="179" spans="1:15" x14ac:dyDescent="0.3">
      <c r="A179" t="s">
        <v>1793</v>
      </c>
      <c r="B179" t="s">
        <v>1942</v>
      </c>
      <c r="C179" t="s">
        <v>1944</v>
      </c>
      <c r="D179">
        <v>3</v>
      </c>
      <c r="E179" t="s">
        <v>1447</v>
      </c>
      <c r="F179" t="s">
        <v>1949</v>
      </c>
      <c r="G179" t="s">
        <v>1878</v>
      </c>
      <c r="H179" t="s">
        <v>1799</v>
      </c>
      <c r="I179" t="s">
        <v>1799</v>
      </c>
      <c r="J179">
        <v>0</v>
      </c>
      <c r="K179" t="s">
        <v>1799</v>
      </c>
      <c r="L179" t="s">
        <v>1799</v>
      </c>
      <c r="M179" t="s">
        <v>1799</v>
      </c>
      <c r="N179" t="s">
        <v>1799</v>
      </c>
      <c r="O179" s="184" t="str">
        <f>"["&amp;$C179&amp;"]["&amp;$D179&amp;"]["&amp;$F179&amp;"]"</f>
        <v>[S05_BiomassInstallations][3][EmissionsBiomassSustainabilityNotSatisfied]</v>
      </c>
    </row>
    <row r="180" spans="1:15" x14ac:dyDescent="0.3">
      <c r="A180" t="s">
        <v>1793</v>
      </c>
      <c r="B180" t="s">
        <v>1942</v>
      </c>
      <c r="C180" t="s">
        <v>1944</v>
      </c>
      <c r="D180">
        <v>1</v>
      </c>
      <c r="E180" t="s">
        <v>1447</v>
      </c>
      <c r="F180" t="s">
        <v>1950</v>
      </c>
      <c r="G180" t="s">
        <v>1878</v>
      </c>
      <c r="H180" t="s">
        <v>1799</v>
      </c>
      <c r="I180" t="s">
        <v>1799</v>
      </c>
      <c r="J180">
        <v>0</v>
      </c>
      <c r="K180" t="s">
        <v>1799</v>
      </c>
      <c r="L180" t="s">
        <v>1799</v>
      </c>
      <c r="M180" t="s">
        <v>1799</v>
      </c>
      <c r="N180" t="s">
        <v>1799</v>
      </c>
      <c r="O180" s="184" t="str">
        <f>"["&amp;$C180&amp;"]["&amp;$D180&amp;"]["&amp;$F180&amp;"]"</f>
        <v>[S05_BiomassInstallations][1][EmissionsFossil]</v>
      </c>
    </row>
    <row r="181" spans="1:15" x14ac:dyDescent="0.3">
      <c r="A181" t="s">
        <v>1793</v>
      </c>
      <c r="B181" t="s">
        <v>1942</v>
      </c>
      <c r="C181" t="s">
        <v>1944</v>
      </c>
      <c r="D181">
        <v>2</v>
      </c>
      <c r="E181" t="s">
        <v>1447</v>
      </c>
      <c r="F181" t="s">
        <v>1950</v>
      </c>
      <c r="G181" t="s">
        <v>1878</v>
      </c>
      <c r="H181" t="s">
        <v>1799</v>
      </c>
      <c r="I181" t="s">
        <v>1799</v>
      </c>
      <c r="J181">
        <v>0</v>
      </c>
      <c r="K181" t="s">
        <v>1799</v>
      </c>
      <c r="L181" t="s">
        <v>1799</v>
      </c>
      <c r="M181" t="s">
        <v>1799</v>
      </c>
      <c r="N181" t="s">
        <v>1799</v>
      </c>
      <c r="O181" s="184" t="str">
        <f>"["&amp;$C181&amp;"]["&amp;$D181&amp;"]["&amp;$F181&amp;"]"</f>
        <v>[S05_BiomassInstallations][2][EmissionsFossil]</v>
      </c>
    </row>
    <row r="182" spans="1:15" x14ac:dyDescent="0.3">
      <c r="A182" t="s">
        <v>1793</v>
      </c>
      <c r="B182" t="s">
        <v>1942</v>
      </c>
      <c r="C182" t="s">
        <v>1944</v>
      </c>
      <c r="D182">
        <v>3</v>
      </c>
      <c r="E182" t="s">
        <v>1447</v>
      </c>
      <c r="F182" t="s">
        <v>1950</v>
      </c>
      <c r="G182" t="s">
        <v>1878</v>
      </c>
      <c r="H182" t="s">
        <v>1799</v>
      </c>
      <c r="I182" t="s">
        <v>1799</v>
      </c>
      <c r="J182">
        <v>0</v>
      </c>
      <c r="K182" t="s">
        <v>1799</v>
      </c>
      <c r="L182" t="s">
        <v>1799</v>
      </c>
      <c r="M182" t="s">
        <v>1799</v>
      </c>
      <c r="N182" t="s">
        <v>1799</v>
      </c>
      <c r="O182" s="184" t="str">
        <f>"["&amp;$C182&amp;"]["&amp;$D182&amp;"]["&amp;$F182&amp;"]"</f>
        <v>[S05_BiomassInstallations][3][EmissionsFossil]</v>
      </c>
    </row>
    <row r="183" spans="1:15" x14ac:dyDescent="0.3">
      <c r="A183" t="s">
        <v>1793</v>
      </c>
      <c r="B183" t="s">
        <v>1942</v>
      </c>
      <c r="C183" t="s">
        <v>1944</v>
      </c>
      <c r="D183">
        <v>1</v>
      </c>
      <c r="E183" t="s">
        <v>1447</v>
      </c>
      <c r="F183" t="s">
        <v>1951</v>
      </c>
      <c r="G183" t="s">
        <v>1878</v>
      </c>
      <c r="H183" t="s">
        <v>1799</v>
      </c>
      <c r="I183" t="s">
        <v>1799</v>
      </c>
      <c r="J183">
        <v>0</v>
      </c>
      <c r="K183" t="s">
        <v>1799</v>
      </c>
      <c r="L183" t="s">
        <v>1799</v>
      </c>
      <c r="M183" t="s">
        <v>1799</v>
      </c>
      <c r="N183" t="s">
        <v>1799</v>
      </c>
      <c r="O183" s="184" t="str">
        <f>"["&amp;$C183&amp;"]["&amp;$D183&amp;"]["&amp;$F183&amp;"]"</f>
        <v>[S05_BiomassInstallations][1][EnergyZeroRatedBiomass]</v>
      </c>
    </row>
    <row r="184" spans="1:15" x14ac:dyDescent="0.3">
      <c r="A184" t="s">
        <v>1793</v>
      </c>
      <c r="B184" t="s">
        <v>1942</v>
      </c>
      <c r="C184" t="s">
        <v>1944</v>
      </c>
      <c r="D184">
        <v>2</v>
      </c>
      <c r="E184" t="s">
        <v>1447</v>
      </c>
      <c r="F184" t="s">
        <v>1951</v>
      </c>
      <c r="G184" t="s">
        <v>1878</v>
      </c>
      <c r="H184" t="s">
        <v>1799</v>
      </c>
      <c r="I184" t="s">
        <v>1799</v>
      </c>
      <c r="J184">
        <v>0</v>
      </c>
      <c r="K184" t="s">
        <v>1799</v>
      </c>
      <c r="L184" t="s">
        <v>1799</v>
      </c>
      <c r="M184" t="s">
        <v>1799</v>
      </c>
      <c r="N184" t="s">
        <v>1799</v>
      </c>
      <c r="O184" s="184" t="str">
        <f>"["&amp;$C184&amp;"]["&amp;$D184&amp;"]["&amp;$F184&amp;"]"</f>
        <v>[S05_BiomassInstallations][2][EnergyZeroRatedBiomass]</v>
      </c>
    </row>
    <row r="185" spans="1:15" x14ac:dyDescent="0.3">
      <c r="A185" t="s">
        <v>1793</v>
      </c>
      <c r="B185" t="s">
        <v>1942</v>
      </c>
      <c r="C185" t="s">
        <v>1944</v>
      </c>
      <c r="D185">
        <v>3</v>
      </c>
      <c r="E185" t="s">
        <v>1447</v>
      </c>
      <c r="F185" t="s">
        <v>1951</v>
      </c>
      <c r="G185" t="s">
        <v>1878</v>
      </c>
      <c r="H185" t="s">
        <v>1799</v>
      </c>
      <c r="I185" t="s">
        <v>1799</v>
      </c>
      <c r="J185">
        <v>0</v>
      </c>
      <c r="K185" t="s">
        <v>1799</v>
      </c>
      <c r="L185" t="s">
        <v>1799</v>
      </c>
      <c r="M185" t="s">
        <v>1799</v>
      </c>
      <c r="N185" t="s">
        <v>1799</v>
      </c>
      <c r="O185" s="184" t="str">
        <f>"["&amp;$C185&amp;"]["&amp;$D185&amp;"]["&amp;$F185&amp;"]"</f>
        <v>[S05_BiomassInstallations][3][EnergyZeroRatedBiomass]</v>
      </c>
    </row>
    <row r="186" spans="1:15" x14ac:dyDescent="0.3">
      <c r="A186" t="s">
        <v>1793</v>
      </c>
      <c r="B186" t="s">
        <v>1942</v>
      </c>
      <c r="C186" t="s">
        <v>1944</v>
      </c>
      <c r="D186">
        <v>1</v>
      </c>
      <c r="E186" t="s">
        <v>1447</v>
      </c>
      <c r="F186" t="s">
        <v>1952</v>
      </c>
      <c r="G186" t="s">
        <v>1878</v>
      </c>
      <c r="H186" t="s">
        <v>1799</v>
      </c>
      <c r="I186" t="s">
        <v>1799</v>
      </c>
      <c r="J186">
        <v>0</v>
      </c>
      <c r="K186" t="s">
        <v>1799</v>
      </c>
      <c r="L186" t="s">
        <v>1799</v>
      </c>
      <c r="M186" t="s">
        <v>1799</v>
      </c>
      <c r="N186" t="s">
        <v>1799</v>
      </c>
      <c r="O186" s="184" t="str">
        <f>"["&amp;$C186&amp;"]["&amp;$D186&amp;"]["&amp;$F186&amp;"]"</f>
        <v>[S05_BiomassInstallations][1][EnergyNonZeroRatedBiomass]</v>
      </c>
    </row>
    <row r="187" spans="1:15" x14ac:dyDescent="0.3">
      <c r="A187" t="s">
        <v>1793</v>
      </c>
      <c r="B187" t="s">
        <v>1942</v>
      </c>
      <c r="C187" t="s">
        <v>1944</v>
      </c>
      <c r="D187">
        <v>2</v>
      </c>
      <c r="E187" t="s">
        <v>1447</v>
      </c>
      <c r="F187" t="s">
        <v>1952</v>
      </c>
      <c r="G187" t="s">
        <v>1878</v>
      </c>
      <c r="H187" t="s">
        <v>1799</v>
      </c>
      <c r="I187" t="s">
        <v>1799</v>
      </c>
      <c r="J187">
        <v>0</v>
      </c>
      <c r="K187" t="s">
        <v>1799</v>
      </c>
      <c r="L187" t="s">
        <v>1799</v>
      </c>
      <c r="M187" t="s">
        <v>1799</v>
      </c>
      <c r="N187" t="s">
        <v>1799</v>
      </c>
      <c r="O187" s="184" t="str">
        <f>"["&amp;$C187&amp;"]["&amp;$D187&amp;"]["&amp;$F187&amp;"]"</f>
        <v>[S05_BiomassInstallations][2][EnergyNonZeroRatedBiomass]</v>
      </c>
    </row>
    <row r="188" spans="1:15" x14ac:dyDescent="0.3">
      <c r="A188" t="s">
        <v>1793</v>
      </c>
      <c r="B188" t="s">
        <v>1942</v>
      </c>
      <c r="C188" t="s">
        <v>1944</v>
      </c>
      <c r="D188">
        <v>3</v>
      </c>
      <c r="E188" t="s">
        <v>1447</v>
      </c>
      <c r="F188" t="s">
        <v>1952</v>
      </c>
      <c r="G188" t="s">
        <v>1878</v>
      </c>
      <c r="H188" t="s">
        <v>1799</v>
      </c>
      <c r="I188" t="s">
        <v>1799</v>
      </c>
      <c r="J188">
        <v>0</v>
      </c>
      <c r="K188" t="s">
        <v>1799</v>
      </c>
      <c r="L188" t="s">
        <v>1799</v>
      </c>
      <c r="M188" t="s">
        <v>1799</v>
      </c>
      <c r="N188" t="s">
        <v>1799</v>
      </c>
      <c r="O188" s="184" t="str">
        <f>"["&amp;$C188&amp;"]["&amp;$D188&amp;"]["&amp;$F188&amp;"]"</f>
        <v>[S05_BiomassInstallations][3][EnergyNonZeroRatedBiomass]</v>
      </c>
    </row>
    <row r="189" spans="1:15" x14ac:dyDescent="0.3">
      <c r="A189" t="s">
        <v>1793</v>
      </c>
      <c r="B189" t="s">
        <v>1942</v>
      </c>
      <c r="C189" t="s">
        <v>1944</v>
      </c>
      <c r="D189">
        <v>1</v>
      </c>
      <c r="E189" t="s">
        <v>1447</v>
      </c>
      <c r="F189" t="s">
        <v>1953</v>
      </c>
      <c r="G189" t="s">
        <v>1878</v>
      </c>
      <c r="H189" t="s">
        <v>1799</v>
      </c>
      <c r="I189" t="s">
        <v>1799</v>
      </c>
      <c r="J189">
        <v>0</v>
      </c>
      <c r="K189" t="s">
        <v>1799</v>
      </c>
      <c r="L189" t="s">
        <v>1799</v>
      </c>
      <c r="M189" t="s">
        <v>1799</v>
      </c>
      <c r="N189" t="s">
        <v>1799</v>
      </c>
      <c r="O189" s="184" t="str">
        <f>"["&amp;$C189&amp;"]["&amp;$D189&amp;"]["&amp;$F189&amp;"]"</f>
        <v>[S05_BiomassInstallations][1][EnergyFossil]</v>
      </c>
    </row>
    <row r="190" spans="1:15" x14ac:dyDescent="0.3">
      <c r="A190" t="s">
        <v>1793</v>
      </c>
      <c r="B190" t="s">
        <v>1942</v>
      </c>
      <c r="C190" t="s">
        <v>1944</v>
      </c>
      <c r="D190">
        <v>2</v>
      </c>
      <c r="E190" t="s">
        <v>1447</v>
      </c>
      <c r="F190" t="s">
        <v>1953</v>
      </c>
      <c r="G190" t="s">
        <v>1878</v>
      </c>
      <c r="H190" t="s">
        <v>1799</v>
      </c>
      <c r="I190" t="s">
        <v>1799</v>
      </c>
      <c r="J190">
        <v>0</v>
      </c>
      <c r="K190" t="s">
        <v>1799</v>
      </c>
      <c r="L190" t="s">
        <v>1799</v>
      </c>
      <c r="M190" t="s">
        <v>1799</v>
      </c>
      <c r="N190" t="s">
        <v>1799</v>
      </c>
      <c r="O190" s="184" t="str">
        <f>"["&amp;$C190&amp;"]["&amp;$D190&amp;"]["&amp;$F190&amp;"]"</f>
        <v>[S05_BiomassInstallations][2][EnergyFossil]</v>
      </c>
    </row>
    <row r="191" spans="1:15" x14ac:dyDescent="0.3">
      <c r="A191" t="s">
        <v>1793</v>
      </c>
      <c r="B191" t="s">
        <v>1942</v>
      </c>
      <c r="C191" t="s">
        <v>1944</v>
      </c>
      <c r="D191">
        <v>3</v>
      </c>
      <c r="E191" t="s">
        <v>1447</v>
      </c>
      <c r="F191" t="s">
        <v>1953</v>
      </c>
      <c r="G191" t="s">
        <v>1878</v>
      </c>
      <c r="H191" t="s">
        <v>1799</v>
      </c>
      <c r="I191" t="s">
        <v>1799</v>
      </c>
      <c r="J191">
        <v>0</v>
      </c>
      <c r="K191" t="s">
        <v>1799</v>
      </c>
      <c r="L191" t="s">
        <v>1799</v>
      </c>
      <c r="M191" t="s">
        <v>1799</v>
      </c>
      <c r="N191" t="s">
        <v>1799</v>
      </c>
      <c r="O191" s="184" t="str">
        <f>"["&amp;$C191&amp;"]["&amp;$D191&amp;"]["&amp;$F191&amp;"]"</f>
        <v>[S05_BiomassInstallations][3][EnergyFossil]</v>
      </c>
    </row>
    <row r="192" spans="1:15" x14ac:dyDescent="0.3">
      <c r="A192" t="s">
        <v>1793</v>
      </c>
      <c r="B192" t="s">
        <v>1954</v>
      </c>
      <c r="C192" t="s">
        <v>1955</v>
      </c>
      <c r="D192">
        <v>0</v>
      </c>
      <c r="E192" t="s">
        <v>1447</v>
      </c>
      <c r="F192" t="s">
        <v>1955</v>
      </c>
      <c r="G192" t="s">
        <v>1878</v>
      </c>
      <c r="H192" t="s">
        <v>1799</v>
      </c>
      <c r="I192" t="s">
        <v>1799</v>
      </c>
      <c r="J192">
        <v>0</v>
      </c>
      <c r="K192" t="s">
        <v>1799</v>
      </c>
      <c r="L192" t="s">
        <v>1799</v>
      </c>
      <c r="M192" t="s">
        <v>1799</v>
      </c>
      <c r="N192" t="s">
        <v>1799</v>
      </c>
      <c r="O192" s="184" t="str">
        <f>"["&amp;$C192&amp;"]["&amp;$D192&amp;"]["&amp;$F192&amp;"]"</f>
        <v>[WasteFuelFossilCO2][0][WasteFuelFossilCO2]</v>
      </c>
    </row>
    <row r="193" spans="1:15" x14ac:dyDescent="0.3">
      <c r="A193" t="s">
        <v>1793</v>
      </c>
      <c r="B193" t="s">
        <v>1956</v>
      </c>
      <c r="C193" t="s">
        <v>1957</v>
      </c>
      <c r="D193">
        <v>0</v>
      </c>
      <c r="E193" t="s">
        <v>1447</v>
      </c>
      <c r="F193" t="s">
        <v>1957</v>
      </c>
      <c r="G193" t="s">
        <v>1829</v>
      </c>
      <c r="H193" t="s">
        <v>1799</v>
      </c>
      <c r="I193" t="s">
        <v>1799</v>
      </c>
      <c r="J193" t="s">
        <v>1799</v>
      </c>
      <c r="K193" t="s">
        <v>1799</v>
      </c>
      <c r="L193" t="s">
        <v>1447</v>
      </c>
      <c r="M193" t="s">
        <v>1799</v>
      </c>
      <c r="N193" t="s">
        <v>1799</v>
      </c>
      <c r="O193" s="184" t="str">
        <f>"["&amp;$C193&amp;"]["&amp;$D193&amp;"]["&amp;$F193&amp;"]"</f>
        <v>[SimplifiedMonitoringArt13][0][SimplifiedMonitoringArt13]</v>
      </c>
    </row>
    <row r="194" spans="1:15" x14ac:dyDescent="0.3">
      <c r="A194" t="s">
        <v>1793</v>
      </c>
      <c r="B194" t="s">
        <v>1958</v>
      </c>
      <c r="C194" t="s">
        <v>1959</v>
      </c>
      <c r="D194">
        <v>1</v>
      </c>
      <c r="E194" t="s">
        <v>1447</v>
      </c>
      <c r="F194" t="s">
        <v>1960</v>
      </c>
      <c r="G194" t="s">
        <v>1811</v>
      </c>
      <c r="H194" t="s">
        <v>1799</v>
      </c>
      <c r="I194">
        <v>3</v>
      </c>
      <c r="J194" t="s">
        <v>1799</v>
      </c>
      <c r="K194" t="s">
        <v>1799</v>
      </c>
      <c r="L194" t="s">
        <v>1799</v>
      </c>
      <c r="M194" t="s">
        <v>1799</v>
      </c>
      <c r="N194" t="s">
        <v>1799</v>
      </c>
      <c r="O194" s="184" t="str">
        <f>"["&amp;$C194&amp;"]["&amp;$D194&amp;"]["&amp;$F194&amp;"]"</f>
        <v>[S05_AircraftMethodFuelConsumption][1][CountAircraftOperators]</v>
      </c>
    </row>
    <row r="195" spans="1:15" x14ac:dyDescent="0.3">
      <c r="A195" t="s">
        <v>1793</v>
      </c>
      <c r="B195" t="s">
        <v>1958</v>
      </c>
      <c r="C195" t="s">
        <v>1959</v>
      </c>
      <c r="D195">
        <v>2</v>
      </c>
      <c r="E195" t="s">
        <v>1447</v>
      </c>
      <c r="F195" t="s">
        <v>1960</v>
      </c>
      <c r="G195" t="s">
        <v>1811</v>
      </c>
      <c r="H195" t="s">
        <v>1799</v>
      </c>
      <c r="I195">
        <v>4</v>
      </c>
      <c r="J195" t="s">
        <v>1799</v>
      </c>
      <c r="K195" t="s">
        <v>1799</v>
      </c>
      <c r="L195" t="s">
        <v>1799</v>
      </c>
      <c r="M195" t="s">
        <v>1799</v>
      </c>
      <c r="N195" t="s">
        <v>1799</v>
      </c>
      <c r="O195" s="184" t="str">
        <f>"["&amp;$C195&amp;"]["&amp;$D195&amp;"]["&amp;$F195&amp;"]"</f>
        <v>[S05_AircraftMethodFuelConsumption][2][CountAircraftOperators]</v>
      </c>
    </row>
    <row r="196" spans="1:15" x14ac:dyDescent="0.3">
      <c r="A196" t="s">
        <v>1793</v>
      </c>
      <c r="B196" t="s">
        <v>1958</v>
      </c>
      <c r="C196" t="s">
        <v>1959</v>
      </c>
      <c r="D196">
        <v>3</v>
      </c>
      <c r="E196" t="s">
        <v>1447</v>
      </c>
      <c r="F196" t="s">
        <v>1960</v>
      </c>
      <c r="G196" t="s">
        <v>1811</v>
      </c>
      <c r="H196" t="s">
        <v>1799</v>
      </c>
      <c r="I196">
        <v>0</v>
      </c>
      <c r="J196" t="s">
        <v>1799</v>
      </c>
      <c r="K196" t="s">
        <v>1799</v>
      </c>
      <c r="L196" t="s">
        <v>1799</v>
      </c>
      <c r="M196" t="s">
        <v>1799</v>
      </c>
      <c r="N196" t="s">
        <v>1799</v>
      </c>
      <c r="O196" s="184" t="str">
        <f>"["&amp;$C196&amp;"]["&amp;$D196&amp;"]["&amp;$F196&amp;"]"</f>
        <v>[S05_AircraftMethodFuelConsumption][3][CountAircraftOperators]</v>
      </c>
    </row>
    <row r="197" spans="1:15" x14ac:dyDescent="0.3">
      <c r="A197" t="s">
        <v>1793</v>
      </c>
      <c r="B197" t="s">
        <v>1958</v>
      </c>
      <c r="C197" t="s">
        <v>1959</v>
      </c>
      <c r="D197">
        <v>1</v>
      </c>
      <c r="E197" t="s">
        <v>1447</v>
      </c>
      <c r="F197" t="s">
        <v>1961</v>
      </c>
      <c r="G197" t="s">
        <v>1878</v>
      </c>
      <c r="H197" t="s">
        <v>1799</v>
      </c>
      <c r="I197" t="s">
        <v>1799</v>
      </c>
      <c r="J197">
        <v>0</v>
      </c>
      <c r="K197" t="s">
        <v>1799</v>
      </c>
      <c r="L197" t="s">
        <v>1799</v>
      </c>
      <c r="M197" t="s">
        <v>1799</v>
      </c>
      <c r="N197" t="s">
        <v>1799</v>
      </c>
      <c r="O197" s="184" t="str">
        <f>"["&amp;$C197&amp;"]["&amp;$D197&amp;"]["&amp;$F197&amp;"]"</f>
        <v>[S05_AircraftMethodFuelConsumption][1][SmallEmittersShare]</v>
      </c>
    </row>
    <row r="198" spans="1:15" x14ac:dyDescent="0.3">
      <c r="A198" t="s">
        <v>1793</v>
      </c>
      <c r="B198" t="s">
        <v>1958</v>
      </c>
      <c r="C198" t="s">
        <v>1959</v>
      </c>
      <c r="D198">
        <v>2</v>
      </c>
      <c r="E198" t="s">
        <v>1447</v>
      </c>
      <c r="F198" t="s">
        <v>1961</v>
      </c>
      <c r="G198" t="s">
        <v>1878</v>
      </c>
      <c r="H198" t="s">
        <v>1799</v>
      </c>
      <c r="I198" t="s">
        <v>1799</v>
      </c>
      <c r="J198">
        <v>0</v>
      </c>
      <c r="K198" t="s">
        <v>1799</v>
      </c>
      <c r="L198" t="s">
        <v>1799</v>
      </c>
      <c r="M198" t="s">
        <v>1799</v>
      </c>
      <c r="N198" t="s">
        <v>1799</v>
      </c>
      <c r="O198" s="184" t="str">
        <f>"["&amp;$C198&amp;"]["&amp;$D198&amp;"]["&amp;$F198&amp;"]"</f>
        <v>[S05_AircraftMethodFuelConsumption][2][SmallEmittersShare]</v>
      </c>
    </row>
    <row r="199" spans="1:15" x14ac:dyDescent="0.3">
      <c r="A199" t="s">
        <v>1793</v>
      </c>
      <c r="B199" t="s">
        <v>1958</v>
      </c>
      <c r="C199" t="s">
        <v>1959</v>
      </c>
      <c r="D199">
        <v>3</v>
      </c>
      <c r="E199" t="s">
        <v>1447</v>
      </c>
      <c r="F199" t="s">
        <v>1961</v>
      </c>
      <c r="G199" t="s">
        <v>1878</v>
      </c>
      <c r="H199" t="s">
        <v>1799</v>
      </c>
      <c r="I199" t="s">
        <v>1799</v>
      </c>
      <c r="J199">
        <v>0</v>
      </c>
      <c r="K199" t="s">
        <v>1799</v>
      </c>
      <c r="L199" t="s">
        <v>1799</v>
      </c>
      <c r="M199" t="s">
        <v>1799</v>
      </c>
      <c r="N199" t="s">
        <v>1799</v>
      </c>
      <c r="O199" s="184" t="str">
        <f>"["&amp;$C199&amp;"]["&amp;$D199&amp;"]["&amp;$F199&amp;"]"</f>
        <v>[S05_AircraftMethodFuelConsumption][3][SmallEmittersShare]</v>
      </c>
    </row>
    <row r="200" spans="1:15" x14ac:dyDescent="0.3">
      <c r="A200" t="s">
        <v>1793</v>
      </c>
      <c r="B200" t="s">
        <v>1962</v>
      </c>
      <c r="C200" t="s">
        <v>1963</v>
      </c>
      <c r="D200">
        <v>1</v>
      </c>
      <c r="E200" t="s">
        <v>1447</v>
      </c>
      <c r="F200" t="s">
        <v>1964</v>
      </c>
      <c r="G200" t="s">
        <v>1878</v>
      </c>
      <c r="H200" t="s">
        <v>1799</v>
      </c>
      <c r="I200" t="s">
        <v>1799</v>
      </c>
      <c r="J200">
        <v>253120</v>
      </c>
      <c r="K200" t="s">
        <v>1799</v>
      </c>
      <c r="L200" t="s">
        <v>1799</v>
      </c>
      <c r="M200" t="s">
        <v>1799</v>
      </c>
      <c r="N200" t="s">
        <v>1799</v>
      </c>
      <c r="O200" s="184" t="str">
        <f>"["&amp;$C200&amp;"]["&amp;$D200&amp;"]["&amp;$F200&amp;"]"</f>
        <v>[S05_TotalFlightEmissions][1][TotalFlightEmissions]</v>
      </c>
    </row>
    <row r="201" spans="1:15" x14ac:dyDescent="0.3">
      <c r="A201" t="s">
        <v>1793</v>
      </c>
      <c r="B201" t="s">
        <v>1962</v>
      </c>
      <c r="C201" t="s">
        <v>1963</v>
      </c>
      <c r="D201">
        <v>2</v>
      </c>
      <c r="E201" t="s">
        <v>1447</v>
      </c>
      <c r="F201" t="s">
        <v>1964</v>
      </c>
      <c r="G201" t="s">
        <v>1878</v>
      </c>
      <c r="H201" t="s">
        <v>1799</v>
      </c>
      <c r="I201" t="s">
        <v>1799</v>
      </c>
      <c r="J201">
        <v>8374</v>
      </c>
      <c r="K201" t="s">
        <v>1799</v>
      </c>
      <c r="L201" t="s">
        <v>1799</v>
      </c>
      <c r="M201" t="s">
        <v>1799</v>
      </c>
      <c r="N201" t="s">
        <v>1799</v>
      </c>
      <c r="O201" s="184" t="str">
        <f>"["&amp;$C201&amp;"]["&amp;$D201&amp;"]["&amp;$F201&amp;"]"</f>
        <v>[S05_TotalFlightEmissions][2][TotalFlightEmissions]</v>
      </c>
    </row>
    <row r="202" spans="1:15" x14ac:dyDescent="0.3">
      <c r="A202" t="s">
        <v>1793</v>
      </c>
      <c r="B202" t="s">
        <v>1962</v>
      </c>
      <c r="C202" t="s">
        <v>1963</v>
      </c>
      <c r="D202">
        <v>3</v>
      </c>
      <c r="E202" t="s">
        <v>1447</v>
      </c>
      <c r="F202" t="s">
        <v>1964</v>
      </c>
      <c r="G202" t="s">
        <v>1878</v>
      </c>
      <c r="H202" t="s">
        <v>1799</v>
      </c>
      <c r="I202" t="s">
        <v>1799</v>
      </c>
      <c r="J202">
        <v>268548</v>
      </c>
      <c r="K202" t="s">
        <v>1799</v>
      </c>
      <c r="L202" t="s">
        <v>1799</v>
      </c>
      <c r="M202" t="s">
        <v>1799</v>
      </c>
      <c r="N202" t="s">
        <v>1799</v>
      </c>
      <c r="O202" s="184" t="str">
        <f>"["&amp;$C202&amp;"]["&amp;$D202&amp;"]["&amp;$F202&amp;"]"</f>
        <v>[S05_TotalFlightEmissions][3][TotalFlightEmissions]</v>
      </c>
    </row>
    <row r="203" spans="1:15" x14ac:dyDescent="0.3">
      <c r="A203" t="s">
        <v>1793</v>
      </c>
      <c r="B203" t="s">
        <v>1962</v>
      </c>
      <c r="C203" t="s">
        <v>1963</v>
      </c>
      <c r="D203">
        <v>4</v>
      </c>
      <c r="E203" t="s">
        <v>1447</v>
      </c>
      <c r="F203" t="s">
        <v>1964</v>
      </c>
      <c r="G203" t="s">
        <v>1878</v>
      </c>
      <c r="H203" t="s">
        <v>1799</v>
      </c>
      <c r="I203" t="s">
        <v>1799</v>
      </c>
      <c r="J203">
        <v>161858</v>
      </c>
      <c r="K203" t="s">
        <v>1799</v>
      </c>
      <c r="L203" t="s">
        <v>1799</v>
      </c>
      <c r="M203" t="s">
        <v>1799</v>
      </c>
      <c r="N203" t="s">
        <v>1799</v>
      </c>
      <c r="O203" s="184" t="str">
        <f>"["&amp;$C203&amp;"]["&amp;$D203&amp;"]["&amp;$F203&amp;"]"</f>
        <v>[S05_TotalFlightEmissions][4][TotalFlightEmissions]</v>
      </c>
    </row>
    <row r="204" spans="1:15" x14ac:dyDescent="0.3">
      <c r="A204" t="s">
        <v>1793</v>
      </c>
      <c r="B204" t="s">
        <v>1962</v>
      </c>
      <c r="C204" t="s">
        <v>1963</v>
      </c>
      <c r="D204">
        <v>5</v>
      </c>
      <c r="E204" t="s">
        <v>1447</v>
      </c>
      <c r="F204" t="s">
        <v>1964</v>
      </c>
      <c r="G204" t="s">
        <v>1878</v>
      </c>
      <c r="H204" t="s">
        <v>1799</v>
      </c>
      <c r="I204" t="s">
        <v>1799</v>
      </c>
      <c r="J204">
        <v>7255</v>
      </c>
      <c r="K204" t="s">
        <v>1799</v>
      </c>
      <c r="L204" t="s">
        <v>1799</v>
      </c>
      <c r="M204" t="s">
        <v>1799</v>
      </c>
      <c r="N204" t="s">
        <v>1799</v>
      </c>
      <c r="O204" s="184" t="str">
        <f>"["&amp;$C204&amp;"]["&amp;$D204&amp;"]["&amp;$F204&amp;"]"</f>
        <v>[S05_TotalFlightEmissions][5][TotalFlightEmissions]</v>
      </c>
    </row>
    <row r="205" spans="1:15" x14ac:dyDescent="0.3">
      <c r="A205" t="s">
        <v>1793</v>
      </c>
      <c r="B205" t="s">
        <v>1962</v>
      </c>
      <c r="C205" t="s">
        <v>1965</v>
      </c>
      <c r="D205">
        <v>0</v>
      </c>
      <c r="E205" t="s">
        <v>1447</v>
      </c>
      <c r="F205" t="s">
        <v>1965</v>
      </c>
      <c r="G205" t="s">
        <v>1811</v>
      </c>
      <c r="H205" t="s">
        <v>1799</v>
      </c>
      <c r="I205">
        <v>13</v>
      </c>
      <c r="J205" t="s">
        <v>1799</v>
      </c>
      <c r="K205" t="s">
        <v>1799</v>
      </c>
      <c r="L205" t="s">
        <v>1799</v>
      </c>
      <c r="M205" t="s">
        <v>1799</v>
      </c>
      <c r="N205" t="s">
        <v>1799</v>
      </c>
      <c r="O205" s="184" t="str">
        <f>"["&amp;$C205&amp;"]["&amp;$D205&amp;"]["&amp;$F205&amp;"]"</f>
        <v>[CountOperatorsThirdCountries][0][CountOperatorsThirdCountries]</v>
      </c>
    </row>
    <row r="206" spans="1:15" x14ac:dyDescent="0.3">
      <c r="A206" t="s">
        <v>1793</v>
      </c>
      <c r="B206" t="s">
        <v>1966</v>
      </c>
      <c r="C206" t="s">
        <v>1967</v>
      </c>
      <c r="D206">
        <v>0</v>
      </c>
      <c r="E206" t="s">
        <v>1447</v>
      </c>
      <c r="F206" t="s">
        <v>1967</v>
      </c>
      <c r="G206" t="s">
        <v>1811</v>
      </c>
      <c r="H206" t="s">
        <v>1799</v>
      </c>
      <c r="I206">
        <v>0</v>
      </c>
      <c r="J206" t="s">
        <v>1799</v>
      </c>
      <c r="K206" t="s">
        <v>1799</v>
      </c>
      <c r="L206" t="s">
        <v>1799</v>
      </c>
      <c r="M206" t="s">
        <v>1799</v>
      </c>
      <c r="N206" t="s">
        <v>1799</v>
      </c>
      <c r="O206" s="184" t="str">
        <f>"["&amp;$C206&amp;"]["&amp;$D206&amp;"]["&amp;$F206&amp;"]"</f>
        <v>[CountOperatorsUsingBiofuels][0][CountOperatorsUsingBiofuels]</v>
      </c>
    </row>
    <row r="207" spans="1:15" x14ac:dyDescent="0.3">
      <c r="A207" t="s">
        <v>1793</v>
      </c>
      <c r="B207" t="s">
        <v>1966</v>
      </c>
      <c r="C207" t="s">
        <v>1968</v>
      </c>
      <c r="D207">
        <v>0</v>
      </c>
      <c r="E207" t="s">
        <v>1447</v>
      </c>
      <c r="F207" t="s">
        <v>1968</v>
      </c>
      <c r="G207" t="s">
        <v>1878</v>
      </c>
      <c r="H207" t="s">
        <v>1799</v>
      </c>
      <c r="I207" t="s">
        <v>1799</v>
      </c>
      <c r="J207">
        <v>0</v>
      </c>
      <c r="K207" t="s">
        <v>1799</v>
      </c>
      <c r="L207" t="s">
        <v>1799</v>
      </c>
      <c r="M207" t="s">
        <v>1799</v>
      </c>
      <c r="N207" t="s">
        <v>1799</v>
      </c>
      <c r="O207" s="184" t="str">
        <f>"["&amp;$C207&amp;"]["&amp;$D207&amp;"]["&amp;$F207&amp;"]"</f>
        <v>[EmissionsBiofuelsSustainabilitySatisfied][0][EmissionsBiofuelsSustainabilitySatisfied]</v>
      </c>
    </row>
    <row r="208" spans="1:15" x14ac:dyDescent="0.3">
      <c r="A208" t="s">
        <v>1793</v>
      </c>
      <c r="B208" t="s">
        <v>1966</v>
      </c>
      <c r="C208" t="s">
        <v>1969</v>
      </c>
      <c r="D208">
        <v>0</v>
      </c>
      <c r="E208" t="s">
        <v>1447</v>
      </c>
      <c r="F208" t="s">
        <v>1969</v>
      </c>
      <c r="G208" t="s">
        <v>1878</v>
      </c>
      <c r="H208" t="s">
        <v>1799</v>
      </c>
      <c r="I208" t="s">
        <v>1799</v>
      </c>
      <c r="J208">
        <v>0</v>
      </c>
      <c r="K208" t="s">
        <v>1799</v>
      </c>
      <c r="L208" t="s">
        <v>1799</v>
      </c>
      <c r="M208" t="s">
        <v>1799</v>
      </c>
      <c r="N208" t="s">
        <v>1799</v>
      </c>
      <c r="O208" s="184" t="str">
        <f>"["&amp;$C208&amp;"]["&amp;$D208&amp;"]["&amp;$F208&amp;"]"</f>
        <v>[EmissionsBiofuelsSustainabilityNotSatisfied][0][EmissionsBiofuelsSustainabilityNotSatisfied]</v>
      </c>
    </row>
    <row r="209" spans="1:15" x14ac:dyDescent="0.3">
      <c r="A209" t="s">
        <v>1793</v>
      </c>
      <c r="B209" t="s">
        <v>1970</v>
      </c>
      <c r="C209" t="s">
        <v>1971</v>
      </c>
      <c r="D209">
        <v>1</v>
      </c>
      <c r="E209" t="s">
        <v>1447</v>
      </c>
      <c r="F209" t="s">
        <v>1972</v>
      </c>
      <c r="G209" t="s">
        <v>1811</v>
      </c>
      <c r="H209" t="s">
        <v>1799</v>
      </c>
      <c r="I209">
        <v>0</v>
      </c>
      <c r="J209" t="s">
        <v>1799</v>
      </c>
      <c r="K209" t="s">
        <v>1799</v>
      </c>
      <c r="L209" t="s">
        <v>1799</v>
      </c>
      <c r="M209" t="s">
        <v>1799</v>
      </c>
      <c r="N209" t="s">
        <v>1799</v>
      </c>
      <c r="O209" s="184" t="str">
        <f>"["&amp;$C209&amp;"]["&amp;$D209&amp;"]["&amp;$F209&amp;"]"</f>
        <v>[S05_SmallEmittersTool][1][CountSmallEmitters]</v>
      </c>
    </row>
    <row r="210" spans="1:15" x14ac:dyDescent="0.3">
      <c r="A210" t="s">
        <v>1793</v>
      </c>
      <c r="B210" t="s">
        <v>1970</v>
      </c>
      <c r="C210" t="s">
        <v>1971</v>
      </c>
      <c r="D210">
        <v>2</v>
      </c>
      <c r="E210" t="s">
        <v>1447</v>
      </c>
      <c r="F210" t="s">
        <v>1972</v>
      </c>
      <c r="G210" t="s">
        <v>1811</v>
      </c>
      <c r="H210" t="s">
        <v>1799</v>
      </c>
      <c r="I210">
        <v>0</v>
      </c>
      <c r="J210" t="s">
        <v>1799</v>
      </c>
      <c r="K210" t="s">
        <v>1799</v>
      </c>
      <c r="L210" t="s">
        <v>1799</v>
      </c>
      <c r="M210" t="s">
        <v>1799</v>
      </c>
      <c r="N210" t="s">
        <v>1799</v>
      </c>
      <c r="O210" s="184" t="str">
        <f>"["&amp;$C210&amp;"]["&amp;$D210&amp;"]["&amp;$F210&amp;"]"</f>
        <v>[S05_SmallEmittersTool][2][CountSmallEmitters]</v>
      </c>
    </row>
    <row r="211" spans="1:15" x14ac:dyDescent="0.3">
      <c r="A211" t="s">
        <v>1793</v>
      </c>
      <c r="B211" t="s">
        <v>1970</v>
      </c>
      <c r="C211" t="s">
        <v>1971</v>
      </c>
      <c r="D211">
        <v>3</v>
      </c>
      <c r="E211" t="s">
        <v>1447</v>
      </c>
      <c r="F211" t="s">
        <v>1972</v>
      </c>
      <c r="G211" t="s">
        <v>1811</v>
      </c>
      <c r="H211" t="s">
        <v>1799</v>
      </c>
      <c r="I211">
        <v>3</v>
      </c>
      <c r="J211" t="s">
        <v>1799</v>
      </c>
      <c r="K211" t="s">
        <v>1799</v>
      </c>
      <c r="L211" t="s">
        <v>1799</v>
      </c>
      <c r="M211" t="s">
        <v>1799</v>
      </c>
      <c r="N211" t="s">
        <v>1799</v>
      </c>
      <c r="O211" s="184" t="str">
        <f>"["&amp;$C211&amp;"]["&amp;$D211&amp;"]["&amp;$F211&amp;"]"</f>
        <v>[S05_SmallEmittersTool][3][CountSmallEmitters]</v>
      </c>
    </row>
    <row r="212" spans="1:15" x14ac:dyDescent="0.3">
      <c r="A212" t="s">
        <v>1793</v>
      </c>
      <c r="B212" t="s">
        <v>1970</v>
      </c>
      <c r="C212" t="s">
        <v>1971</v>
      </c>
      <c r="D212">
        <v>4</v>
      </c>
      <c r="E212" t="s">
        <v>1447</v>
      </c>
      <c r="F212" t="s">
        <v>1972</v>
      </c>
      <c r="G212" t="s">
        <v>1811</v>
      </c>
      <c r="H212" t="s">
        <v>1799</v>
      </c>
      <c r="I212">
        <v>2</v>
      </c>
      <c r="J212" t="s">
        <v>1799</v>
      </c>
      <c r="K212" t="s">
        <v>1799</v>
      </c>
      <c r="L212" t="s">
        <v>1799</v>
      </c>
      <c r="M212" t="s">
        <v>1799</v>
      </c>
      <c r="N212" t="s">
        <v>1799</v>
      </c>
      <c r="O212" s="184" t="str">
        <f>"["&amp;$C212&amp;"]["&amp;$D212&amp;"]["&amp;$F212&amp;"]"</f>
        <v>[S05_SmallEmittersTool][4][CountSmallEmitters]</v>
      </c>
    </row>
    <row r="213" spans="1:15" x14ac:dyDescent="0.3">
      <c r="A213" t="s">
        <v>1793</v>
      </c>
      <c r="B213" t="s">
        <v>1973</v>
      </c>
      <c r="C213" t="s">
        <v>1974</v>
      </c>
      <c r="D213">
        <v>0</v>
      </c>
      <c r="E213" t="s">
        <v>1447</v>
      </c>
      <c r="F213" t="s">
        <v>1974</v>
      </c>
      <c r="G213" t="s">
        <v>1829</v>
      </c>
      <c r="H213" t="s">
        <v>1799</v>
      </c>
      <c r="I213" t="s">
        <v>1799</v>
      </c>
      <c r="J213" t="s">
        <v>1799</v>
      </c>
      <c r="K213" t="s">
        <v>1799</v>
      </c>
      <c r="L213" t="s">
        <v>1447</v>
      </c>
      <c r="M213" t="s">
        <v>1799</v>
      </c>
      <c r="N213" t="s">
        <v>1799</v>
      </c>
      <c r="O213" s="184" t="str">
        <f>"["&amp;$C213&amp;"]["&amp;$D213&amp;"]["&amp;$F213&amp;"]"</f>
        <v>[AircraftSimplifiedMonitoringArt13][0][AircraftSimplifiedMonitoringArt13]</v>
      </c>
    </row>
    <row r="214" spans="1:15" x14ac:dyDescent="0.3">
      <c r="A214" t="s">
        <v>1793</v>
      </c>
      <c r="B214" t="s">
        <v>1975</v>
      </c>
      <c r="C214" t="s">
        <v>1976</v>
      </c>
      <c r="D214">
        <v>1</v>
      </c>
      <c r="E214" t="s">
        <v>1447</v>
      </c>
      <c r="F214" t="s">
        <v>1977</v>
      </c>
      <c r="G214" t="s">
        <v>1811</v>
      </c>
      <c r="H214" t="s">
        <v>1799</v>
      </c>
      <c r="I214">
        <v>0</v>
      </c>
      <c r="J214" t="s">
        <v>1799</v>
      </c>
      <c r="K214" t="s">
        <v>1799</v>
      </c>
      <c r="L214" t="s">
        <v>1799</v>
      </c>
      <c r="M214" t="s">
        <v>1799</v>
      </c>
      <c r="N214" t="s">
        <v>1799</v>
      </c>
      <c r="O214" s="184" t="str">
        <f>"["&amp;$C214&amp;"]["&amp;$D214&amp;"]["&amp;$F214&amp;"]"</f>
        <v>[S06_TotalVerifiers][1][CountVerifiersInstallations]</v>
      </c>
    </row>
    <row r="215" spans="1:15" x14ac:dyDescent="0.3">
      <c r="A215" t="s">
        <v>1793</v>
      </c>
      <c r="B215" t="s">
        <v>1975</v>
      </c>
      <c r="C215" t="s">
        <v>1976</v>
      </c>
      <c r="D215">
        <v>2</v>
      </c>
      <c r="E215" t="s">
        <v>1447</v>
      </c>
      <c r="F215" t="s">
        <v>1977</v>
      </c>
      <c r="G215" t="s">
        <v>1811</v>
      </c>
      <c r="H215" t="s">
        <v>1799</v>
      </c>
      <c r="I215">
        <v>0</v>
      </c>
      <c r="J215" t="s">
        <v>1799</v>
      </c>
      <c r="K215" t="s">
        <v>1799</v>
      </c>
      <c r="L215" t="s">
        <v>1799</v>
      </c>
      <c r="M215" t="s">
        <v>1799</v>
      </c>
      <c r="N215" t="s">
        <v>1799</v>
      </c>
      <c r="O215" s="184" t="str">
        <f>"["&amp;$C215&amp;"]["&amp;$D215&amp;"]["&amp;$F215&amp;"]"</f>
        <v>[S06_TotalVerifiers][2][CountVerifiersInstallations]</v>
      </c>
    </row>
    <row r="216" spans="1:15" x14ac:dyDescent="0.3">
      <c r="A216" t="s">
        <v>1793</v>
      </c>
      <c r="B216" t="s">
        <v>1975</v>
      </c>
      <c r="C216" t="s">
        <v>1976</v>
      </c>
      <c r="D216">
        <v>3</v>
      </c>
      <c r="E216" t="s">
        <v>1447</v>
      </c>
      <c r="F216" t="s">
        <v>1977</v>
      </c>
      <c r="G216" t="s">
        <v>1811</v>
      </c>
      <c r="H216" t="s">
        <v>1799</v>
      </c>
      <c r="I216">
        <v>1</v>
      </c>
      <c r="J216" t="s">
        <v>1799</v>
      </c>
      <c r="K216" t="s">
        <v>1799</v>
      </c>
      <c r="L216" t="s">
        <v>1799</v>
      </c>
      <c r="M216" t="s">
        <v>1799</v>
      </c>
      <c r="N216" t="s">
        <v>1799</v>
      </c>
      <c r="O216" s="184" t="str">
        <f>"["&amp;$C216&amp;"]["&amp;$D216&amp;"]["&amp;$F216&amp;"]"</f>
        <v>[S06_TotalVerifiers][3][CountVerifiersInstallations]</v>
      </c>
    </row>
    <row r="217" spans="1:15" x14ac:dyDescent="0.3">
      <c r="A217" t="s">
        <v>1793</v>
      </c>
      <c r="B217" t="s">
        <v>1975</v>
      </c>
      <c r="C217" t="s">
        <v>1976</v>
      </c>
      <c r="D217">
        <v>4</v>
      </c>
      <c r="E217" t="s">
        <v>1447</v>
      </c>
      <c r="F217" t="s">
        <v>1977</v>
      </c>
      <c r="G217" t="s">
        <v>1811</v>
      </c>
      <c r="H217" t="s">
        <v>1799</v>
      </c>
      <c r="I217">
        <v>0</v>
      </c>
      <c r="J217" t="s">
        <v>1799</v>
      </c>
      <c r="K217" t="s">
        <v>1799</v>
      </c>
      <c r="L217" t="s">
        <v>1799</v>
      </c>
      <c r="M217" t="s">
        <v>1799</v>
      </c>
      <c r="N217" t="s">
        <v>1799</v>
      </c>
      <c r="O217" s="184" t="str">
        <f>"["&amp;$C217&amp;"]["&amp;$D217&amp;"]["&amp;$F217&amp;"]"</f>
        <v>[S06_TotalVerifiers][4][CountVerifiersInstallations]</v>
      </c>
    </row>
    <row r="218" spans="1:15" x14ac:dyDescent="0.3">
      <c r="A218" t="s">
        <v>1793</v>
      </c>
      <c r="B218" t="s">
        <v>1975</v>
      </c>
      <c r="C218" t="s">
        <v>1976</v>
      </c>
      <c r="D218">
        <v>3</v>
      </c>
      <c r="E218" t="s">
        <v>1447</v>
      </c>
      <c r="F218" t="s">
        <v>1978</v>
      </c>
      <c r="G218" t="s">
        <v>1797</v>
      </c>
      <c r="H218" t="s">
        <v>1979</v>
      </c>
      <c r="I218" t="s">
        <v>1799</v>
      </c>
      <c r="J218" t="s">
        <v>1799</v>
      </c>
      <c r="K218" t="s">
        <v>1799</v>
      </c>
      <c r="L218" t="s">
        <v>1799</v>
      </c>
      <c r="M218" t="s">
        <v>1799</v>
      </c>
      <c r="N218" t="s">
        <v>1799</v>
      </c>
      <c r="O218" s="184" t="str">
        <f>"["&amp;$C218&amp;"]["&amp;$D218&amp;"]["&amp;$F218&amp;"]"</f>
        <v>[S06_TotalVerifiers][3][MSVerifiersInstallations]</v>
      </c>
    </row>
    <row r="219" spans="1:15" x14ac:dyDescent="0.3">
      <c r="A219" t="s">
        <v>1793</v>
      </c>
      <c r="B219" t="s">
        <v>1975</v>
      </c>
      <c r="C219" t="s">
        <v>1976</v>
      </c>
      <c r="D219">
        <v>1</v>
      </c>
      <c r="E219" t="s">
        <v>1447</v>
      </c>
      <c r="F219" t="s">
        <v>1980</v>
      </c>
      <c r="G219" t="s">
        <v>1811</v>
      </c>
      <c r="H219" t="s">
        <v>1799</v>
      </c>
      <c r="I219">
        <v>0</v>
      </c>
      <c r="J219" t="s">
        <v>1799</v>
      </c>
      <c r="K219" t="s">
        <v>1799</v>
      </c>
      <c r="L219" t="s">
        <v>1799</v>
      </c>
      <c r="M219" t="s">
        <v>1799</v>
      </c>
      <c r="N219" t="s">
        <v>1799</v>
      </c>
      <c r="O219" s="184" t="str">
        <f>"["&amp;$C219&amp;"]["&amp;$D219&amp;"]["&amp;$F219&amp;"]"</f>
        <v>[S06_TotalVerifiers][1][CountVerifiersAviation]</v>
      </c>
    </row>
    <row r="220" spans="1:15" x14ac:dyDescent="0.3">
      <c r="A220" t="s">
        <v>1793</v>
      </c>
      <c r="B220" t="s">
        <v>1975</v>
      </c>
      <c r="C220" t="s">
        <v>1976</v>
      </c>
      <c r="D220">
        <v>2</v>
      </c>
      <c r="E220" t="s">
        <v>1447</v>
      </c>
      <c r="F220" t="s">
        <v>1980</v>
      </c>
      <c r="G220" t="s">
        <v>1811</v>
      </c>
      <c r="H220" t="s">
        <v>1799</v>
      </c>
      <c r="I220">
        <v>0</v>
      </c>
      <c r="J220" t="s">
        <v>1799</v>
      </c>
      <c r="K220" t="s">
        <v>1799</v>
      </c>
      <c r="L220" t="s">
        <v>1799</v>
      </c>
      <c r="M220" t="s">
        <v>1799</v>
      </c>
      <c r="N220" t="s">
        <v>1799</v>
      </c>
      <c r="O220" s="184" t="str">
        <f>"["&amp;$C220&amp;"]["&amp;$D220&amp;"]["&amp;$F220&amp;"]"</f>
        <v>[S06_TotalVerifiers][2][CountVerifiersAviation]</v>
      </c>
    </row>
    <row r="221" spans="1:15" x14ac:dyDescent="0.3">
      <c r="A221" t="s">
        <v>1793</v>
      </c>
      <c r="B221" t="s">
        <v>1975</v>
      </c>
      <c r="C221" t="s">
        <v>1976</v>
      </c>
      <c r="D221">
        <v>3</v>
      </c>
      <c r="E221" t="s">
        <v>1447</v>
      </c>
      <c r="F221" t="s">
        <v>1980</v>
      </c>
      <c r="G221" t="s">
        <v>1811</v>
      </c>
      <c r="H221" t="s">
        <v>1799</v>
      </c>
      <c r="I221">
        <v>3</v>
      </c>
      <c r="J221" t="s">
        <v>1799</v>
      </c>
      <c r="K221" t="s">
        <v>1799</v>
      </c>
      <c r="L221" t="s">
        <v>1799</v>
      </c>
      <c r="M221" t="s">
        <v>1799</v>
      </c>
      <c r="N221" t="s">
        <v>1799</v>
      </c>
      <c r="O221" s="184" t="str">
        <f>"["&amp;$C221&amp;"]["&amp;$D221&amp;"]["&amp;$F221&amp;"]"</f>
        <v>[S06_TotalVerifiers][3][CountVerifiersAviation]</v>
      </c>
    </row>
    <row r="222" spans="1:15" x14ac:dyDescent="0.3">
      <c r="A222" t="s">
        <v>1793</v>
      </c>
      <c r="B222" t="s">
        <v>1975</v>
      </c>
      <c r="C222" t="s">
        <v>1976</v>
      </c>
      <c r="D222">
        <v>4</v>
      </c>
      <c r="E222" t="s">
        <v>1447</v>
      </c>
      <c r="F222" t="s">
        <v>1980</v>
      </c>
      <c r="G222" t="s">
        <v>1811</v>
      </c>
      <c r="H222" t="s">
        <v>1799</v>
      </c>
      <c r="I222">
        <v>0</v>
      </c>
      <c r="J222" t="s">
        <v>1799</v>
      </c>
      <c r="K222" t="s">
        <v>1799</v>
      </c>
      <c r="L222" t="s">
        <v>1799</v>
      </c>
      <c r="M222" t="s">
        <v>1799</v>
      </c>
      <c r="N222" t="s">
        <v>1799</v>
      </c>
      <c r="O222" s="184" t="str">
        <f>"["&amp;$C222&amp;"]["&amp;$D222&amp;"]["&amp;$F222&amp;"]"</f>
        <v>[S06_TotalVerifiers][4][CountVerifiersAviation]</v>
      </c>
    </row>
    <row r="223" spans="1:15" x14ac:dyDescent="0.3">
      <c r="A223" t="s">
        <v>1793</v>
      </c>
      <c r="B223" t="s">
        <v>1975</v>
      </c>
      <c r="C223" t="s">
        <v>1976</v>
      </c>
      <c r="D223">
        <v>3</v>
      </c>
      <c r="E223" t="s">
        <v>1447</v>
      </c>
      <c r="F223" t="s">
        <v>1981</v>
      </c>
      <c r="G223" t="s">
        <v>1797</v>
      </c>
      <c r="H223" t="s">
        <v>1982</v>
      </c>
      <c r="I223" t="s">
        <v>1799</v>
      </c>
      <c r="J223" t="s">
        <v>1799</v>
      </c>
      <c r="K223" t="s">
        <v>1799</v>
      </c>
      <c r="L223" t="s">
        <v>1799</v>
      </c>
      <c r="M223" t="s">
        <v>1799</v>
      </c>
      <c r="N223" t="s">
        <v>1799</v>
      </c>
      <c r="O223" s="184" t="str">
        <f>"["&amp;$C223&amp;"]["&amp;$D223&amp;"]["&amp;$F223&amp;"]"</f>
        <v>[S06_TotalVerifiers][3][MSVerifiersAviation]</v>
      </c>
    </row>
    <row r="224" spans="1:15" x14ac:dyDescent="0.3">
      <c r="A224" t="s">
        <v>1793</v>
      </c>
      <c r="B224" t="s">
        <v>1983</v>
      </c>
      <c r="C224" t="s">
        <v>1984</v>
      </c>
      <c r="D224">
        <v>1</v>
      </c>
      <c r="E224" t="s">
        <v>1447</v>
      </c>
      <c r="F224" t="s">
        <v>1985</v>
      </c>
      <c r="G224" t="s">
        <v>1829</v>
      </c>
      <c r="H224" t="s">
        <v>1799</v>
      </c>
      <c r="I224" t="s">
        <v>1799</v>
      </c>
      <c r="J224" t="s">
        <v>1799</v>
      </c>
      <c r="K224" t="s">
        <v>1799</v>
      </c>
      <c r="L224" t="s">
        <v>1477</v>
      </c>
      <c r="M224" t="s">
        <v>1799</v>
      </c>
      <c r="N224" t="s">
        <v>1799</v>
      </c>
      <c r="O224" s="184" t="str">
        <f>"["&amp;$C224&amp;"]["&amp;$D224&amp;"]["&amp;$F224&amp;"]"</f>
        <v>[S06_ApplicationInformationExchangeRequirements1][1][FromOtherMS]</v>
      </c>
    </row>
    <row r="225" spans="1:15" x14ac:dyDescent="0.3">
      <c r="A225" t="s">
        <v>1793</v>
      </c>
      <c r="B225" t="s">
        <v>1983</v>
      </c>
      <c r="C225" t="s">
        <v>1984</v>
      </c>
      <c r="D225">
        <v>2</v>
      </c>
      <c r="E225" t="s">
        <v>1447</v>
      </c>
      <c r="F225" t="s">
        <v>1985</v>
      </c>
      <c r="G225" t="s">
        <v>1829</v>
      </c>
      <c r="H225" t="s">
        <v>1799</v>
      </c>
      <c r="I225" t="s">
        <v>1799</v>
      </c>
      <c r="J225" t="s">
        <v>1799</v>
      </c>
      <c r="K225" t="s">
        <v>1799</v>
      </c>
      <c r="L225" t="s">
        <v>1477</v>
      </c>
      <c r="M225" t="s">
        <v>1799</v>
      </c>
      <c r="N225" t="s">
        <v>1799</v>
      </c>
      <c r="O225" s="184" t="str">
        <f>"["&amp;$C225&amp;"]["&amp;$D225&amp;"]["&amp;$F225&amp;"]"</f>
        <v>[S06_ApplicationInformationExchangeRequirements1][2][FromOtherMS]</v>
      </c>
    </row>
    <row r="226" spans="1:15" x14ac:dyDescent="0.3">
      <c r="A226" t="s">
        <v>1793</v>
      </c>
      <c r="B226" t="s">
        <v>1983</v>
      </c>
      <c r="C226" t="s">
        <v>1986</v>
      </c>
      <c r="D226">
        <v>0</v>
      </c>
      <c r="E226" t="s">
        <v>1447</v>
      </c>
      <c r="F226" t="s">
        <v>1987</v>
      </c>
      <c r="G226" t="s">
        <v>1811</v>
      </c>
      <c r="H226" t="s">
        <v>1799</v>
      </c>
      <c r="I226">
        <v>0</v>
      </c>
      <c r="J226" t="s">
        <v>1799</v>
      </c>
      <c r="K226" t="s">
        <v>1799</v>
      </c>
      <c r="L226" t="s">
        <v>1799</v>
      </c>
      <c r="M226" t="s">
        <v>1799</v>
      </c>
      <c r="N226" t="s">
        <v>1799</v>
      </c>
      <c r="O226" s="184" t="str">
        <f>"["&amp;$C226&amp;"]["&amp;$D226&amp;"]["&amp;$F226&amp;"]"</f>
        <v>[S06_ApplicationInformationExchangeRequirements3][0][TimesSurveillanceRequested]</v>
      </c>
    </row>
    <row r="227" spans="1:15" x14ac:dyDescent="0.3">
      <c r="A227" t="s">
        <v>1793</v>
      </c>
      <c r="B227" t="s">
        <v>1983</v>
      </c>
      <c r="C227" t="s">
        <v>1988</v>
      </c>
      <c r="D227">
        <v>1</v>
      </c>
      <c r="E227" t="s">
        <v>1447</v>
      </c>
      <c r="F227" t="s">
        <v>1989</v>
      </c>
      <c r="G227" t="s">
        <v>1811</v>
      </c>
      <c r="H227" t="s">
        <v>1799</v>
      </c>
      <c r="I227">
        <v>0</v>
      </c>
      <c r="J227" t="s">
        <v>1799</v>
      </c>
      <c r="K227" t="s">
        <v>1799</v>
      </c>
      <c r="L227" t="s">
        <v>1799</v>
      </c>
      <c r="M227" t="s">
        <v>1799</v>
      </c>
      <c r="N227" t="s">
        <v>1799</v>
      </c>
      <c r="O227" s="184" t="str">
        <f>"["&amp;$C227&amp;"]["&amp;$D227&amp;"]["&amp;$F227&amp;"]"</f>
        <v>[S06_ApplicationInformationExchangeRequirements4][1][NumberOfIssues]</v>
      </c>
    </row>
    <row r="228" spans="1:15" x14ac:dyDescent="0.3">
      <c r="A228" t="s">
        <v>1793</v>
      </c>
      <c r="B228" t="s">
        <v>1983</v>
      </c>
      <c r="C228" t="s">
        <v>1988</v>
      </c>
      <c r="D228">
        <v>2</v>
      </c>
      <c r="E228" t="s">
        <v>1447</v>
      </c>
      <c r="F228" t="s">
        <v>1989</v>
      </c>
      <c r="G228" t="s">
        <v>1811</v>
      </c>
      <c r="H228" t="s">
        <v>1799</v>
      </c>
      <c r="I228">
        <v>0</v>
      </c>
      <c r="J228" t="s">
        <v>1799</v>
      </c>
      <c r="K228" t="s">
        <v>1799</v>
      </c>
      <c r="L228" t="s">
        <v>1799</v>
      </c>
      <c r="M228" t="s">
        <v>1799</v>
      </c>
      <c r="N228" t="s">
        <v>1799</v>
      </c>
      <c r="O228" s="184" t="str">
        <f>"["&amp;$C228&amp;"]["&amp;$D228&amp;"]["&amp;$F228&amp;"]"</f>
        <v>[S06_ApplicationInformationExchangeRequirements4][2][NumberOfIssues]</v>
      </c>
    </row>
    <row r="229" spans="1:15" x14ac:dyDescent="0.3">
      <c r="A229" t="s">
        <v>1793</v>
      </c>
      <c r="B229" t="s">
        <v>1983</v>
      </c>
      <c r="C229" t="s">
        <v>1988</v>
      </c>
      <c r="D229">
        <v>3</v>
      </c>
      <c r="E229" t="s">
        <v>1447</v>
      </c>
      <c r="F229" t="s">
        <v>1989</v>
      </c>
      <c r="G229" t="s">
        <v>1811</v>
      </c>
      <c r="H229" t="s">
        <v>1799</v>
      </c>
      <c r="I229">
        <v>0</v>
      </c>
      <c r="J229" t="s">
        <v>1799</v>
      </c>
      <c r="K229" t="s">
        <v>1799</v>
      </c>
      <c r="L229" t="s">
        <v>1799</v>
      </c>
      <c r="M229" t="s">
        <v>1799</v>
      </c>
      <c r="N229" t="s">
        <v>1799</v>
      </c>
      <c r="O229" s="184" t="str">
        <f>"["&amp;$C229&amp;"]["&amp;$D229&amp;"]["&amp;$F229&amp;"]"</f>
        <v>[S06_ApplicationInformationExchangeRequirements4][3][NumberOfIssues]</v>
      </c>
    </row>
    <row r="230" spans="1:15" x14ac:dyDescent="0.3">
      <c r="A230" t="s">
        <v>1793</v>
      </c>
      <c r="B230" t="s">
        <v>1990</v>
      </c>
      <c r="C230" t="s">
        <v>1991</v>
      </c>
      <c r="D230">
        <v>1</v>
      </c>
      <c r="E230" t="s">
        <v>1447</v>
      </c>
      <c r="F230" t="s">
        <v>1992</v>
      </c>
      <c r="G230" t="s">
        <v>1811</v>
      </c>
      <c r="H230" t="s">
        <v>1799</v>
      </c>
      <c r="I230">
        <v>0</v>
      </c>
      <c r="J230" t="s">
        <v>1799</v>
      </c>
      <c r="K230" t="s">
        <v>1799</v>
      </c>
      <c r="L230" t="s">
        <v>1799</v>
      </c>
      <c r="M230" t="s">
        <v>1799</v>
      </c>
      <c r="N230" t="s">
        <v>1799</v>
      </c>
      <c r="O230" s="184" t="str">
        <f>"["&amp;$C230&amp;"]["&amp;$D230&amp;"]["&amp;$F230&amp;"]"</f>
        <v>[S06_NegativeOpinionInstallations][1][CountNegativeOpinions]</v>
      </c>
    </row>
    <row r="231" spans="1:15" x14ac:dyDescent="0.3">
      <c r="A231" t="s">
        <v>1793</v>
      </c>
      <c r="B231" t="s">
        <v>1990</v>
      </c>
      <c r="C231" t="s">
        <v>1991</v>
      </c>
      <c r="D231">
        <v>2</v>
      </c>
      <c r="E231" t="s">
        <v>1447</v>
      </c>
      <c r="F231" t="s">
        <v>1992</v>
      </c>
      <c r="G231" t="s">
        <v>1811</v>
      </c>
      <c r="H231" t="s">
        <v>1799</v>
      </c>
      <c r="I231">
        <v>0</v>
      </c>
      <c r="J231" t="s">
        <v>1799</v>
      </c>
      <c r="K231" t="s">
        <v>1799</v>
      </c>
      <c r="L231" t="s">
        <v>1799</v>
      </c>
      <c r="M231" t="s">
        <v>1799</v>
      </c>
      <c r="N231" t="s">
        <v>1799</v>
      </c>
      <c r="O231" s="184" t="str">
        <f>"["&amp;$C231&amp;"]["&amp;$D231&amp;"]["&amp;$F231&amp;"]"</f>
        <v>[S06_NegativeOpinionInstallations][2][CountNegativeOpinions]</v>
      </c>
    </row>
    <row r="232" spans="1:15" x14ac:dyDescent="0.3">
      <c r="A232" t="s">
        <v>1793</v>
      </c>
      <c r="B232" t="s">
        <v>1990</v>
      </c>
      <c r="C232" t="s">
        <v>1991</v>
      </c>
      <c r="D232">
        <v>3</v>
      </c>
      <c r="E232" t="s">
        <v>1447</v>
      </c>
      <c r="F232" t="s">
        <v>1992</v>
      </c>
      <c r="G232" t="s">
        <v>1811</v>
      </c>
      <c r="H232" t="s">
        <v>1799</v>
      </c>
      <c r="I232">
        <v>0</v>
      </c>
      <c r="J232" t="s">
        <v>1799</v>
      </c>
      <c r="K232" t="s">
        <v>1799</v>
      </c>
      <c r="L232" t="s">
        <v>1799</v>
      </c>
      <c r="M232" t="s">
        <v>1799</v>
      </c>
      <c r="N232" t="s">
        <v>1799</v>
      </c>
      <c r="O232" s="184" t="str">
        <f>"["&amp;$C232&amp;"]["&amp;$D232&amp;"]["&amp;$F232&amp;"]"</f>
        <v>[S06_NegativeOpinionInstallations][3][CountNegativeOpinions]</v>
      </c>
    </row>
    <row r="233" spans="1:15" x14ac:dyDescent="0.3">
      <c r="A233" t="s">
        <v>1793</v>
      </c>
      <c r="B233" t="s">
        <v>1990</v>
      </c>
      <c r="C233" t="s">
        <v>1991</v>
      </c>
      <c r="D233">
        <v>4</v>
      </c>
      <c r="E233" t="s">
        <v>1447</v>
      </c>
      <c r="F233" t="s">
        <v>1992</v>
      </c>
      <c r="G233" t="s">
        <v>1811</v>
      </c>
      <c r="H233" t="s">
        <v>1799</v>
      </c>
      <c r="I233">
        <v>0</v>
      </c>
      <c r="J233" t="s">
        <v>1799</v>
      </c>
      <c r="K233" t="s">
        <v>1799</v>
      </c>
      <c r="L233" t="s">
        <v>1799</v>
      </c>
      <c r="M233" t="s">
        <v>1799</v>
      </c>
      <c r="N233" t="s">
        <v>1799</v>
      </c>
      <c r="O233" s="184" t="str">
        <f>"["&amp;$C233&amp;"]["&amp;$D233&amp;"]["&amp;$F233&amp;"]"</f>
        <v>[S06_NegativeOpinionInstallations][4][CountNegativeOpinions]</v>
      </c>
    </row>
    <row r="234" spans="1:15" x14ac:dyDescent="0.3">
      <c r="A234" t="s">
        <v>1793</v>
      </c>
      <c r="B234" t="s">
        <v>1993</v>
      </c>
      <c r="C234" t="s">
        <v>1994</v>
      </c>
      <c r="D234">
        <v>0</v>
      </c>
      <c r="E234" t="s">
        <v>1447</v>
      </c>
      <c r="F234" t="s">
        <v>1994</v>
      </c>
      <c r="G234" t="s">
        <v>1829</v>
      </c>
      <c r="H234" t="s">
        <v>1799</v>
      </c>
      <c r="I234" t="s">
        <v>1799</v>
      </c>
      <c r="J234" t="s">
        <v>1799</v>
      </c>
      <c r="K234" t="s">
        <v>1799</v>
      </c>
      <c r="L234" t="s">
        <v>1419</v>
      </c>
      <c r="M234" t="s">
        <v>1799</v>
      </c>
      <c r="N234" t="s">
        <v>1799</v>
      </c>
      <c r="O234" s="184" t="str">
        <f>"["&amp;$C234&amp;"]["&amp;$D234&amp;"]["&amp;$F234&amp;"]"</f>
        <v>[InstallationsVerificationReportIssues][0][InstallationsVerificationReportIssues]</v>
      </c>
    </row>
    <row r="235" spans="1:15" x14ac:dyDescent="0.3">
      <c r="A235" t="s">
        <v>1793</v>
      </c>
      <c r="B235" t="s">
        <v>1993</v>
      </c>
      <c r="C235" t="s">
        <v>1995</v>
      </c>
      <c r="D235">
        <v>1</v>
      </c>
      <c r="E235" t="s">
        <v>1447</v>
      </c>
      <c r="F235" t="s">
        <v>1996</v>
      </c>
      <c r="G235" t="s">
        <v>1737</v>
      </c>
      <c r="H235" t="s">
        <v>1799</v>
      </c>
      <c r="I235" t="s">
        <v>1799</v>
      </c>
      <c r="J235" t="s">
        <v>1799</v>
      </c>
      <c r="K235" t="s">
        <v>1799</v>
      </c>
      <c r="L235" t="s">
        <v>1420</v>
      </c>
      <c r="M235" t="s">
        <v>1799</v>
      </c>
      <c r="N235" t="s">
        <v>1799</v>
      </c>
      <c r="O235" s="184" t="str">
        <f>"["&amp;$C235&amp;"]["&amp;$D235&amp;"]["&amp;$F235&amp;"]"</f>
        <v>[S06_InstallationsVerificationReportsIssueDetail][1][AnnexIActivity]</v>
      </c>
    </row>
    <row r="236" spans="1:15" x14ac:dyDescent="0.3">
      <c r="A236" t="s">
        <v>1793</v>
      </c>
      <c r="B236" t="s">
        <v>1993</v>
      </c>
      <c r="C236" t="s">
        <v>1995</v>
      </c>
      <c r="D236">
        <v>1</v>
      </c>
      <c r="E236" t="s">
        <v>1447</v>
      </c>
      <c r="F236" t="s">
        <v>1997</v>
      </c>
      <c r="G236" t="s">
        <v>1737</v>
      </c>
      <c r="H236" t="s">
        <v>1799</v>
      </c>
      <c r="I236" t="s">
        <v>1799</v>
      </c>
      <c r="J236" t="s">
        <v>1799</v>
      </c>
      <c r="K236" t="s">
        <v>1799</v>
      </c>
      <c r="L236" t="s">
        <v>1512</v>
      </c>
      <c r="M236" t="s">
        <v>1799</v>
      </c>
      <c r="N236" t="s">
        <v>1799</v>
      </c>
      <c r="O236" s="184" t="str">
        <f>"["&amp;$C236&amp;"]["&amp;$D236&amp;"]["&amp;$F236&amp;"]"</f>
        <v>[S06_InstallationsVerificationReportsIssueDetail][1][TypeOfIssue]</v>
      </c>
    </row>
    <row r="237" spans="1:15" x14ac:dyDescent="0.3">
      <c r="A237" t="s">
        <v>1793</v>
      </c>
      <c r="B237" t="s">
        <v>1993</v>
      </c>
      <c r="C237" t="s">
        <v>1995</v>
      </c>
      <c r="D237">
        <v>1</v>
      </c>
      <c r="E237" t="s">
        <v>1447</v>
      </c>
      <c r="F237" t="s">
        <v>1870</v>
      </c>
      <c r="G237" t="s">
        <v>1811</v>
      </c>
      <c r="H237" t="s">
        <v>1799</v>
      </c>
      <c r="I237">
        <v>1</v>
      </c>
      <c r="J237" t="s">
        <v>1799</v>
      </c>
      <c r="K237" t="s">
        <v>1799</v>
      </c>
      <c r="L237" t="s">
        <v>1799</v>
      </c>
      <c r="M237" t="s">
        <v>1799</v>
      </c>
      <c r="N237" t="s">
        <v>1799</v>
      </c>
      <c r="O237" s="184" t="str">
        <f>"["&amp;$C237&amp;"]["&amp;$D237&amp;"]["&amp;$F237&amp;"]"</f>
        <v>[S06_InstallationsVerificationReportsIssueDetail][1][NumberOfInstallations]</v>
      </c>
    </row>
    <row r="238" spans="1:15" x14ac:dyDescent="0.3">
      <c r="A238" t="s">
        <v>1793</v>
      </c>
      <c r="B238" t="s">
        <v>1993</v>
      </c>
      <c r="C238" t="s">
        <v>1995</v>
      </c>
      <c r="D238">
        <v>1</v>
      </c>
      <c r="E238" t="s">
        <v>1447</v>
      </c>
      <c r="F238" t="s">
        <v>1989</v>
      </c>
      <c r="G238" t="s">
        <v>1811</v>
      </c>
      <c r="H238" t="s">
        <v>1799</v>
      </c>
      <c r="I238">
        <v>1</v>
      </c>
      <c r="J238" t="s">
        <v>1799</v>
      </c>
      <c r="K238" t="s">
        <v>1799</v>
      </c>
      <c r="L238" t="s">
        <v>1799</v>
      </c>
      <c r="M238" t="s">
        <v>1799</v>
      </c>
      <c r="N238" t="s">
        <v>1799</v>
      </c>
      <c r="O238" s="184" t="str">
        <f>"["&amp;$C238&amp;"]["&amp;$D238&amp;"]["&amp;$F238&amp;"]"</f>
        <v>[S06_InstallationsVerificationReportsIssueDetail][1][NumberOfIssues]</v>
      </c>
    </row>
    <row r="239" spans="1:15" x14ac:dyDescent="0.3">
      <c r="A239" t="s">
        <v>1793</v>
      </c>
      <c r="B239" t="s">
        <v>1993</v>
      </c>
      <c r="C239" t="s">
        <v>1995</v>
      </c>
      <c r="D239">
        <v>1</v>
      </c>
      <c r="E239" t="s">
        <v>1447</v>
      </c>
      <c r="F239" t="s">
        <v>1998</v>
      </c>
      <c r="G239" t="s">
        <v>1878</v>
      </c>
      <c r="H239" t="s">
        <v>1799</v>
      </c>
      <c r="I239" t="s">
        <v>1799</v>
      </c>
      <c r="J239">
        <v>0</v>
      </c>
      <c r="K239" t="s">
        <v>1799</v>
      </c>
      <c r="L239" t="s">
        <v>1799</v>
      </c>
      <c r="M239" t="s">
        <v>1799</v>
      </c>
      <c r="N239" t="s">
        <v>1799</v>
      </c>
      <c r="O239" s="184" t="str">
        <f>"["&amp;$C239&amp;"]["&amp;$D239&amp;"]["&amp;$F239&amp;"]"</f>
        <v>[S06_InstallationsVerificationReportsIssueDetail][1][ShareOfReportsConservativeEstimate]</v>
      </c>
    </row>
    <row r="240" spans="1:15" x14ac:dyDescent="0.3">
      <c r="A240" t="s">
        <v>1793</v>
      </c>
      <c r="B240" t="s">
        <v>1999</v>
      </c>
      <c r="C240" t="s">
        <v>2000</v>
      </c>
      <c r="D240">
        <v>0</v>
      </c>
      <c r="E240" t="s">
        <v>1447</v>
      </c>
      <c r="F240" t="s">
        <v>2000</v>
      </c>
      <c r="G240" t="s">
        <v>1829</v>
      </c>
      <c r="H240" t="s">
        <v>1799</v>
      </c>
      <c r="I240" t="s">
        <v>1799</v>
      </c>
      <c r="J240" t="s">
        <v>1799</v>
      </c>
      <c r="K240" t="s">
        <v>1799</v>
      </c>
      <c r="L240" t="s">
        <v>1419</v>
      </c>
      <c r="M240" t="s">
        <v>1799</v>
      </c>
      <c r="N240" t="s">
        <v>1799</v>
      </c>
      <c r="O240" s="184" t="str">
        <f>"["&amp;$C240&amp;"]["&amp;$D240&amp;"]["&amp;$F240&amp;"]"</f>
        <v>[InstallationsVerificationReportChecks][0][InstallationsVerificationReportChecks]</v>
      </c>
    </row>
    <row r="241" spans="1:15" x14ac:dyDescent="0.3">
      <c r="A241" t="s">
        <v>1793</v>
      </c>
      <c r="B241" t="s">
        <v>1999</v>
      </c>
      <c r="C241" t="s">
        <v>2001</v>
      </c>
      <c r="D241">
        <v>1</v>
      </c>
      <c r="E241" t="s">
        <v>1447</v>
      </c>
      <c r="F241" t="s">
        <v>2002</v>
      </c>
      <c r="G241" t="s">
        <v>1878</v>
      </c>
      <c r="H241" t="s">
        <v>1799</v>
      </c>
      <c r="I241" t="s">
        <v>1799</v>
      </c>
      <c r="J241">
        <v>1</v>
      </c>
      <c r="K241" t="s">
        <v>1799</v>
      </c>
      <c r="L241" t="s">
        <v>1799</v>
      </c>
      <c r="M241" t="s">
        <v>1799</v>
      </c>
      <c r="N241" t="s">
        <v>1799</v>
      </c>
      <c r="O241" s="184" t="str">
        <f>"["&amp;$C241&amp;"]["&amp;$D241&amp;"]["&amp;$F241&amp;"]"</f>
        <v>[S06_InstallationsVerificationReportChecksDetail1][1][PercentageShare]</v>
      </c>
    </row>
    <row r="242" spans="1:15" x14ac:dyDescent="0.3">
      <c r="A242" t="s">
        <v>1793</v>
      </c>
      <c r="B242" t="s">
        <v>1999</v>
      </c>
      <c r="C242" t="s">
        <v>2001</v>
      </c>
      <c r="D242">
        <v>2</v>
      </c>
      <c r="E242" t="s">
        <v>1447</v>
      </c>
      <c r="F242" t="s">
        <v>2002</v>
      </c>
      <c r="G242" t="s">
        <v>1878</v>
      </c>
      <c r="H242" t="s">
        <v>1799</v>
      </c>
      <c r="I242" t="s">
        <v>1799</v>
      </c>
      <c r="J242">
        <v>1</v>
      </c>
      <c r="K242" t="s">
        <v>1799</v>
      </c>
      <c r="L242" t="s">
        <v>1799</v>
      </c>
      <c r="M242" t="s">
        <v>1799</v>
      </c>
      <c r="N242" t="s">
        <v>1799</v>
      </c>
      <c r="O242" s="184" t="str">
        <f>"["&amp;$C242&amp;"]["&amp;$D242&amp;"]["&amp;$F242&amp;"]"</f>
        <v>[S06_InstallationsVerificationReportChecksDetail1][2][PercentageShare]</v>
      </c>
    </row>
    <row r="243" spans="1:15" x14ac:dyDescent="0.3">
      <c r="A243" t="s">
        <v>1793</v>
      </c>
      <c r="B243" t="s">
        <v>1999</v>
      </c>
      <c r="C243" t="s">
        <v>2001</v>
      </c>
      <c r="D243">
        <v>3</v>
      </c>
      <c r="E243" t="s">
        <v>1447</v>
      </c>
      <c r="F243" t="s">
        <v>2002</v>
      </c>
      <c r="G243" t="s">
        <v>1878</v>
      </c>
      <c r="H243" t="s">
        <v>1799</v>
      </c>
      <c r="I243" t="s">
        <v>1799</v>
      </c>
      <c r="J243">
        <v>0</v>
      </c>
      <c r="K243" t="s">
        <v>1799</v>
      </c>
      <c r="L243" t="s">
        <v>1799</v>
      </c>
      <c r="M243" t="s">
        <v>1799</v>
      </c>
      <c r="N243" t="s">
        <v>1799</v>
      </c>
      <c r="O243" s="184" t="str">
        <f>"["&amp;$C243&amp;"]["&amp;$D243&amp;"]["&amp;$F243&amp;"]"</f>
        <v>[S06_InstallationsVerificationReportChecksDetail1][3][PercentageShare]</v>
      </c>
    </row>
    <row r="244" spans="1:15" x14ac:dyDescent="0.3">
      <c r="A244" t="s">
        <v>1793</v>
      </c>
      <c r="B244" t="s">
        <v>1999</v>
      </c>
      <c r="C244" t="s">
        <v>2001</v>
      </c>
      <c r="D244">
        <v>4</v>
      </c>
      <c r="E244" t="s">
        <v>1447</v>
      </c>
      <c r="F244" t="s">
        <v>2002</v>
      </c>
      <c r="G244" t="s">
        <v>1878</v>
      </c>
      <c r="H244" t="s">
        <v>1799</v>
      </c>
      <c r="I244" t="s">
        <v>1799</v>
      </c>
      <c r="J244">
        <v>0</v>
      </c>
      <c r="K244" t="s">
        <v>1799</v>
      </c>
      <c r="L244" t="s">
        <v>1799</v>
      </c>
      <c r="M244" t="s">
        <v>1799</v>
      </c>
      <c r="N244" t="s">
        <v>1799</v>
      </c>
      <c r="O244" s="184" t="str">
        <f>"["&amp;$C244&amp;"]["&amp;$D244&amp;"]["&amp;$F244&amp;"]"</f>
        <v>[S06_InstallationsVerificationReportChecksDetail1][4][PercentageShare]</v>
      </c>
    </row>
    <row r="245" spans="1:15" x14ac:dyDescent="0.3">
      <c r="A245" t="s">
        <v>1793</v>
      </c>
      <c r="B245" t="s">
        <v>1999</v>
      </c>
      <c r="C245" t="s">
        <v>2001</v>
      </c>
      <c r="D245">
        <v>5</v>
      </c>
      <c r="E245" t="s">
        <v>1447</v>
      </c>
      <c r="F245" t="s">
        <v>2002</v>
      </c>
      <c r="G245" t="s">
        <v>1878</v>
      </c>
      <c r="H245" t="s">
        <v>1799</v>
      </c>
      <c r="I245" t="s">
        <v>1799</v>
      </c>
      <c r="J245">
        <v>1</v>
      </c>
      <c r="K245" t="s">
        <v>1799</v>
      </c>
      <c r="L245" t="s">
        <v>1799</v>
      </c>
      <c r="M245" t="s">
        <v>1799</v>
      </c>
      <c r="N245" t="s">
        <v>1799</v>
      </c>
      <c r="O245" s="184" t="str">
        <f>"["&amp;$C245&amp;"]["&amp;$D245&amp;"]["&amp;$F245&amp;"]"</f>
        <v>[S06_InstallationsVerificationReportChecksDetail1][5][PercentageShare]</v>
      </c>
    </row>
    <row r="246" spans="1:15" x14ac:dyDescent="0.3">
      <c r="A246" t="s">
        <v>1793</v>
      </c>
      <c r="B246" t="s">
        <v>1999</v>
      </c>
      <c r="C246" t="s">
        <v>2001</v>
      </c>
      <c r="D246">
        <v>5</v>
      </c>
      <c r="E246" t="s">
        <v>1447</v>
      </c>
      <c r="F246" t="s">
        <v>2003</v>
      </c>
      <c r="G246" t="s">
        <v>1860</v>
      </c>
      <c r="H246" t="s">
        <v>1799</v>
      </c>
      <c r="I246" t="s">
        <v>1799</v>
      </c>
      <c r="J246" t="s">
        <v>1799</v>
      </c>
      <c r="K246" t="s">
        <v>2004</v>
      </c>
      <c r="L246" t="s">
        <v>1799</v>
      </c>
      <c r="M246" t="s">
        <v>1799</v>
      </c>
      <c r="N246" t="s">
        <v>1799</v>
      </c>
      <c r="O246" s="184" t="str">
        <f>"["&amp;$C246&amp;"]["&amp;$D246&amp;"]["&amp;$F246&amp;"]"</f>
        <v>[S06_InstallationsVerificationReportChecksDetail1][5][FurtherInformation]</v>
      </c>
    </row>
    <row r="247" spans="1:15" x14ac:dyDescent="0.3">
      <c r="A247" t="s">
        <v>1793</v>
      </c>
      <c r="B247" t="s">
        <v>1999</v>
      </c>
      <c r="C247" t="s">
        <v>2001</v>
      </c>
      <c r="D247">
        <v>5</v>
      </c>
      <c r="E247" t="s">
        <v>1447</v>
      </c>
      <c r="F247" t="s">
        <v>2005</v>
      </c>
      <c r="G247" t="s">
        <v>1737</v>
      </c>
      <c r="H247" t="s">
        <v>1799</v>
      </c>
      <c r="I247" t="s">
        <v>1799</v>
      </c>
      <c r="J247" t="s">
        <v>1799</v>
      </c>
      <c r="K247" t="s">
        <v>1799</v>
      </c>
      <c r="L247" t="s">
        <v>1234</v>
      </c>
      <c r="M247" t="s">
        <v>1799</v>
      </c>
      <c r="N247" t="s">
        <v>1799</v>
      </c>
      <c r="O247" s="184" t="str">
        <f>"["&amp;$C247&amp;"]["&amp;$D247&amp;"]["&amp;$F247&amp;"]"</f>
        <v>[S06_InstallationsVerificationReportChecksDetail1][5][SelectingCriteria]</v>
      </c>
    </row>
    <row r="248" spans="1:15" x14ac:dyDescent="0.3">
      <c r="A248" t="s">
        <v>1793</v>
      </c>
      <c r="B248" t="s">
        <v>1999</v>
      </c>
      <c r="C248" t="s">
        <v>2006</v>
      </c>
      <c r="D248">
        <v>1</v>
      </c>
      <c r="E248" t="s">
        <v>1447</v>
      </c>
      <c r="F248" t="s">
        <v>2007</v>
      </c>
      <c r="G248" t="s">
        <v>1811</v>
      </c>
      <c r="H248" t="s">
        <v>1799</v>
      </c>
      <c r="I248">
        <v>0</v>
      </c>
      <c r="J248" t="s">
        <v>1799</v>
      </c>
      <c r="K248" t="s">
        <v>1799</v>
      </c>
      <c r="L248" t="s">
        <v>1799</v>
      </c>
      <c r="M248" t="s">
        <v>1799</v>
      </c>
      <c r="N248" t="s">
        <v>1799</v>
      </c>
      <c r="O248" s="184" t="str">
        <f>"["&amp;$C248&amp;"]["&amp;$D248&amp;"]["&amp;$F248&amp;"]"</f>
        <v>[S06_InstallationsVerificationReportChecksDetail2][1][NumberOfReports]</v>
      </c>
    </row>
    <row r="249" spans="1:15" x14ac:dyDescent="0.3">
      <c r="A249" t="s">
        <v>1793</v>
      </c>
      <c r="B249" t="s">
        <v>1999</v>
      </c>
      <c r="C249" t="s">
        <v>2006</v>
      </c>
      <c r="D249">
        <v>2</v>
      </c>
      <c r="E249" t="s">
        <v>1447</v>
      </c>
      <c r="F249" t="s">
        <v>2007</v>
      </c>
      <c r="G249" t="s">
        <v>1811</v>
      </c>
      <c r="H249" t="s">
        <v>1799</v>
      </c>
      <c r="I249">
        <v>0</v>
      </c>
      <c r="J249" t="s">
        <v>1799</v>
      </c>
      <c r="K249" t="s">
        <v>1799</v>
      </c>
      <c r="L249" t="s">
        <v>1799</v>
      </c>
      <c r="M249" t="s">
        <v>1799</v>
      </c>
      <c r="N249" t="s">
        <v>1799</v>
      </c>
      <c r="O249" s="184" t="str">
        <f>"["&amp;$C249&amp;"]["&amp;$D249&amp;"]["&amp;$F249&amp;"]"</f>
        <v>[S06_InstallationsVerificationReportChecksDetail2][2][NumberOfReports]</v>
      </c>
    </row>
    <row r="250" spans="1:15" x14ac:dyDescent="0.3">
      <c r="A250" t="s">
        <v>1793</v>
      </c>
      <c r="B250" t="s">
        <v>1999</v>
      </c>
      <c r="C250" t="s">
        <v>2008</v>
      </c>
      <c r="D250">
        <v>1</v>
      </c>
      <c r="E250" t="s">
        <v>1447</v>
      </c>
      <c r="F250" t="s">
        <v>2009</v>
      </c>
      <c r="G250" t="s">
        <v>1797</v>
      </c>
      <c r="H250" t="s">
        <v>1852</v>
      </c>
      <c r="I250" t="s">
        <v>1799</v>
      </c>
      <c r="J250" t="s">
        <v>1799</v>
      </c>
      <c r="K250" t="s">
        <v>1799</v>
      </c>
      <c r="L250" t="s">
        <v>1799</v>
      </c>
      <c r="M250" t="s">
        <v>1799</v>
      </c>
      <c r="N250" t="s">
        <v>1799</v>
      </c>
      <c r="O250" s="184" t="str">
        <f>"["&amp;$C250&amp;"]["&amp;$D250&amp;"]["&amp;$F250&amp;"]"</f>
        <v>[S06_InstallationsVerificationReportChecksDetail3][1][ActionsTaken]</v>
      </c>
    </row>
    <row r="251" spans="1:15" x14ac:dyDescent="0.3">
      <c r="A251" t="s">
        <v>1793</v>
      </c>
      <c r="B251" t="s">
        <v>1999</v>
      </c>
      <c r="C251" t="s">
        <v>2008</v>
      </c>
      <c r="D251">
        <v>2</v>
      </c>
      <c r="E251" t="s">
        <v>1419</v>
      </c>
      <c r="F251" t="s">
        <v>2009</v>
      </c>
      <c r="G251" t="s">
        <v>1860</v>
      </c>
      <c r="H251" t="s">
        <v>1799</v>
      </c>
      <c r="I251" t="s">
        <v>1799</v>
      </c>
      <c r="J251" t="s">
        <v>1799</v>
      </c>
      <c r="K251" t="s">
        <v>1852</v>
      </c>
      <c r="L251" t="s">
        <v>1799</v>
      </c>
      <c r="M251" t="s">
        <v>1799</v>
      </c>
      <c r="N251" t="s">
        <v>1799</v>
      </c>
      <c r="O251" s="184" t="str">
        <f>"["&amp;$C251&amp;"]["&amp;$D251&amp;"]["&amp;$F251&amp;"]"</f>
        <v>[S06_InstallationsVerificationReportChecksDetail3][2][ActionsTaken]</v>
      </c>
    </row>
    <row r="252" spans="1:15" x14ac:dyDescent="0.3">
      <c r="A252" t="s">
        <v>1793</v>
      </c>
      <c r="B252" t="s">
        <v>2010</v>
      </c>
      <c r="C252" t="s">
        <v>2011</v>
      </c>
      <c r="D252">
        <v>0</v>
      </c>
      <c r="E252" t="s">
        <v>1447</v>
      </c>
      <c r="F252" t="s">
        <v>2011</v>
      </c>
      <c r="G252" t="s">
        <v>1829</v>
      </c>
      <c r="H252" t="s">
        <v>1799</v>
      </c>
      <c r="I252" t="s">
        <v>1799</v>
      </c>
      <c r="J252" t="s">
        <v>1799</v>
      </c>
      <c r="K252" t="s">
        <v>1799</v>
      </c>
      <c r="L252" t="s">
        <v>1447</v>
      </c>
      <c r="M252" t="s">
        <v>1799</v>
      </c>
      <c r="N252" t="s">
        <v>1799</v>
      </c>
      <c r="O252" s="184" t="str">
        <f>"["&amp;$C252&amp;"]["&amp;$D252&amp;"]["&amp;$F252&amp;"]"</f>
        <v>[InstallationVisitsWaivedHighEmitters][0][InstallationVisitsWaivedHighEmitters]</v>
      </c>
    </row>
    <row r="253" spans="1:15" x14ac:dyDescent="0.3">
      <c r="A253" t="s">
        <v>1793</v>
      </c>
      <c r="B253" t="s">
        <v>2010</v>
      </c>
      <c r="C253" t="s">
        <v>2012</v>
      </c>
      <c r="D253">
        <v>0</v>
      </c>
      <c r="E253" t="s">
        <v>1447</v>
      </c>
      <c r="F253" t="s">
        <v>2012</v>
      </c>
      <c r="G253" t="s">
        <v>1829</v>
      </c>
      <c r="H253" t="s">
        <v>1799</v>
      </c>
      <c r="I253" t="s">
        <v>1799</v>
      </c>
      <c r="J253" t="s">
        <v>1799</v>
      </c>
      <c r="K253" t="s">
        <v>1799</v>
      </c>
      <c r="L253" t="s">
        <v>1447</v>
      </c>
      <c r="M253" t="s">
        <v>1799</v>
      </c>
      <c r="N253" t="s">
        <v>1799</v>
      </c>
      <c r="O253" s="184" t="str">
        <f>"["&amp;$C253&amp;"]["&amp;$D253&amp;"]["&amp;$F253&amp;"]"</f>
        <v>[InstallationsVisitsWaivedLowEmitters][0][InstallationsVisitsWaivedLowEmitters]</v>
      </c>
    </row>
    <row r="254" spans="1:15" x14ac:dyDescent="0.3">
      <c r="A254" t="s">
        <v>1793</v>
      </c>
      <c r="B254" t="s">
        <v>2013</v>
      </c>
      <c r="C254" t="s">
        <v>2014</v>
      </c>
      <c r="D254">
        <v>0</v>
      </c>
      <c r="E254" t="s">
        <v>1447</v>
      </c>
      <c r="F254" t="s">
        <v>2014</v>
      </c>
      <c r="G254" t="s">
        <v>1829</v>
      </c>
      <c r="H254" t="s">
        <v>1799</v>
      </c>
      <c r="I254" t="s">
        <v>1799</v>
      </c>
      <c r="J254" t="s">
        <v>1799</v>
      </c>
      <c r="K254" t="s">
        <v>1799</v>
      </c>
      <c r="L254" t="s">
        <v>1447</v>
      </c>
      <c r="M254" t="s">
        <v>1799</v>
      </c>
      <c r="N254" t="s">
        <v>1799</v>
      </c>
      <c r="O254" s="184" t="str">
        <f>"["&amp;$C254&amp;"]["&amp;$D254&amp;"]["&amp;$F254&amp;"]"</f>
        <v>[VirtualVisitsInstallations][0][VirtualVisitsInstallations]</v>
      </c>
    </row>
    <row r="255" spans="1:15" x14ac:dyDescent="0.3">
      <c r="A255" t="s">
        <v>1793</v>
      </c>
      <c r="B255" t="s">
        <v>2015</v>
      </c>
      <c r="C255" t="s">
        <v>2016</v>
      </c>
      <c r="D255">
        <v>1</v>
      </c>
      <c r="E255" t="s">
        <v>1447</v>
      </c>
      <c r="F255" t="s">
        <v>1992</v>
      </c>
      <c r="G255" t="s">
        <v>1811</v>
      </c>
      <c r="H255" t="s">
        <v>1799</v>
      </c>
      <c r="I255">
        <v>1</v>
      </c>
      <c r="J255" t="s">
        <v>1799</v>
      </c>
      <c r="K255" t="s">
        <v>1799</v>
      </c>
      <c r="L255" t="s">
        <v>1799</v>
      </c>
      <c r="M255" t="s">
        <v>1799</v>
      </c>
      <c r="N255" t="s">
        <v>1799</v>
      </c>
      <c r="O255" s="184" t="str">
        <f>"["&amp;$C255&amp;"]["&amp;$D255&amp;"]["&amp;$F255&amp;"]"</f>
        <v>[S06_NegativeOpinionAircraft][1][CountNegativeOpinions]</v>
      </c>
    </row>
    <row r="256" spans="1:15" x14ac:dyDescent="0.3">
      <c r="A256" t="s">
        <v>1793</v>
      </c>
      <c r="B256" t="s">
        <v>2015</v>
      </c>
      <c r="C256" t="s">
        <v>2016</v>
      </c>
      <c r="D256">
        <v>2</v>
      </c>
      <c r="E256" t="s">
        <v>1447</v>
      </c>
      <c r="F256" t="s">
        <v>1992</v>
      </c>
      <c r="G256" t="s">
        <v>1811</v>
      </c>
      <c r="H256" t="s">
        <v>1799</v>
      </c>
      <c r="I256">
        <v>0</v>
      </c>
      <c r="J256" t="s">
        <v>1799</v>
      </c>
      <c r="K256" t="s">
        <v>1799</v>
      </c>
      <c r="L256" t="s">
        <v>1799</v>
      </c>
      <c r="M256" t="s">
        <v>1799</v>
      </c>
      <c r="N256" t="s">
        <v>1799</v>
      </c>
      <c r="O256" s="184" t="str">
        <f>"["&amp;$C256&amp;"]["&amp;$D256&amp;"]["&amp;$F256&amp;"]"</f>
        <v>[S06_NegativeOpinionAircraft][2][CountNegativeOpinions]</v>
      </c>
    </row>
    <row r="257" spans="1:15" x14ac:dyDescent="0.3">
      <c r="A257" t="s">
        <v>1793</v>
      </c>
      <c r="B257" t="s">
        <v>2015</v>
      </c>
      <c r="C257" t="s">
        <v>2016</v>
      </c>
      <c r="D257">
        <v>3</v>
      </c>
      <c r="E257" t="s">
        <v>1447</v>
      </c>
      <c r="F257" t="s">
        <v>1992</v>
      </c>
      <c r="G257" t="s">
        <v>1811</v>
      </c>
      <c r="H257" t="s">
        <v>1799</v>
      </c>
      <c r="I257">
        <v>0</v>
      </c>
      <c r="J257" t="s">
        <v>1799</v>
      </c>
      <c r="K257" t="s">
        <v>1799</v>
      </c>
      <c r="L257" t="s">
        <v>1799</v>
      </c>
      <c r="M257" t="s">
        <v>1799</v>
      </c>
      <c r="N257" t="s">
        <v>1799</v>
      </c>
      <c r="O257" s="184" t="str">
        <f>"["&amp;$C257&amp;"]["&amp;$D257&amp;"]["&amp;$F257&amp;"]"</f>
        <v>[S06_NegativeOpinionAircraft][3][CountNegativeOpinions]</v>
      </c>
    </row>
    <row r="258" spans="1:15" x14ac:dyDescent="0.3">
      <c r="A258" t="s">
        <v>1793</v>
      </c>
      <c r="B258" t="s">
        <v>2015</v>
      </c>
      <c r="C258" t="s">
        <v>2016</v>
      </c>
      <c r="D258">
        <v>4</v>
      </c>
      <c r="E258" t="s">
        <v>1447</v>
      </c>
      <c r="F258" t="s">
        <v>1992</v>
      </c>
      <c r="G258" t="s">
        <v>1811</v>
      </c>
      <c r="H258" t="s">
        <v>1799</v>
      </c>
      <c r="I258">
        <v>0</v>
      </c>
      <c r="J258" t="s">
        <v>1799</v>
      </c>
      <c r="K258" t="s">
        <v>1799</v>
      </c>
      <c r="L258" t="s">
        <v>1799</v>
      </c>
      <c r="M258" t="s">
        <v>1799</v>
      </c>
      <c r="N258" t="s">
        <v>1799</v>
      </c>
      <c r="O258" s="184" t="str">
        <f>"["&amp;$C258&amp;"]["&amp;$D258&amp;"]["&amp;$F258&amp;"]"</f>
        <v>[S06_NegativeOpinionAircraft][4][CountNegativeOpinions]</v>
      </c>
    </row>
    <row r="259" spans="1:15" x14ac:dyDescent="0.3">
      <c r="A259" t="s">
        <v>1793</v>
      </c>
      <c r="B259" t="s">
        <v>2017</v>
      </c>
      <c r="C259" t="s">
        <v>2018</v>
      </c>
      <c r="D259">
        <v>0</v>
      </c>
      <c r="E259" t="s">
        <v>1447</v>
      </c>
      <c r="F259" t="s">
        <v>2018</v>
      </c>
      <c r="G259" t="s">
        <v>1829</v>
      </c>
      <c r="H259" t="s">
        <v>1799</v>
      </c>
      <c r="I259" t="s">
        <v>1799</v>
      </c>
      <c r="J259" t="s">
        <v>1799</v>
      </c>
      <c r="K259" t="s">
        <v>1799</v>
      </c>
      <c r="L259" t="s">
        <v>1447</v>
      </c>
      <c r="M259" t="s">
        <v>1799</v>
      </c>
      <c r="N259" t="s">
        <v>1799</v>
      </c>
      <c r="O259" s="184" t="str">
        <f>"["&amp;$C259&amp;"]["&amp;$D259&amp;"]["&amp;$F259&amp;"]"</f>
        <v>[AircraftOperatorsVerificationReportIssues][0][AircraftOperatorsVerificationReportIssues]</v>
      </c>
    </row>
    <row r="260" spans="1:15" x14ac:dyDescent="0.3">
      <c r="A260" t="s">
        <v>1793</v>
      </c>
      <c r="B260" t="s">
        <v>2019</v>
      </c>
      <c r="C260" t="s">
        <v>2020</v>
      </c>
      <c r="D260">
        <v>0</v>
      </c>
      <c r="E260" t="s">
        <v>1447</v>
      </c>
      <c r="F260" t="s">
        <v>2020</v>
      </c>
      <c r="G260" t="s">
        <v>1829</v>
      </c>
      <c r="H260" t="s">
        <v>1799</v>
      </c>
      <c r="I260" t="s">
        <v>1799</v>
      </c>
      <c r="J260" t="s">
        <v>1799</v>
      </c>
      <c r="K260" t="s">
        <v>1799</v>
      </c>
      <c r="L260" t="s">
        <v>1419</v>
      </c>
      <c r="M260" t="s">
        <v>1799</v>
      </c>
      <c r="N260" t="s">
        <v>1799</v>
      </c>
      <c r="O260" s="184" t="str">
        <f>"["&amp;$C260&amp;"]["&amp;$D260&amp;"]["&amp;$F260&amp;"]"</f>
        <v>[AircraftOperatorsVerificationReportChecks][0][AircraftOperatorsVerificationReportChecks]</v>
      </c>
    </row>
    <row r="261" spans="1:15" x14ac:dyDescent="0.3">
      <c r="A261" t="s">
        <v>1793</v>
      </c>
      <c r="B261" t="s">
        <v>2019</v>
      </c>
      <c r="C261" t="s">
        <v>2021</v>
      </c>
      <c r="D261">
        <v>1</v>
      </c>
      <c r="E261" t="s">
        <v>1447</v>
      </c>
      <c r="F261" t="s">
        <v>2002</v>
      </c>
      <c r="G261" t="s">
        <v>1878</v>
      </c>
      <c r="H261" t="s">
        <v>1799</v>
      </c>
      <c r="I261" t="s">
        <v>1799</v>
      </c>
      <c r="J261">
        <v>1</v>
      </c>
      <c r="K261" t="s">
        <v>1799</v>
      </c>
      <c r="L261" t="s">
        <v>1799</v>
      </c>
      <c r="M261" t="s">
        <v>1799</v>
      </c>
      <c r="N261" t="s">
        <v>1799</v>
      </c>
      <c r="O261" s="184" t="str">
        <f>"["&amp;$C261&amp;"]["&amp;$D261&amp;"]["&amp;$F261&amp;"]"</f>
        <v>[S06_AircraftOperatorsVerificationEmissionReportChecks1][1][PercentageShare]</v>
      </c>
    </row>
    <row r="262" spans="1:15" x14ac:dyDescent="0.3">
      <c r="A262" t="s">
        <v>1793</v>
      </c>
      <c r="B262" t="s">
        <v>2019</v>
      </c>
      <c r="C262" t="s">
        <v>2021</v>
      </c>
      <c r="D262">
        <v>2</v>
      </c>
      <c r="E262" t="s">
        <v>1447</v>
      </c>
      <c r="F262" t="s">
        <v>2002</v>
      </c>
      <c r="G262" t="s">
        <v>1878</v>
      </c>
      <c r="H262" t="s">
        <v>1799</v>
      </c>
      <c r="I262" t="s">
        <v>1799</v>
      </c>
      <c r="J262">
        <v>1</v>
      </c>
      <c r="K262" t="s">
        <v>1799</v>
      </c>
      <c r="L262" t="s">
        <v>1799</v>
      </c>
      <c r="M262" t="s">
        <v>1799</v>
      </c>
      <c r="N262" t="s">
        <v>1799</v>
      </c>
      <c r="O262" s="184" t="str">
        <f>"["&amp;$C262&amp;"]["&amp;$D262&amp;"]["&amp;$F262&amp;"]"</f>
        <v>[S06_AircraftOperatorsVerificationEmissionReportChecks1][2][PercentageShare]</v>
      </c>
    </row>
    <row r="263" spans="1:15" x14ac:dyDescent="0.3">
      <c r="A263" t="s">
        <v>1793</v>
      </c>
      <c r="B263" t="s">
        <v>2019</v>
      </c>
      <c r="C263" t="s">
        <v>2021</v>
      </c>
      <c r="D263">
        <v>3</v>
      </c>
      <c r="E263" t="s">
        <v>1447</v>
      </c>
      <c r="F263" t="s">
        <v>2002</v>
      </c>
      <c r="G263" t="s">
        <v>1878</v>
      </c>
      <c r="H263" t="s">
        <v>1799</v>
      </c>
      <c r="I263" t="s">
        <v>1799</v>
      </c>
      <c r="J263">
        <v>1</v>
      </c>
      <c r="K263" t="s">
        <v>1799</v>
      </c>
      <c r="L263" t="s">
        <v>1799</v>
      </c>
      <c r="M263" t="s">
        <v>1799</v>
      </c>
      <c r="N263" t="s">
        <v>1799</v>
      </c>
      <c r="O263" s="184" t="str">
        <f>"["&amp;$C263&amp;"]["&amp;$D263&amp;"]["&amp;$F263&amp;"]"</f>
        <v>[S06_AircraftOperatorsVerificationEmissionReportChecks1][3][PercentageShare]</v>
      </c>
    </row>
    <row r="264" spans="1:15" x14ac:dyDescent="0.3">
      <c r="A264" t="s">
        <v>1793</v>
      </c>
      <c r="B264" t="s">
        <v>2019</v>
      </c>
      <c r="C264" t="s">
        <v>2021</v>
      </c>
      <c r="D264">
        <v>4</v>
      </c>
      <c r="E264" t="s">
        <v>1447</v>
      </c>
      <c r="F264" t="s">
        <v>2002</v>
      </c>
      <c r="G264" t="s">
        <v>1878</v>
      </c>
      <c r="H264" t="s">
        <v>1799</v>
      </c>
      <c r="I264" t="s">
        <v>1799</v>
      </c>
      <c r="J264">
        <v>1</v>
      </c>
      <c r="K264" t="s">
        <v>1799</v>
      </c>
      <c r="L264" t="s">
        <v>1799</v>
      </c>
      <c r="M264" t="s">
        <v>1799</v>
      </c>
      <c r="N264" t="s">
        <v>1799</v>
      </c>
      <c r="O264" s="184" t="str">
        <f>"["&amp;$C264&amp;"]["&amp;$D264&amp;"]["&amp;$F264&amp;"]"</f>
        <v>[S06_AircraftOperatorsVerificationEmissionReportChecks1][4][PercentageShare]</v>
      </c>
    </row>
    <row r="265" spans="1:15" x14ac:dyDescent="0.3">
      <c r="A265" t="s">
        <v>1793</v>
      </c>
      <c r="B265" t="s">
        <v>2019</v>
      </c>
      <c r="C265" t="s">
        <v>2021</v>
      </c>
      <c r="D265">
        <v>4</v>
      </c>
      <c r="E265" t="s">
        <v>1447</v>
      </c>
      <c r="F265" t="s">
        <v>2003</v>
      </c>
      <c r="G265" t="s">
        <v>1860</v>
      </c>
      <c r="H265" t="s">
        <v>1799</v>
      </c>
      <c r="I265" t="s">
        <v>1799</v>
      </c>
      <c r="J265" t="s">
        <v>1799</v>
      </c>
      <c r="K265" t="s">
        <v>2022</v>
      </c>
      <c r="L265" t="s">
        <v>1799</v>
      </c>
      <c r="M265" t="s">
        <v>1799</v>
      </c>
      <c r="N265" t="s">
        <v>1799</v>
      </c>
      <c r="O265" s="184" t="str">
        <f>"["&amp;$C265&amp;"]["&amp;$D265&amp;"]["&amp;$F265&amp;"]"</f>
        <v>[S06_AircraftOperatorsVerificationEmissionReportChecks1][4][FurtherInformation]</v>
      </c>
    </row>
    <row r="266" spans="1:15" x14ac:dyDescent="0.3">
      <c r="A266" t="s">
        <v>1793</v>
      </c>
      <c r="B266" t="s">
        <v>2019</v>
      </c>
      <c r="C266" t="s">
        <v>2021</v>
      </c>
      <c r="D266">
        <v>4</v>
      </c>
      <c r="E266" t="s">
        <v>1447</v>
      </c>
      <c r="F266" t="s">
        <v>2005</v>
      </c>
      <c r="G266" t="s">
        <v>1737</v>
      </c>
      <c r="H266" t="s">
        <v>1799</v>
      </c>
      <c r="I266" t="s">
        <v>1799</v>
      </c>
      <c r="J266" t="s">
        <v>1799</v>
      </c>
      <c r="K266" t="s">
        <v>1799</v>
      </c>
      <c r="L266" t="s">
        <v>1527</v>
      </c>
      <c r="M266" t="s">
        <v>1799</v>
      </c>
      <c r="N266" t="s">
        <v>1799</v>
      </c>
      <c r="O266" s="184" t="str">
        <f>"["&amp;$C266&amp;"]["&amp;$D266&amp;"]["&amp;$F266&amp;"]"</f>
        <v>[S06_AircraftOperatorsVerificationEmissionReportChecks1][4][SelectingCriteria]</v>
      </c>
    </row>
    <row r="267" spans="1:15" x14ac:dyDescent="0.3">
      <c r="A267" t="s">
        <v>1793</v>
      </c>
      <c r="B267" t="s">
        <v>2019</v>
      </c>
      <c r="C267" t="s">
        <v>2023</v>
      </c>
      <c r="D267">
        <v>1</v>
      </c>
      <c r="E267" t="s">
        <v>1447</v>
      </c>
      <c r="F267" t="s">
        <v>2007</v>
      </c>
      <c r="G267" t="s">
        <v>1811</v>
      </c>
      <c r="H267" t="s">
        <v>1799</v>
      </c>
      <c r="I267">
        <v>0</v>
      </c>
      <c r="J267" t="s">
        <v>1799</v>
      </c>
      <c r="K267" t="s">
        <v>1799</v>
      </c>
      <c r="L267" t="s">
        <v>1799</v>
      </c>
      <c r="M267" t="s">
        <v>1799</v>
      </c>
      <c r="N267" t="s">
        <v>1799</v>
      </c>
      <c r="O267" s="184" t="str">
        <f>"["&amp;$C267&amp;"]["&amp;$D267&amp;"]["&amp;$F267&amp;"]"</f>
        <v>[S06_AircraftOperatorsVerificationEmissionReportChecks2][1][NumberOfReports]</v>
      </c>
    </row>
    <row r="268" spans="1:15" x14ac:dyDescent="0.3">
      <c r="A268" t="s">
        <v>1793</v>
      </c>
      <c r="B268" t="s">
        <v>2019</v>
      </c>
      <c r="C268" t="s">
        <v>2023</v>
      </c>
      <c r="D268">
        <v>2</v>
      </c>
      <c r="E268" t="s">
        <v>1447</v>
      </c>
      <c r="F268" t="s">
        <v>2007</v>
      </c>
      <c r="G268" t="s">
        <v>1811</v>
      </c>
      <c r="H268" t="s">
        <v>1799</v>
      </c>
      <c r="I268">
        <v>0</v>
      </c>
      <c r="J268" t="s">
        <v>1799</v>
      </c>
      <c r="K268" t="s">
        <v>1799</v>
      </c>
      <c r="L268" t="s">
        <v>1799</v>
      </c>
      <c r="M268" t="s">
        <v>1799</v>
      </c>
      <c r="N268" t="s">
        <v>1799</v>
      </c>
      <c r="O268" s="184" t="str">
        <f>"["&amp;$C268&amp;"]["&amp;$D268&amp;"]["&amp;$F268&amp;"]"</f>
        <v>[S06_AircraftOperatorsVerificationEmissionReportChecks2][2][NumberOfReports]</v>
      </c>
    </row>
    <row r="269" spans="1:15" x14ac:dyDescent="0.3">
      <c r="A269" t="s">
        <v>1793</v>
      </c>
      <c r="B269" t="s">
        <v>2019</v>
      </c>
      <c r="C269" t="s">
        <v>2024</v>
      </c>
      <c r="D269">
        <v>1</v>
      </c>
      <c r="E269" t="s">
        <v>1447</v>
      </c>
      <c r="F269" t="s">
        <v>2009</v>
      </c>
      <c r="G269" t="s">
        <v>1797</v>
      </c>
      <c r="H269" t="s">
        <v>1756</v>
      </c>
      <c r="I269" t="s">
        <v>1799</v>
      </c>
      <c r="J269" t="s">
        <v>1799</v>
      </c>
      <c r="K269" t="s">
        <v>1799</v>
      </c>
      <c r="L269" t="s">
        <v>1799</v>
      </c>
      <c r="M269" t="s">
        <v>1799</v>
      </c>
      <c r="N269" t="s">
        <v>1799</v>
      </c>
      <c r="O269" s="184" t="str">
        <f>"["&amp;$C269&amp;"]["&amp;$D269&amp;"]["&amp;$F269&amp;"]"</f>
        <v>[S06_AircraftOperatorsVerificationEmissionReportChecks3][1][ActionsTaken]</v>
      </c>
    </row>
    <row r="270" spans="1:15" x14ac:dyDescent="0.3">
      <c r="A270" t="s">
        <v>1793</v>
      </c>
      <c r="B270" t="s">
        <v>2019</v>
      </c>
      <c r="C270" t="s">
        <v>2024</v>
      </c>
      <c r="D270">
        <v>2</v>
      </c>
      <c r="E270" t="s">
        <v>1419</v>
      </c>
      <c r="F270" t="s">
        <v>2009</v>
      </c>
      <c r="G270" t="s">
        <v>1860</v>
      </c>
      <c r="H270" t="s">
        <v>1799</v>
      </c>
      <c r="I270" t="s">
        <v>1799</v>
      </c>
      <c r="J270" t="s">
        <v>1799</v>
      </c>
      <c r="K270" t="s">
        <v>1756</v>
      </c>
      <c r="L270" t="s">
        <v>1799</v>
      </c>
      <c r="M270" t="s">
        <v>1799</v>
      </c>
      <c r="N270" t="s">
        <v>1799</v>
      </c>
      <c r="O270" s="184" t="str">
        <f>"["&amp;$C270&amp;"]["&amp;$D270&amp;"]["&amp;$F270&amp;"]"</f>
        <v>[S06_AircraftOperatorsVerificationEmissionReportChecks3][2][ActionsTaken]</v>
      </c>
    </row>
    <row r="271" spans="1:15" x14ac:dyDescent="0.3">
      <c r="A271" t="s">
        <v>1793</v>
      </c>
      <c r="B271" t="s">
        <v>2025</v>
      </c>
      <c r="C271" t="s">
        <v>2026</v>
      </c>
      <c r="D271">
        <v>0</v>
      </c>
      <c r="E271" t="s">
        <v>1447</v>
      </c>
      <c r="F271" t="s">
        <v>2026</v>
      </c>
      <c r="G271" t="s">
        <v>1829</v>
      </c>
      <c r="H271" t="s">
        <v>1799</v>
      </c>
      <c r="I271" t="s">
        <v>1799</v>
      </c>
      <c r="J271" t="s">
        <v>1799</v>
      </c>
      <c r="K271" t="s">
        <v>1799</v>
      </c>
      <c r="L271" t="s">
        <v>1447</v>
      </c>
      <c r="M271" t="s">
        <v>1799</v>
      </c>
      <c r="N271" t="s">
        <v>1799</v>
      </c>
      <c r="O271" s="184" t="str">
        <f>"["&amp;$C271&amp;"]["&amp;$D271&amp;"]["&amp;$F271&amp;"]"</f>
        <v>[AircraftOperatorsVisitsWaivedLowEmitters][0][AircraftOperatorsVisitsWaivedLowEmitters]</v>
      </c>
    </row>
    <row r="272" spans="1:15" x14ac:dyDescent="0.3">
      <c r="A272" t="s">
        <v>1793</v>
      </c>
      <c r="B272" t="s">
        <v>2027</v>
      </c>
      <c r="C272" t="s">
        <v>2028</v>
      </c>
      <c r="D272">
        <v>0</v>
      </c>
      <c r="E272" t="s">
        <v>1447</v>
      </c>
      <c r="F272" t="s">
        <v>2028</v>
      </c>
      <c r="G272" t="s">
        <v>1829</v>
      </c>
      <c r="H272" t="s">
        <v>1799</v>
      </c>
      <c r="I272" t="s">
        <v>1799</v>
      </c>
      <c r="J272" t="s">
        <v>1799</v>
      </c>
      <c r="K272" t="s">
        <v>1799</v>
      </c>
      <c r="L272" t="s">
        <v>1419</v>
      </c>
      <c r="M272" t="s">
        <v>1799</v>
      </c>
      <c r="N272" t="s">
        <v>1799</v>
      </c>
      <c r="O272" s="184" t="str">
        <f>"["&amp;$C272&amp;"]["&amp;$D272&amp;"]["&amp;$F272&amp;"]"</f>
        <v>[VirtualVisitsAircraft][0][VirtualVisitsAircraft]</v>
      </c>
    </row>
    <row r="273" spans="1:15" x14ac:dyDescent="0.3">
      <c r="A273" t="s">
        <v>1793</v>
      </c>
      <c r="B273" t="s">
        <v>2027</v>
      </c>
      <c r="C273" t="s">
        <v>2029</v>
      </c>
      <c r="D273">
        <v>1</v>
      </c>
      <c r="E273" t="s">
        <v>1447</v>
      </c>
      <c r="F273" t="s">
        <v>2030</v>
      </c>
      <c r="G273" t="s">
        <v>1797</v>
      </c>
      <c r="H273" t="s">
        <v>2031</v>
      </c>
      <c r="I273" t="s">
        <v>1799</v>
      </c>
      <c r="J273" t="s">
        <v>1799</v>
      </c>
      <c r="K273" t="s">
        <v>1799</v>
      </c>
      <c r="L273" t="s">
        <v>1799</v>
      </c>
      <c r="M273" t="s">
        <v>1799</v>
      </c>
      <c r="N273" t="s">
        <v>1799</v>
      </c>
      <c r="O273" s="184" t="str">
        <f>"["&amp;$C273&amp;"]["&amp;$D273&amp;"]["&amp;$F273&amp;"]"</f>
        <v>[S06_VirtualVisitsAircraftDetails][1][TypeForceMajeur]</v>
      </c>
    </row>
    <row r="274" spans="1:15" x14ac:dyDescent="0.3">
      <c r="A274" t="s">
        <v>1793</v>
      </c>
      <c r="B274" t="s">
        <v>2027</v>
      </c>
      <c r="C274" t="s">
        <v>2029</v>
      </c>
      <c r="D274">
        <v>1</v>
      </c>
      <c r="E274" t="s">
        <v>1447</v>
      </c>
      <c r="F274" t="s">
        <v>2032</v>
      </c>
      <c r="G274" t="s">
        <v>1811</v>
      </c>
      <c r="H274" t="s">
        <v>1799</v>
      </c>
      <c r="I274">
        <v>13</v>
      </c>
      <c r="J274" t="s">
        <v>1799</v>
      </c>
      <c r="K274" t="s">
        <v>1799</v>
      </c>
      <c r="L274" t="s">
        <v>1799</v>
      </c>
      <c r="M274" t="s">
        <v>1799</v>
      </c>
      <c r="N274" t="s">
        <v>1799</v>
      </c>
      <c r="O274" s="184" t="str">
        <f>"["&amp;$C274&amp;"]["&amp;$D274&amp;"]["&amp;$F274&amp;"]"</f>
        <v>[S06_VirtualVisitsAircraftDetails][1][NumberOfAirOperatorsVV]</v>
      </c>
    </row>
    <row r="275" spans="1:15" x14ac:dyDescent="0.3">
      <c r="A275" t="s">
        <v>1793</v>
      </c>
      <c r="B275" t="s">
        <v>2027</v>
      </c>
      <c r="C275" t="s">
        <v>2029</v>
      </c>
      <c r="D275">
        <v>1</v>
      </c>
      <c r="E275" t="s">
        <v>1447</v>
      </c>
      <c r="F275" t="s">
        <v>2033</v>
      </c>
      <c r="G275" t="s">
        <v>1737</v>
      </c>
      <c r="H275" t="s">
        <v>1799</v>
      </c>
      <c r="I275" t="s">
        <v>1799</v>
      </c>
      <c r="J275" t="s">
        <v>1799</v>
      </c>
      <c r="K275" t="s">
        <v>1799</v>
      </c>
      <c r="L275" t="s">
        <v>1442</v>
      </c>
      <c r="M275" t="s">
        <v>1799</v>
      </c>
      <c r="N275" t="s">
        <v>1799</v>
      </c>
      <c r="O275" s="184" t="str">
        <f>"["&amp;$C275&amp;"]["&amp;$D275&amp;"]["&amp;$F275&amp;"]"</f>
        <v>[S06_VirtualVisitsAircraftDetails][1][AuthorityApproval]</v>
      </c>
    </row>
    <row r="276" spans="1:15" x14ac:dyDescent="0.3">
      <c r="A276" t="s">
        <v>1793</v>
      </c>
      <c r="B276" t="s">
        <v>2027</v>
      </c>
      <c r="C276" t="s">
        <v>2029</v>
      </c>
      <c r="D276">
        <v>1</v>
      </c>
      <c r="E276" t="s">
        <v>1447</v>
      </c>
      <c r="F276" t="s">
        <v>2034</v>
      </c>
      <c r="G276" t="s">
        <v>1797</v>
      </c>
      <c r="H276" t="s">
        <v>2035</v>
      </c>
      <c r="I276" t="s">
        <v>1799</v>
      </c>
      <c r="J276" t="s">
        <v>1799</v>
      </c>
      <c r="K276" t="s">
        <v>1799</v>
      </c>
      <c r="L276" t="s">
        <v>1799</v>
      </c>
      <c r="M276" t="s">
        <v>1799</v>
      </c>
      <c r="N276" t="s">
        <v>1799</v>
      </c>
      <c r="O276" s="184" t="str">
        <f>"["&amp;$C276&amp;"]["&amp;$D276&amp;"]["&amp;$F276&amp;"]"</f>
        <v>[S06_VirtualVisitsAircraftDetails][1][ConfirmationConditionsMet]</v>
      </c>
    </row>
    <row r="277" spans="1:15" x14ac:dyDescent="0.3">
      <c r="A277" t="s">
        <v>1793</v>
      </c>
      <c r="B277" t="s">
        <v>2036</v>
      </c>
      <c r="C277" t="s">
        <v>2037</v>
      </c>
      <c r="D277">
        <v>0</v>
      </c>
      <c r="E277" t="s">
        <v>1447</v>
      </c>
      <c r="F277" t="s">
        <v>2037</v>
      </c>
      <c r="G277" t="s">
        <v>1811</v>
      </c>
      <c r="H277" t="s">
        <v>1799</v>
      </c>
      <c r="I277">
        <v>0</v>
      </c>
      <c r="J277" t="s">
        <v>1799</v>
      </c>
      <c r="K277" t="s">
        <v>1799</v>
      </c>
      <c r="L277" t="s">
        <v>1799</v>
      </c>
      <c r="M277" t="s">
        <v>1799</v>
      </c>
      <c r="N277" t="s">
        <v>1799</v>
      </c>
      <c r="O277" s="184" t="str">
        <f>"["&amp;$C277&amp;"]["&amp;$D277&amp;"]["&amp;$F277&amp;"]"</f>
        <v>[AircraftOperatorsMandateArt15UseNumber][0][AircraftOperatorsMandateArt15UseNumber]</v>
      </c>
    </row>
    <row r="278" spans="1:15" x14ac:dyDescent="0.3">
      <c r="A278" t="s">
        <v>1793</v>
      </c>
      <c r="B278" t="s">
        <v>2038</v>
      </c>
      <c r="C278" t="s">
        <v>2039</v>
      </c>
      <c r="D278">
        <v>0</v>
      </c>
      <c r="E278" t="s">
        <v>1447</v>
      </c>
      <c r="F278" t="s">
        <v>2039</v>
      </c>
      <c r="G278" t="s">
        <v>1829</v>
      </c>
      <c r="H278" t="s">
        <v>1799</v>
      </c>
      <c r="I278" t="s">
        <v>1799</v>
      </c>
      <c r="J278" t="s">
        <v>1799</v>
      </c>
      <c r="K278" t="s">
        <v>1799</v>
      </c>
      <c r="L278" t="s">
        <v>1447</v>
      </c>
      <c r="M278" t="s">
        <v>1799</v>
      </c>
      <c r="N278" t="s">
        <v>1799</v>
      </c>
      <c r="O278" s="184" t="str">
        <f>"["&amp;$C278&amp;"]["&amp;$D278&amp;"]["&amp;$F278&amp;"]"</f>
        <v>[InstallationOperatorFees][0][InstallationOperatorFees]</v>
      </c>
    </row>
    <row r="279" spans="1:15" x14ac:dyDescent="0.3">
      <c r="A279" t="s">
        <v>1793</v>
      </c>
      <c r="B279" t="s">
        <v>2040</v>
      </c>
      <c r="C279" t="s">
        <v>2041</v>
      </c>
      <c r="D279">
        <v>0</v>
      </c>
      <c r="E279" t="s">
        <v>1447</v>
      </c>
      <c r="F279" t="s">
        <v>2041</v>
      </c>
      <c r="G279" t="s">
        <v>1829</v>
      </c>
      <c r="H279" t="s">
        <v>1799</v>
      </c>
      <c r="I279" t="s">
        <v>1799</v>
      </c>
      <c r="J279" t="s">
        <v>1799</v>
      </c>
      <c r="K279" t="s">
        <v>1799</v>
      </c>
      <c r="L279" t="s">
        <v>1447</v>
      </c>
      <c r="M279" t="s">
        <v>1799</v>
      </c>
      <c r="N279" t="s">
        <v>1799</v>
      </c>
      <c r="O279" s="184" t="str">
        <f>"["&amp;$C279&amp;"]["&amp;$D279&amp;"]["&amp;$F279&amp;"]"</f>
        <v>[AircraftOperatorFees][0][AircraftOperatorFees]</v>
      </c>
    </row>
    <row r="280" spans="1:15" x14ac:dyDescent="0.3">
      <c r="A280" t="s">
        <v>1793</v>
      </c>
      <c r="B280" t="s">
        <v>2042</v>
      </c>
      <c r="C280" t="s">
        <v>2043</v>
      </c>
      <c r="D280">
        <v>1</v>
      </c>
      <c r="E280" t="s">
        <v>1447</v>
      </c>
      <c r="F280" t="s">
        <v>2044</v>
      </c>
      <c r="G280" t="s">
        <v>1829</v>
      </c>
      <c r="H280" t="s">
        <v>1799</v>
      </c>
      <c r="I280" t="s">
        <v>1799</v>
      </c>
      <c r="J280" t="s">
        <v>1799</v>
      </c>
      <c r="K280" t="s">
        <v>1799</v>
      </c>
      <c r="L280" t="s">
        <v>1447</v>
      </c>
      <c r="M280" t="s">
        <v>1799</v>
      </c>
      <c r="N280" t="s">
        <v>1799</v>
      </c>
      <c r="O280" s="184" t="str">
        <f>"["&amp;$C280&amp;"]["&amp;$D280&amp;"]["&amp;$F280&amp;"]"</f>
        <v>[S10_InstallationsComplianceMeasures][1][ComplianceMeasuresYesNo]</v>
      </c>
    </row>
    <row r="281" spans="1:15" x14ac:dyDescent="0.3">
      <c r="A281" t="s">
        <v>1793</v>
      </c>
      <c r="B281" t="s">
        <v>2042</v>
      </c>
      <c r="C281" t="s">
        <v>2043</v>
      </c>
      <c r="D281">
        <v>2</v>
      </c>
      <c r="E281" t="s">
        <v>1447</v>
      </c>
      <c r="F281" t="s">
        <v>2044</v>
      </c>
      <c r="G281" t="s">
        <v>1829</v>
      </c>
      <c r="H281" t="s">
        <v>1799</v>
      </c>
      <c r="I281" t="s">
        <v>1799</v>
      </c>
      <c r="J281" t="s">
        <v>1799</v>
      </c>
      <c r="K281" t="s">
        <v>1799</v>
      </c>
      <c r="L281" t="s">
        <v>1447</v>
      </c>
      <c r="M281" t="s">
        <v>1799</v>
      </c>
      <c r="N281" t="s">
        <v>1799</v>
      </c>
      <c r="O281" s="184" t="str">
        <f>"["&amp;$C281&amp;"]["&amp;$D281&amp;"]["&amp;$F281&amp;"]"</f>
        <v>[S10_InstallationsComplianceMeasures][2][ComplianceMeasuresYesNo]</v>
      </c>
    </row>
    <row r="282" spans="1:15" x14ac:dyDescent="0.3">
      <c r="A282" t="s">
        <v>1793</v>
      </c>
      <c r="B282" t="s">
        <v>2042</v>
      </c>
      <c r="C282" t="s">
        <v>2043</v>
      </c>
      <c r="D282">
        <v>3</v>
      </c>
      <c r="E282" t="s">
        <v>1447</v>
      </c>
      <c r="F282" t="s">
        <v>2044</v>
      </c>
      <c r="G282" t="s">
        <v>1829</v>
      </c>
      <c r="H282" t="s">
        <v>1799</v>
      </c>
      <c r="I282" t="s">
        <v>1799</v>
      </c>
      <c r="J282" t="s">
        <v>1799</v>
      </c>
      <c r="K282" t="s">
        <v>1799</v>
      </c>
      <c r="L282" t="s">
        <v>1447</v>
      </c>
      <c r="M282" t="s">
        <v>1799</v>
      </c>
      <c r="N282" t="s">
        <v>1799</v>
      </c>
      <c r="O282" s="184" t="str">
        <f>"["&amp;$C282&amp;"]["&amp;$D282&amp;"]["&amp;$F282&amp;"]"</f>
        <v>[S10_InstallationsComplianceMeasures][3][ComplianceMeasuresYesNo]</v>
      </c>
    </row>
    <row r="283" spans="1:15" x14ac:dyDescent="0.3">
      <c r="A283" t="s">
        <v>1793</v>
      </c>
      <c r="B283" t="s">
        <v>2042</v>
      </c>
      <c r="C283" t="s">
        <v>2043</v>
      </c>
      <c r="D283">
        <v>4</v>
      </c>
      <c r="E283" t="s">
        <v>1447</v>
      </c>
      <c r="F283" t="s">
        <v>2044</v>
      </c>
      <c r="G283" t="s">
        <v>1829</v>
      </c>
      <c r="H283" t="s">
        <v>1799</v>
      </c>
      <c r="I283" t="s">
        <v>1799</v>
      </c>
      <c r="J283" t="s">
        <v>1799</v>
      </c>
      <c r="K283" t="s">
        <v>1799</v>
      </c>
      <c r="L283" t="s">
        <v>1447</v>
      </c>
      <c r="M283" t="s">
        <v>1799</v>
      </c>
      <c r="N283" t="s">
        <v>1799</v>
      </c>
      <c r="O283" s="184" t="str">
        <f>"["&amp;$C283&amp;"]["&amp;$D283&amp;"]["&amp;$F283&amp;"]"</f>
        <v>[S10_InstallationsComplianceMeasures][4][ComplianceMeasuresYesNo]</v>
      </c>
    </row>
    <row r="284" spans="1:15" x14ac:dyDescent="0.3">
      <c r="A284" t="s">
        <v>1793</v>
      </c>
      <c r="B284" t="s">
        <v>2042</v>
      </c>
      <c r="C284" t="s">
        <v>2043</v>
      </c>
      <c r="D284">
        <v>2</v>
      </c>
      <c r="E284" t="s">
        <v>1447</v>
      </c>
      <c r="F284" t="s">
        <v>2045</v>
      </c>
      <c r="G284" t="s">
        <v>1860</v>
      </c>
      <c r="H284" t="s">
        <v>1799</v>
      </c>
      <c r="I284" t="s">
        <v>1799</v>
      </c>
      <c r="J284" t="s">
        <v>1799</v>
      </c>
      <c r="K284" t="s">
        <v>1852</v>
      </c>
      <c r="L284" t="s">
        <v>1799</v>
      </c>
      <c r="M284" t="s">
        <v>1799</v>
      </c>
      <c r="N284" t="s">
        <v>1799</v>
      </c>
      <c r="O284" s="184" t="str">
        <f>"["&amp;$C284&amp;"]["&amp;$D284&amp;"]["&amp;$F284&amp;"]"</f>
        <v>[S10_InstallationsComplianceMeasures][2][ComplianceMeasuresComment]</v>
      </c>
    </row>
    <row r="285" spans="1:15" x14ac:dyDescent="0.3">
      <c r="A285" t="s">
        <v>1793</v>
      </c>
      <c r="B285" t="s">
        <v>2042</v>
      </c>
      <c r="C285" t="s">
        <v>2043</v>
      </c>
      <c r="D285">
        <v>3</v>
      </c>
      <c r="E285" t="s">
        <v>1447</v>
      </c>
      <c r="F285" t="s">
        <v>2045</v>
      </c>
      <c r="G285" t="s">
        <v>1860</v>
      </c>
      <c r="H285" t="s">
        <v>1799</v>
      </c>
      <c r="I285" t="s">
        <v>1799</v>
      </c>
      <c r="J285" t="s">
        <v>1799</v>
      </c>
      <c r="K285" t="s">
        <v>1852</v>
      </c>
      <c r="L285" t="s">
        <v>1799</v>
      </c>
      <c r="M285" t="s">
        <v>1799</v>
      </c>
      <c r="N285" t="s">
        <v>1799</v>
      </c>
      <c r="O285" s="184" t="str">
        <f>"["&amp;$C285&amp;"]["&amp;$D285&amp;"]["&amp;$F285&amp;"]"</f>
        <v>[S10_InstallationsComplianceMeasures][3][ComplianceMeasuresComment]</v>
      </c>
    </row>
    <row r="286" spans="1:15" x14ac:dyDescent="0.3">
      <c r="A286" t="s">
        <v>1793</v>
      </c>
      <c r="B286" t="s">
        <v>2042</v>
      </c>
      <c r="C286" t="s">
        <v>2043</v>
      </c>
      <c r="D286">
        <v>4</v>
      </c>
      <c r="E286" t="s">
        <v>1447</v>
      </c>
      <c r="F286" t="s">
        <v>2045</v>
      </c>
      <c r="G286" t="s">
        <v>1860</v>
      </c>
      <c r="H286" t="s">
        <v>1799</v>
      </c>
      <c r="I286" t="s">
        <v>1799</v>
      </c>
      <c r="J286" t="s">
        <v>1799</v>
      </c>
      <c r="K286" t="s">
        <v>1852</v>
      </c>
      <c r="L286" t="s">
        <v>1799</v>
      </c>
      <c r="M286" t="s">
        <v>1799</v>
      </c>
      <c r="N286" t="s">
        <v>1799</v>
      </c>
      <c r="O286" s="184" t="str">
        <f>"["&amp;$C286&amp;"]["&amp;$D286&amp;"]["&amp;$F286&amp;"]"</f>
        <v>[S10_InstallationsComplianceMeasures][4][ComplianceMeasuresComment]</v>
      </c>
    </row>
    <row r="287" spans="1:15" x14ac:dyDescent="0.3">
      <c r="A287" t="s">
        <v>1793</v>
      </c>
      <c r="B287" t="s">
        <v>2046</v>
      </c>
      <c r="C287" t="s">
        <v>2047</v>
      </c>
      <c r="D287">
        <v>1</v>
      </c>
      <c r="E287" t="s">
        <v>1447</v>
      </c>
      <c r="F287" t="s">
        <v>2048</v>
      </c>
      <c r="G287" t="s">
        <v>1878</v>
      </c>
      <c r="H287" t="s">
        <v>1799</v>
      </c>
      <c r="I287" t="s">
        <v>1799</v>
      </c>
      <c r="J287">
        <v>10000</v>
      </c>
      <c r="K287" t="s">
        <v>1799</v>
      </c>
      <c r="L287" t="s">
        <v>1799</v>
      </c>
      <c r="M287" t="s">
        <v>1799</v>
      </c>
      <c r="N287" t="s">
        <v>1799</v>
      </c>
      <c r="O287" s="184" t="str">
        <f>"["&amp;$C287&amp;"]["&amp;$D287&amp;"]["&amp;$F287&amp;"]"</f>
        <v>[S10_InstallationsInfringementPenalties][1][MinFine]</v>
      </c>
    </row>
    <row r="288" spans="1:15" x14ac:dyDescent="0.3">
      <c r="A288" t="s">
        <v>1793</v>
      </c>
      <c r="B288" t="s">
        <v>2046</v>
      </c>
      <c r="C288" t="s">
        <v>2047</v>
      </c>
      <c r="D288">
        <v>3</v>
      </c>
      <c r="E288" t="s">
        <v>1447</v>
      </c>
      <c r="F288" t="s">
        <v>2048</v>
      </c>
      <c r="G288" t="s">
        <v>1878</v>
      </c>
      <c r="H288" t="s">
        <v>1799</v>
      </c>
      <c r="I288" t="s">
        <v>1799</v>
      </c>
      <c r="J288">
        <v>5000</v>
      </c>
      <c r="K288" t="s">
        <v>1799</v>
      </c>
      <c r="L288" t="s">
        <v>1799</v>
      </c>
      <c r="M288" t="s">
        <v>1799</v>
      </c>
      <c r="N288" t="s">
        <v>1799</v>
      </c>
      <c r="O288" s="184" t="str">
        <f>"["&amp;$C288&amp;"]["&amp;$D288&amp;"]["&amp;$F288&amp;"]"</f>
        <v>[S10_InstallationsInfringementPenalties][3][MinFine]</v>
      </c>
    </row>
    <row r="289" spans="1:15" x14ac:dyDescent="0.3">
      <c r="A289" t="s">
        <v>1793</v>
      </c>
      <c r="B289" t="s">
        <v>2046</v>
      </c>
      <c r="C289" t="s">
        <v>2047</v>
      </c>
      <c r="D289">
        <v>6</v>
      </c>
      <c r="E289" t="s">
        <v>1447</v>
      </c>
      <c r="F289" t="s">
        <v>2048</v>
      </c>
      <c r="G289" t="s">
        <v>1878</v>
      </c>
      <c r="H289" t="s">
        <v>1799</v>
      </c>
      <c r="I289" t="s">
        <v>1799</v>
      </c>
      <c r="J289">
        <v>5000</v>
      </c>
      <c r="K289" t="s">
        <v>1799</v>
      </c>
      <c r="L289" t="s">
        <v>1799</v>
      </c>
      <c r="M289" t="s">
        <v>1799</v>
      </c>
      <c r="N289" t="s">
        <v>1799</v>
      </c>
      <c r="O289" s="184" t="str">
        <f>"["&amp;$C289&amp;"]["&amp;$D289&amp;"]["&amp;$F289&amp;"]"</f>
        <v>[S10_InstallationsInfringementPenalties][6][MinFine]</v>
      </c>
    </row>
    <row r="290" spans="1:15" x14ac:dyDescent="0.3">
      <c r="A290" t="s">
        <v>1793</v>
      </c>
      <c r="B290" t="s">
        <v>2046</v>
      </c>
      <c r="C290" t="s">
        <v>2047</v>
      </c>
      <c r="D290">
        <v>8</v>
      </c>
      <c r="E290" t="s">
        <v>1447</v>
      </c>
      <c r="F290" t="s">
        <v>2048</v>
      </c>
      <c r="G290" t="s">
        <v>1878</v>
      </c>
      <c r="H290" t="s">
        <v>1799</v>
      </c>
      <c r="I290" t="s">
        <v>1799</v>
      </c>
      <c r="J290">
        <v>5000</v>
      </c>
      <c r="K290" t="s">
        <v>1799</v>
      </c>
      <c r="L290" t="s">
        <v>1799</v>
      </c>
      <c r="M290" t="s">
        <v>1799</v>
      </c>
      <c r="N290" t="s">
        <v>1799</v>
      </c>
      <c r="O290" s="184" t="str">
        <f>"["&amp;$C290&amp;"]["&amp;$D290&amp;"]["&amp;$F290&amp;"]"</f>
        <v>[S10_InstallationsInfringementPenalties][8][MinFine]</v>
      </c>
    </row>
    <row r="291" spans="1:15" x14ac:dyDescent="0.3">
      <c r="A291" t="s">
        <v>1793</v>
      </c>
      <c r="B291" t="s">
        <v>2046</v>
      </c>
      <c r="C291" t="s">
        <v>2047</v>
      </c>
      <c r="D291">
        <v>12</v>
      </c>
      <c r="E291" t="s">
        <v>1447</v>
      </c>
      <c r="F291" t="s">
        <v>2048</v>
      </c>
      <c r="G291" t="s">
        <v>1878</v>
      </c>
      <c r="H291" t="s">
        <v>1799</v>
      </c>
      <c r="I291" t="s">
        <v>1799</v>
      </c>
      <c r="J291">
        <v>5000</v>
      </c>
      <c r="K291" t="s">
        <v>1799</v>
      </c>
      <c r="L291" t="s">
        <v>1799</v>
      </c>
      <c r="M291" t="s">
        <v>1799</v>
      </c>
      <c r="N291" t="s">
        <v>1799</v>
      </c>
      <c r="O291" s="184" t="str">
        <f>"["&amp;$C291&amp;"]["&amp;$D291&amp;"]["&amp;$F291&amp;"]"</f>
        <v>[S10_InstallationsInfringementPenalties][12][MinFine]</v>
      </c>
    </row>
    <row r="292" spans="1:15" x14ac:dyDescent="0.3">
      <c r="A292" t="s">
        <v>1793</v>
      </c>
      <c r="B292" t="s">
        <v>2046</v>
      </c>
      <c r="C292" t="s">
        <v>2047</v>
      </c>
      <c r="D292">
        <v>13</v>
      </c>
      <c r="E292" t="s">
        <v>1447</v>
      </c>
      <c r="F292" t="s">
        <v>2048</v>
      </c>
      <c r="G292" t="s">
        <v>1878</v>
      </c>
      <c r="H292" t="s">
        <v>1799</v>
      </c>
      <c r="I292" t="s">
        <v>1799</v>
      </c>
      <c r="J292">
        <v>1000</v>
      </c>
      <c r="K292" t="s">
        <v>1799</v>
      </c>
      <c r="L292" t="s">
        <v>1799</v>
      </c>
      <c r="M292" t="s">
        <v>1799</v>
      </c>
      <c r="N292" t="s">
        <v>1799</v>
      </c>
      <c r="O292" s="184" t="str">
        <f>"["&amp;$C292&amp;"]["&amp;$D292&amp;"]["&amp;$F292&amp;"]"</f>
        <v>[S10_InstallationsInfringementPenalties][13][MinFine]</v>
      </c>
    </row>
    <row r="293" spans="1:15" x14ac:dyDescent="0.3">
      <c r="A293" t="s">
        <v>1793</v>
      </c>
      <c r="B293" t="s">
        <v>2046</v>
      </c>
      <c r="C293" t="s">
        <v>2047</v>
      </c>
      <c r="D293">
        <v>1</v>
      </c>
      <c r="E293" t="s">
        <v>1447</v>
      </c>
      <c r="F293" t="s">
        <v>2049</v>
      </c>
      <c r="G293" t="s">
        <v>1878</v>
      </c>
      <c r="H293" t="s">
        <v>1799</v>
      </c>
      <c r="I293" t="s">
        <v>1799</v>
      </c>
      <c r="J293">
        <v>100000</v>
      </c>
      <c r="K293" t="s">
        <v>1799</v>
      </c>
      <c r="L293" t="s">
        <v>1799</v>
      </c>
      <c r="M293" t="s">
        <v>1799</v>
      </c>
      <c r="N293" t="s">
        <v>1799</v>
      </c>
      <c r="O293" s="184" t="str">
        <f>"["&amp;$C293&amp;"]["&amp;$D293&amp;"]["&amp;$F293&amp;"]"</f>
        <v>[S10_InstallationsInfringementPenalties][1][MaxFine]</v>
      </c>
    </row>
    <row r="294" spans="1:15" x14ac:dyDescent="0.3">
      <c r="A294" t="s">
        <v>1793</v>
      </c>
      <c r="B294" t="s">
        <v>2046</v>
      </c>
      <c r="C294" t="s">
        <v>2047</v>
      </c>
      <c r="D294">
        <v>3</v>
      </c>
      <c r="E294" t="s">
        <v>1447</v>
      </c>
      <c r="F294" t="s">
        <v>2049</v>
      </c>
      <c r="G294" t="s">
        <v>1878</v>
      </c>
      <c r="H294" t="s">
        <v>1799</v>
      </c>
      <c r="I294" t="s">
        <v>1799</v>
      </c>
      <c r="J294">
        <v>50000</v>
      </c>
      <c r="K294" t="s">
        <v>1799</v>
      </c>
      <c r="L294" t="s">
        <v>1799</v>
      </c>
      <c r="M294" t="s">
        <v>1799</v>
      </c>
      <c r="N294" t="s">
        <v>1799</v>
      </c>
      <c r="O294" s="184" t="str">
        <f>"["&amp;$C294&amp;"]["&amp;$D294&amp;"]["&amp;$F294&amp;"]"</f>
        <v>[S10_InstallationsInfringementPenalties][3][MaxFine]</v>
      </c>
    </row>
    <row r="295" spans="1:15" x14ac:dyDescent="0.3">
      <c r="A295" t="s">
        <v>1793</v>
      </c>
      <c r="B295" t="s">
        <v>2046</v>
      </c>
      <c r="C295" t="s">
        <v>2047</v>
      </c>
      <c r="D295">
        <v>6</v>
      </c>
      <c r="E295" t="s">
        <v>1447</v>
      </c>
      <c r="F295" t="s">
        <v>2049</v>
      </c>
      <c r="G295" t="s">
        <v>1878</v>
      </c>
      <c r="H295" t="s">
        <v>1799</v>
      </c>
      <c r="I295" t="s">
        <v>1799</v>
      </c>
      <c r="J295">
        <v>50000</v>
      </c>
      <c r="K295" t="s">
        <v>1799</v>
      </c>
      <c r="L295" t="s">
        <v>1799</v>
      </c>
      <c r="M295" t="s">
        <v>1799</v>
      </c>
      <c r="N295" t="s">
        <v>1799</v>
      </c>
      <c r="O295" s="184" t="str">
        <f>"["&amp;$C295&amp;"]["&amp;$D295&amp;"]["&amp;$F295&amp;"]"</f>
        <v>[S10_InstallationsInfringementPenalties][6][MaxFine]</v>
      </c>
    </row>
    <row r="296" spans="1:15" x14ac:dyDescent="0.3">
      <c r="A296" t="s">
        <v>1793</v>
      </c>
      <c r="B296" t="s">
        <v>2046</v>
      </c>
      <c r="C296" t="s">
        <v>2047</v>
      </c>
      <c r="D296">
        <v>8</v>
      </c>
      <c r="E296" t="s">
        <v>1447</v>
      </c>
      <c r="F296" t="s">
        <v>2049</v>
      </c>
      <c r="G296" t="s">
        <v>1878</v>
      </c>
      <c r="H296" t="s">
        <v>1799</v>
      </c>
      <c r="I296" t="s">
        <v>1799</v>
      </c>
      <c r="J296">
        <v>50000</v>
      </c>
      <c r="K296" t="s">
        <v>1799</v>
      </c>
      <c r="L296" t="s">
        <v>1799</v>
      </c>
      <c r="M296" t="s">
        <v>1799</v>
      </c>
      <c r="N296" t="s">
        <v>1799</v>
      </c>
      <c r="O296" s="184" t="str">
        <f>"["&amp;$C296&amp;"]["&amp;$D296&amp;"]["&amp;$F296&amp;"]"</f>
        <v>[S10_InstallationsInfringementPenalties][8][MaxFine]</v>
      </c>
    </row>
    <row r="297" spans="1:15" x14ac:dyDescent="0.3">
      <c r="A297" t="s">
        <v>1793</v>
      </c>
      <c r="B297" t="s">
        <v>2046</v>
      </c>
      <c r="C297" t="s">
        <v>2047</v>
      </c>
      <c r="D297">
        <v>12</v>
      </c>
      <c r="E297" t="s">
        <v>1447</v>
      </c>
      <c r="F297" t="s">
        <v>2049</v>
      </c>
      <c r="G297" t="s">
        <v>1878</v>
      </c>
      <c r="H297" t="s">
        <v>1799</v>
      </c>
      <c r="I297" t="s">
        <v>1799</v>
      </c>
      <c r="J297">
        <v>50000</v>
      </c>
      <c r="K297" t="s">
        <v>1799</v>
      </c>
      <c r="L297" t="s">
        <v>1799</v>
      </c>
      <c r="M297" t="s">
        <v>1799</v>
      </c>
      <c r="N297" t="s">
        <v>1799</v>
      </c>
      <c r="O297" s="184" t="str">
        <f>"["&amp;$C297&amp;"]["&amp;$D297&amp;"]["&amp;$F297&amp;"]"</f>
        <v>[S10_InstallationsInfringementPenalties][12][MaxFine]</v>
      </c>
    </row>
    <row r="298" spans="1:15" x14ac:dyDescent="0.3">
      <c r="A298" t="s">
        <v>1793</v>
      </c>
      <c r="B298" t="s">
        <v>2046</v>
      </c>
      <c r="C298" t="s">
        <v>2047</v>
      </c>
      <c r="D298">
        <v>13</v>
      </c>
      <c r="E298" t="s">
        <v>1447</v>
      </c>
      <c r="F298" t="s">
        <v>2049</v>
      </c>
      <c r="G298" t="s">
        <v>1878</v>
      </c>
      <c r="H298" t="s">
        <v>1799</v>
      </c>
      <c r="I298" t="s">
        <v>1799</v>
      </c>
      <c r="J298">
        <v>10000</v>
      </c>
      <c r="K298" t="s">
        <v>1799</v>
      </c>
      <c r="L298" t="s">
        <v>1799</v>
      </c>
      <c r="M298" t="s">
        <v>1799</v>
      </c>
      <c r="N298" t="s">
        <v>1799</v>
      </c>
      <c r="O298" s="184" t="str">
        <f>"["&amp;$C298&amp;"]["&amp;$D298&amp;"]["&amp;$F298&amp;"]"</f>
        <v>[S10_InstallationsInfringementPenalties][13][MaxFine]</v>
      </c>
    </row>
    <row r="299" spans="1:15" x14ac:dyDescent="0.3">
      <c r="A299" t="s">
        <v>1793</v>
      </c>
      <c r="B299" t="s">
        <v>2046</v>
      </c>
      <c r="C299" t="s">
        <v>2047</v>
      </c>
      <c r="D299">
        <v>1</v>
      </c>
      <c r="E299" t="s">
        <v>1447</v>
      </c>
      <c r="F299" t="s">
        <v>2050</v>
      </c>
      <c r="G299" t="s">
        <v>1860</v>
      </c>
      <c r="H299" t="s">
        <v>1799</v>
      </c>
      <c r="I299" t="s">
        <v>1799</v>
      </c>
      <c r="J299" t="s">
        <v>1799</v>
      </c>
      <c r="K299" t="s">
        <v>2051</v>
      </c>
      <c r="L299" t="s">
        <v>1799</v>
      </c>
      <c r="M299" t="s">
        <v>1799</v>
      </c>
      <c r="N299" t="s">
        <v>1799</v>
      </c>
      <c r="O299" s="184" t="str">
        <f>"["&amp;$C299&amp;"]["&amp;$D299&amp;"]["&amp;$F299&amp;"]"</f>
        <v>[S10_InstallationsInfringementPenalties][1][OtherPenalty]</v>
      </c>
    </row>
    <row r="300" spans="1:15" x14ac:dyDescent="0.3">
      <c r="A300" t="s">
        <v>1793</v>
      </c>
      <c r="B300" t="s">
        <v>2046</v>
      </c>
      <c r="C300" t="s">
        <v>2047</v>
      </c>
      <c r="D300">
        <v>2</v>
      </c>
      <c r="E300" t="s">
        <v>1447</v>
      </c>
      <c r="F300" t="s">
        <v>2050</v>
      </c>
      <c r="G300" t="s">
        <v>1860</v>
      </c>
      <c r="H300" t="s">
        <v>1799</v>
      </c>
      <c r="I300" t="s">
        <v>1799</v>
      </c>
      <c r="J300" t="s">
        <v>1799</v>
      </c>
      <c r="K300" t="s">
        <v>2052</v>
      </c>
      <c r="L300" t="s">
        <v>1799</v>
      </c>
      <c r="M300" t="s">
        <v>1799</v>
      </c>
      <c r="N300" t="s">
        <v>1799</v>
      </c>
      <c r="O300" s="184" t="str">
        <f>"["&amp;$C300&amp;"]["&amp;$D300&amp;"]["&amp;$F300&amp;"]"</f>
        <v>[S10_InstallationsInfringementPenalties][2][OtherPenalty]</v>
      </c>
    </row>
    <row r="301" spans="1:15" x14ac:dyDescent="0.3">
      <c r="A301" t="s">
        <v>1793</v>
      </c>
      <c r="B301" t="s">
        <v>2046</v>
      </c>
      <c r="C301" t="s">
        <v>2047</v>
      </c>
      <c r="D301">
        <v>3</v>
      </c>
      <c r="E301" t="s">
        <v>1447</v>
      </c>
      <c r="F301" t="s">
        <v>2050</v>
      </c>
      <c r="G301" t="s">
        <v>1860</v>
      </c>
      <c r="H301" t="s">
        <v>1799</v>
      </c>
      <c r="I301" t="s">
        <v>1799</v>
      </c>
      <c r="J301" t="s">
        <v>1799</v>
      </c>
      <c r="K301" t="s">
        <v>2051</v>
      </c>
      <c r="L301" t="s">
        <v>1799</v>
      </c>
      <c r="M301" t="s">
        <v>1799</v>
      </c>
      <c r="N301" t="s">
        <v>1799</v>
      </c>
      <c r="O301" s="184" t="str">
        <f>"["&amp;$C301&amp;"]["&amp;$D301&amp;"]["&amp;$F301&amp;"]"</f>
        <v>[S10_InstallationsInfringementPenalties][3][OtherPenalty]</v>
      </c>
    </row>
    <row r="302" spans="1:15" x14ac:dyDescent="0.3">
      <c r="A302" t="s">
        <v>1793</v>
      </c>
      <c r="B302" t="s">
        <v>2046</v>
      </c>
      <c r="C302" t="s">
        <v>2047</v>
      </c>
      <c r="D302">
        <v>6</v>
      </c>
      <c r="E302" t="s">
        <v>1447</v>
      </c>
      <c r="F302" t="s">
        <v>2050</v>
      </c>
      <c r="G302" t="s">
        <v>1860</v>
      </c>
      <c r="H302" t="s">
        <v>1799</v>
      </c>
      <c r="I302" t="s">
        <v>1799</v>
      </c>
      <c r="J302" t="s">
        <v>1799</v>
      </c>
      <c r="K302" t="s">
        <v>2053</v>
      </c>
      <c r="L302" t="s">
        <v>1799</v>
      </c>
      <c r="M302" t="s">
        <v>1799</v>
      </c>
      <c r="N302" t="s">
        <v>1799</v>
      </c>
      <c r="O302" s="184" t="str">
        <f>"["&amp;$C302&amp;"]["&amp;$D302&amp;"]["&amp;$F302&amp;"]"</f>
        <v>[S10_InstallationsInfringementPenalties][6][OtherPenalty]</v>
      </c>
    </row>
    <row r="303" spans="1:15" x14ac:dyDescent="0.3">
      <c r="A303" t="s">
        <v>1793</v>
      </c>
      <c r="B303" t="s">
        <v>2046</v>
      </c>
      <c r="C303" t="s">
        <v>2047</v>
      </c>
      <c r="D303">
        <v>8</v>
      </c>
      <c r="E303" t="s">
        <v>1447</v>
      </c>
      <c r="F303" t="s">
        <v>2050</v>
      </c>
      <c r="G303" t="s">
        <v>1860</v>
      </c>
      <c r="H303" t="s">
        <v>1799</v>
      </c>
      <c r="I303" t="s">
        <v>1799</v>
      </c>
      <c r="J303" t="s">
        <v>1799</v>
      </c>
      <c r="K303" t="s">
        <v>2051</v>
      </c>
      <c r="L303" t="s">
        <v>1799</v>
      </c>
      <c r="M303" t="s">
        <v>1799</v>
      </c>
      <c r="N303" t="s">
        <v>1799</v>
      </c>
      <c r="O303" s="184" t="str">
        <f>"["&amp;$C303&amp;"]["&amp;$D303&amp;"]["&amp;$F303&amp;"]"</f>
        <v>[S10_InstallationsInfringementPenalties][8][OtherPenalty]</v>
      </c>
    </row>
    <row r="304" spans="1:15" x14ac:dyDescent="0.3">
      <c r="A304" t="s">
        <v>1793</v>
      </c>
      <c r="B304" t="s">
        <v>2046</v>
      </c>
      <c r="C304" t="s">
        <v>2047</v>
      </c>
      <c r="D304">
        <v>12</v>
      </c>
      <c r="E304" t="s">
        <v>1419</v>
      </c>
      <c r="F304" t="s">
        <v>2054</v>
      </c>
      <c r="G304" t="s">
        <v>1860</v>
      </c>
      <c r="H304" t="s">
        <v>1799</v>
      </c>
      <c r="I304" t="s">
        <v>1799</v>
      </c>
      <c r="J304" t="s">
        <v>1799</v>
      </c>
      <c r="K304" t="s">
        <v>2055</v>
      </c>
      <c r="L304" t="s">
        <v>1799</v>
      </c>
      <c r="M304" t="s">
        <v>1799</v>
      </c>
      <c r="N304" t="s">
        <v>1799</v>
      </c>
      <c r="O304" s="184" t="str">
        <f>"["&amp;$C304&amp;"]["&amp;$D304&amp;"]["&amp;$F304&amp;"]"</f>
        <v>[S10_InstallationsInfringementPenalties][12][InfringementOther]</v>
      </c>
    </row>
    <row r="305" spans="1:15" x14ac:dyDescent="0.3">
      <c r="A305" t="s">
        <v>1793</v>
      </c>
      <c r="B305" t="s">
        <v>2046</v>
      </c>
      <c r="C305" t="s">
        <v>2047</v>
      </c>
      <c r="D305">
        <v>13</v>
      </c>
      <c r="E305" t="s">
        <v>1419</v>
      </c>
      <c r="F305" t="s">
        <v>2054</v>
      </c>
      <c r="G305" t="s">
        <v>1860</v>
      </c>
      <c r="H305" t="s">
        <v>1799</v>
      </c>
      <c r="I305" t="s">
        <v>1799</v>
      </c>
      <c r="J305" t="s">
        <v>1799</v>
      </c>
      <c r="K305" t="s">
        <v>2056</v>
      </c>
      <c r="L305" t="s">
        <v>1799</v>
      </c>
      <c r="M305" t="s">
        <v>1799</v>
      </c>
      <c r="N305" t="s">
        <v>1799</v>
      </c>
      <c r="O305" s="184" t="str">
        <f>"["&amp;$C305&amp;"]["&amp;$D305&amp;"]["&amp;$F305&amp;"]"</f>
        <v>[S10_InstallationsInfringementPenalties][13][InfringementOther]</v>
      </c>
    </row>
    <row r="306" spans="1:15" x14ac:dyDescent="0.3">
      <c r="A306" t="s">
        <v>1793</v>
      </c>
      <c r="B306" t="s">
        <v>2046</v>
      </c>
      <c r="C306" t="s">
        <v>2057</v>
      </c>
      <c r="D306">
        <v>0</v>
      </c>
      <c r="E306" t="s">
        <v>1447</v>
      </c>
      <c r="F306" t="s">
        <v>2057</v>
      </c>
      <c r="G306" t="s">
        <v>1797</v>
      </c>
      <c r="H306" t="s">
        <v>2058</v>
      </c>
      <c r="I306" t="s">
        <v>1799</v>
      </c>
      <c r="J306" t="s">
        <v>1799</v>
      </c>
      <c r="K306" t="s">
        <v>1799</v>
      </c>
      <c r="L306" t="s">
        <v>1799</v>
      </c>
      <c r="M306" t="s">
        <v>1799</v>
      </c>
      <c r="N306" t="s">
        <v>1799</v>
      </c>
      <c r="O306" s="184" t="str">
        <f>"["&amp;$C306&amp;"]["&amp;$D306&amp;"]["&amp;$F306&amp;"]"</f>
        <v>[InstallationsNationalLaw][0][InstallationsNationalLaw]</v>
      </c>
    </row>
    <row r="307" spans="1:15" x14ac:dyDescent="0.3">
      <c r="A307" t="s">
        <v>1793</v>
      </c>
      <c r="B307" t="s">
        <v>2059</v>
      </c>
      <c r="C307" t="s">
        <v>2060</v>
      </c>
      <c r="D307">
        <v>1</v>
      </c>
      <c r="E307" t="s">
        <v>1447</v>
      </c>
      <c r="F307" t="s">
        <v>2044</v>
      </c>
      <c r="G307" t="s">
        <v>1829</v>
      </c>
      <c r="H307" t="s">
        <v>1799</v>
      </c>
      <c r="I307" t="s">
        <v>1799</v>
      </c>
      <c r="J307" t="s">
        <v>1799</v>
      </c>
      <c r="K307" t="s">
        <v>1799</v>
      </c>
      <c r="L307" t="s">
        <v>1447</v>
      </c>
      <c r="M307" t="s">
        <v>1799</v>
      </c>
      <c r="N307" t="s">
        <v>1799</v>
      </c>
      <c r="O307" s="184" t="str">
        <f>"["&amp;$C307&amp;"]["&amp;$D307&amp;"]["&amp;$F307&amp;"]"</f>
        <v>[S10_AircraftComplianceMeasures][1][ComplianceMeasuresYesNo]</v>
      </c>
    </row>
    <row r="308" spans="1:15" x14ac:dyDescent="0.3">
      <c r="A308" t="s">
        <v>1793</v>
      </c>
      <c r="B308" t="s">
        <v>2059</v>
      </c>
      <c r="C308" t="s">
        <v>2060</v>
      </c>
      <c r="D308">
        <v>2</v>
      </c>
      <c r="E308" t="s">
        <v>1447</v>
      </c>
      <c r="F308" t="s">
        <v>2044</v>
      </c>
      <c r="G308" t="s">
        <v>1829</v>
      </c>
      <c r="H308" t="s">
        <v>1799</v>
      </c>
      <c r="I308" t="s">
        <v>1799</v>
      </c>
      <c r="J308" t="s">
        <v>1799</v>
      </c>
      <c r="K308" t="s">
        <v>1799</v>
      </c>
      <c r="L308" t="s">
        <v>1447</v>
      </c>
      <c r="M308" t="s">
        <v>1799</v>
      </c>
      <c r="N308" t="s">
        <v>1799</v>
      </c>
      <c r="O308" s="184" t="str">
        <f>"["&amp;$C308&amp;"]["&amp;$D308&amp;"]["&amp;$F308&amp;"]"</f>
        <v>[S10_AircraftComplianceMeasures][2][ComplianceMeasuresYesNo]</v>
      </c>
    </row>
    <row r="309" spans="1:15" x14ac:dyDescent="0.3">
      <c r="A309" t="s">
        <v>1793</v>
      </c>
      <c r="B309" t="s">
        <v>2059</v>
      </c>
      <c r="C309" t="s">
        <v>2060</v>
      </c>
      <c r="D309">
        <v>3</v>
      </c>
      <c r="E309" t="s">
        <v>1447</v>
      </c>
      <c r="F309" t="s">
        <v>2044</v>
      </c>
      <c r="G309" t="s">
        <v>1829</v>
      </c>
      <c r="H309" t="s">
        <v>1799</v>
      </c>
      <c r="I309" t="s">
        <v>1799</v>
      </c>
      <c r="J309" t="s">
        <v>1799</v>
      </c>
      <c r="K309" t="s">
        <v>1799</v>
      </c>
      <c r="L309" t="s">
        <v>1447</v>
      </c>
      <c r="M309" t="s">
        <v>1799</v>
      </c>
      <c r="N309" t="s">
        <v>1799</v>
      </c>
      <c r="O309" s="184" t="str">
        <f>"["&amp;$C309&amp;"]["&amp;$D309&amp;"]["&amp;$F309&amp;"]"</f>
        <v>[S10_AircraftComplianceMeasures][3][ComplianceMeasuresYesNo]</v>
      </c>
    </row>
    <row r="310" spans="1:15" x14ac:dyDescent="0.3">
      <c r="A310" t="s">
        <v>1793</v>
      </c>
      <c r="B310" t="s">
        <v>2059</v>
      </c>
      <c r="C310" t="s">
        <v>2060</v>
      </c>
      <c r="D310">
        <v>4</v>
      </c>
      <c r="E310" t="s">
        <v>1447</v>
      </c>
      <c r="F310" t="s">
        <v>2044</v>
      </c>
      <c r="G310" t="s">
        <v>1829</v>
      </c>
      <c r="H310" t="s">
        <v>1799</v>
      </c>
      <c r="I310" t="s">
        <v>1799</v>
      </c>
      <c r="J310" t="s">
        <v>1799</v>
      </c>
      <c r="K310" t="s">
        <v>1799</v>
      </c>
      <c r="L310" t="s">
        <v>1447</v>
      </c>
      <c r="M310" t="s">
        <v>1799</v>
      </c>
      <c r="N310" t="s">
        <v>1799</v>
      </c>
      <c r="O310" s="184" t="str">
        <f>"["&amp;$C310&amp;"]["&amp;$D310&amp;"]["&amp;$F310&amp;"]"</f>
        <v>[S10_AircraftComplianceMeasures][4][ComplianceMeasuresYesNo]</v>
      </c>
    </row>
    <row r="311" spans="1:15" x14ac:dyDescent="0.3">
      <c r="A311" t="s">
        <v>1793</v>
      </c>
      <c r="B311" t="s">
        <v>2059</v>
      </c>
      <c r="C311" t="s">
        <v>2060</v>
      </c>
      <c r="D311">
        <v>2</v>
      </c>
      <c r="E311" t="s">
        <v>1447</v>
      </c>
      <c r="F311" t="s">
        <v>2045</v>
      </c>
      <c r="G311" t="s">
        <v>1860</v>
      </c>
      <c r="H311" t="s">
        <v>1799</v>
      </c>
      <c r="I311" t="s">
        <v>1799</v>
      </c>
      <c r="J311" t="s">
        <v>1799</v>
      </c>
      <c r="K311" t="s">
        <v>1756</v>
      </c>
      <c r="L311" t="s">
        <v>1799</v>
      </c>
      <c r="M311" t="s">
        <v>1799</v>
      </c>
      <c r="N311" t="s">
        <v>1799</v>
      </c>
      <c r="O311" s="184" t="str">
        <f>"["&amp;$C311&amp;"]["&amp;$D311&amp;"]["&amp;$F311&amp;"]"</f>
        <v>[S10_AircraftComplianceMeasures][2][ComplianceMeasuresComment]</v>
      </c>
    </row>
    <row r="312" spans="1:15" x14ac:dyDescent="0.3">
      <c r="A312" t="s">
        <v>1793</v>
      </c>
      <c r="B312" t="s">
        <v>2059</v>
      </c>
      <c r="C312" t="s">
        <v>2060</v>
      </c>
      <c r="D312">
        <v>3</v>
      </c>
      <c r="E312" t="s">
        <v>1447</v>
      </c>
      <c r="F312" t="s">
        <v>2045</v>
      </c>
      <c r="G312" t="s">
        <v>1860</v>
      </c>
      <c r="H312" t="s">
        <v>1799</v>
      </c>
      <c r="I312" t="s">
        <v>1799</v>
      </c>
      <c r="J312" t="s">
        <v>1799</v>
      </c>
      <c r="K312" t="s">
        <v>1756</v>
      </c>
      <c r="L312" t="s">
        <v>1799</v>
      </c>
      <c r="M312" t="s">
        <v>1799</v>
      </c>
      <c r="N312" t="s">
        <v>1799</v>
      </c>
      <c r="O312" s="184" t="str">
        <f>"["&amp;$C312&amp;"]["&amp;$D312&amp;"]["&amp;$F312&amp;"]"</f>
        <v>[S10_AircraftComplianceMeasures][3][ComplianceMeasuresComment]</v>
      </c>
    </row>
    <row r="313" spans="1:15" x14ac:dyDescent="0.3">
      <c r="A313" t="s">
        <v>1793</v>
      </c>
      <c r="B313" t="s">
        <v>2059</v>
      </c>
      <c r="C313" t="s">
        <v>2060</v>
      </c>
      <c r="D313">
        <v>4</v>
      </c>
      <c r="E313" t="s">
        <v>1447</v>
      </c>
      <c r="F313" t="s">
        <v>2045</v>
      </c>
      <c r="G313" t="s">
        <v>1860</v>
      </c>
      <c r="H313" t="s">
        <v>1799</v>
      </c>
      <c r="I313" t="s">
        <v>1799</v>
      </c>
      <c r="J313" t="s">
        <v>1799</v>
      </c>
      <c r="K313" t="s">
        <v>1756</v>
      </c>
      <c r="L313" t="s">
        <v>1799</v>
      </c>
      <c r="M313" t="s">
        <v>1799</v>
      </c>
      <c r="N313" t="s">
        <v>1799</v>
      </c>
      <c r="O313" s="184" t="str">
        <f>"["&amp;$C313&amp;"]["&amp;$D313&amp;"]["&amp;$F313&amp;"]"</f>
        <v>[S10_AircraftComplianceMeasures][4][ComplianceMeasuresComment]</v>
      </c>
    </row>
    <row r="314" spans="1:15" x14ac:dyDescent="0.3">
      <c r="A314" t="s">
        <v>1793</v>
      </c>
      <c r="B314" t="s">
        <v>2061</v>
      </c>
      <c r="C314" t="s">
        <v>2062</v>
      </c>
      <c r="D314">
        <v>1</v>
      </c>
      <c r="E314" t="s">
        <v>1447</v>
      </c>
      <c r="F314" t="s">
        <v>2048</v>
      </c>
      <c r="G314" t="s">
        <v>1878</v>
      </c>
      <c r="H314" t="s">
        <v>1799</v>
      </c>
      <c r="I314" t="s">
        <v>1799</v>
      </c>
      <c r="J314">
        <v>1000</v>
      </c>
      <c r="K314" t="s">
        <v>1799</v>
      </c>
      <c r="L314" t="s">
        <v>1799</v>
      </c>
      <c r="M314" t="s">
        <v>1799</v>
      </c>
      <c r="N314" t="s">
        <v>1799</v>
      </c>
      <c r="O314" s="184" t="str">
        <f>"["&amp;$C314&amp;"]["&amp;$D314&amp;"]["&amp;$F314&amp;"]"</f>
        <v>[S10_AircraftInfringementPenalties][1][MinFine]</v>
      </c>
    </row>
    <row r="315" spans="1:15" x14ac:dyDescent="0.3">
      <c r="A315" t="s">
        <v>1793</v>
      </c>
      <c r="B315" t="s">
        <v>2061</v>
      </c>
      <c r="C315" t="s">
        <v>2062</v>
      </c>
      <c r="D315">
        <v>3</v>
      </c>
      <c r="E315" t="s">
        <v>1447</v>
      </c>
      <c r="F315" t="s">
        <v>2048</v>
      </c>
      <c r="G315" t="s">
        <v>1878</v>
      </c>
      <c r="H315" t="s">
        <v>1799</v>
      </c>
      <c r="I315" t="s">
        <v>1799</v>
      </c>
      <c r="J315">
        <v>1000</v>
      </c>
      <c r="K315" t="s">
        <v>1799</v>
      </c>
      <c r="L315" t="s">
        <v>1799</v>
      </c>
      <c r="M315" t="s">
        <v>1799</v>
      </c>
      <c r="N315" t="s">
        <v>1799</v>
      </c>
      <c r="O315" s="184" t="str">
        <f>"["&amp;$C315&amp;"]["&amp;$D315&amp;"]["&amp;$F315&amp;"]"</f>
        <v>[S10_AircraftInfringementPenalties][3][MinFine]</v>
      </c>
    </row>
    <row r="316" spans="1:15" x14ac:dyDescent="0.3">
      <c r="A316" t="s">
        <v>1793</v>
      </c>
      <c r="B316" t="s">
        <v>2061</v>
      </c>
      <c r="C316" t="s">
        <v>2062</v>
      </c>
      <c r="D316">
        <v>6</v>
      </c>
      <c r="E316" t="s">
        <v>1447</v>
      </c>
      <c r="F316" t="s">
        <v>2048</v>
      </c>
      <c r="G316" t="s">
        <v>1878</v>
      </c>
      <c r="H316" t="s">
        <v>1799</v>
      </c>
      <c r="I316" t="s">
        <v>1799</v>
      </c>
      <c r="J316">
        <v>1000</v>
      </c>
      <c r="K316" t="s">
        <v>1799</v>
      </c>
      <c r="L316" t="s">
        <v>1799</v>
      </c>
      <c r="M316" t="s">
        <v>1799</v>
      </c>
      <c r="N316" t="s">
        <v>1799</v>
      </c>
      <c r="O316" s="184" t="str">
        <f>"["&amp;$C316&amp;"]["&amp;$D316&amp;"]["&amp;$F316&amp;"]"</f>
        <v>[S10_AircraftInfringementPenalties][6][MinFine]</v>
      </c>
    </row>
    <row r="317" spans="1:15" x14ac:dyDescent="0.3">
      <c r="A317" t="s">
        <v>1793</v>
      </c>
      <c r="B317" t="s">
        <v>2061</v>
      </c>
      <c r="C317" t="s">
        <v>2062</v>
      </c>
      <c r="D317">
        <v>1</v>
      </c>
      <c r="E317" t="s">
        <v>1447</v>
      </c>
      <c r="F317" t="s">
        <v>2049</v>
      </c>
      <c r="G317" t="s">
        <v>1878</v>
      </c>
      <c r="H317" t="s">
        <v>1799</v>
      </c>
      <c r="I317" t="s">
        <v>1799</v>
      </c>
      <c r="J317">
        <v>50000</v>
      </c>
      <c r="K317" t="s">
        <v>1799</v>
      </c>
      <c r="L317" t="s">
        <v>1799</v>
      </c>
      <c r="M317" t="s">
        <v>1799</v>
      </c>
      <c r="N317" t="s">
        <v>1799</v>
      </c>
      <c r="O317" s="184" t="str">
        <f>"["&amp;$C317&amp;"]["&amp;$D317&amp;"]["&amp;$F317&amp;"]"</f>
        <v>[S10_AircraftInfringementPenalties][1][MaxFine]</v>
      </c>
    </row>
    <row r="318" spans="1:15" x14ac:dyDescent="0.3">
      <c r="A318" t="s">
        <v>1793</v>
      </c>
      <c r="B318" t="s">
        <v>2061</v>
      </c>
      <c r="C318" t="s">
        <v>2062</v>
      </c>
      <c r="D318">
        <v>3</v>
      </c>
      <c r="E318" t="s">
        <v>1447</v>
      </c>
      <c r="F318" t="s">
        <v>2049</v>
      </c>
      <c r="G318" t="s">
        <v>1878</v>
      </c>
      <c r="H318" t="s">
        <v>1799</v>
      </c>
      <c r="I318" t="s">
        <v>1799</v>
      </c>
      <c r="J318">
        <v>50000</v>
      </c>
      <c r="K318" t="s">
        <v>1799</v>
      </c>
      <c r="L318" t="s">
        <v>1799</v>
      </c>
      <c r="M318" t="s">
        <v>1799</v>
      </c>
      <c r="N318" t="s">
        <v>1799</v>
      </c>
      <c r="O318" s="184" t="str">
        <f>"["&amp;$C318&amp;"]["&amp;$D318&amp;"]["&amp;$F318&amp;"]"</f>
        <v>[S10_AircraftInfringementPenalties][3][MaxFine]</v>
      </c>
    </row>
    <row r="319" spans="1:15" x14ac:dyDescent="0.3">
      <c r="A319" t="s">
        <v>1793</v>
      </c>
      <c r="B319" t="s">
        <v>2061</v>
      </c>
      <c r="C319" t="s">
        <v>2062</v>
      </c>
      <c r="D319">
        <v>6</v>
      </c>
      <c r="E319" t="s">
        <v>1447</v>
      </c>
      <c r="F319" t="s">
        <v>2049</v>
      </c>
      <c r="G319" t="s">
        <v>1878</v>
      </c>
      <c r="H319" t="s">
        <v>1799</v>
      </c>
      <c r="I319" t="s">
        <v>1799</v>
      </c>
      <c r="J319">
        <v>50000</v>
      </c>
      <c r="K319" t="s">
        <v>1799</v>
      </c>
      <c r="L319" t="s">
        <v>1799</v>
      </c>
      <c r="M319" t="s">
        <v>1799</v>
      </c>
      <c r="N319" t="s">
        <v>1799</v>
      </c>
      <c r="O319" s="184" t="str">
        <f>"["&amp;$C319&amp;"]["&amp;$D319&amp;"]["&amp;$F319&amp;"]"</f>
        <v>[S10_AircraftInfringementPenalties][6][MaxFine]</v>
      </c>
    </row>
    <row r="320" spans="1:15" x14ac:dyDescent="0.3">
      <c r="A320" t="s">
        <v>1793</v>
      </c>
      <c r="B320" t="s">
        <v>2061</v>
      </c>
      <c r="C320" t="s">
        <v>2062</v>
      </c>
      <c r="D320">
        <v>1</v>
      </c>
      <c r="E320" t="s">
        <v>1447</v>
      </c>
      <c r="F320" t="s">
        <v>2050</v>
      </c>
      <c r="G320" t="s">
        <v>1860</v>
      </c>
      <c r="H320" t="s">
        <v>1799</v>
      </c>
      <c r="I320" t="s">
        <v>1799</v>
      </c>
      <c r="J320" t="s">
        <v>1799</v>
      </c>
      <c r="K320" t="s">
        <v>2063</v>
      </c>
      <c r="L320" t="s">
        <v>1799</v>
      </c>
      <c r="M320" t="s">
        <v>1799</v>
      </c>
      <c r="N320" t="s">
        <v>1799</v>
      </c>
      <c r="O320" s="184" t="str">
        <f>"["&amp;$C320&amp;"]["&amp;$D320&amp;"]["&amp;$F320&amp;"]"</f>
        <v>[S10_AircraftInfringementPenalties][1][OtherPenalty]</v>
      </c>
    </row>
    <row r="321" spans="1:15" x14ac:dyDescent="0.3">
      <c r="A321" t="s">
        <v>1793</v>
      </c>
      <c r="B321" t="s">
        <v>2061</v>
      </c>
      <c r="C321" t="s">
        <v>2062</v>
      </c>
      <c r="D321">
        <v>3</v>
      </c>
      <c r="E321" t="s">
        <v>1447</v>
      </c>
      <c r="F321" t="s">
        <v>2050</v>
      </c>
      <c r="G321" t="s">
        <v>1860</v>
      </c>
      <c r="H321" t="s">
        <v>1799</v>
      </c>
      <c r="I321" t="s">
        <v>1799</v>
      </c>
      <c r="J321" t="s">
        <v>1799</v>
      </c>
      <c r="K321" t="s">
        <v>2063</v>
      </c>
      <c r="L321" t="s">
        <v>1799</v>
      </c>
      <c r="M321" t="s">
        <v>1799</v>
      </c>
      <c r="N321" t="s">
        <v>1799</v>
      </c>
      <c r="O321" s="184" t="str">
        <f>"["&amp;$C321&amp;"]["&amp;$D321&amp;"]["&amp;$F321&amp;"]"</f>
        <v>[S10_AircraftInfringementPenalties][3][OtherPenalty]</v>
      </c>
    </row>
    <row r="322" spans="1:15" x14ac:dyDescent="0.3">
      <c r="A322" t="s">
        <v>1793</v>
      </c>
      <c r="B322" t="s">
        <v>2061</v>
      </c>
      <c r="C322" t="s">
        <v>2062</v>
      </c>
      <c r="D322">
        <v>6</v>
      </c>
      <c r="E322" t="s">
        <v>1447</v>
      </c>
      <c r="F322" t="s">
        <v>2050</v>
      </c>
      <c r="G322" t="s">
        <v>1860</v>
      </c>
      <c r="H322" t="s">
        <v>1799</v>
      </c>
      <c r="I322" t="s">
        <v>1799</v>
      </c>
      <c r="J322" t="s">
        <v>1799</v>
      </c>
      <c r="K322" t="s">
        <v>2063</v>
      </c>
      <c r="L322" t="s">
        <v>1799</v>
      </c>
      <c r="M322" t="s">
        <v>1799</v>
      </c>
      <c r="N322" t="s">
        <v>1799</v>
      </c>
      <c r="O322" s="184" t="str">
        <f>"["&amp;$C322&amp;"]["&amp;$D322&amp;"]["&amp;$F322&amp;"]"</f>
        <v>[S10_AircraftInfringementPenalties][6][OtherPenalty]</v>
      </c>
    </row>
    <row r="323" spans="1:15" x14ac:dyDescent="0.3">
      <c r="A323" t="s">
        <v>1793</v>
      </c>
      <c r="B323" t="s">
        <v>2061</v>
      </c>
      <c r="C323" t="s">
        <v>2064</v>
      </c>
      <c r="D323">
        <v>0</v>
      </c>
      <c r="E323" t="s">
        <v>1447</v>
      </c>
      <c r="F323" t="s">
        <v>2064</v>
      </c>
      <c r="G323" t="s">
        <v>1797</v>
      </c>
      <c r="H323" t="s">
        <v>2065</v>
      </c>
      <c r="I323" t="s">
        <v>1799</v>
      </c>
      <c r="J323" t="s">
        <v>1799</v>
      </c>
      <c r="K323" t="s">
        <v>1799</v>
      </c>
      <c r="L323" t="s">
        <v>1799</v>
      </c>
      <c r="M323" t="s">
        <v>1799</v>
      </c>
      <c r="N323" t="s">
        <v>1799</v>
      </c>
      <c r="O323" s="184" t="str">
        <f>"["&amp;$C323&amp;"]["&amp;$D323&amp;"]["&amp;$F323&amp;"]"</f>
        <v>[AircraftNationalLaw][0][AircraftNationalLaw]</v>
      </c>
    </row>
    <row r="324" spans="1:15" x14ac:dyDescent="0.3">
      <c r="A324" t="s">
        <v>1793</v>
      </c>
      <c r="B324" t="s">
        <v>2066</v>
      </c>
      <c r="C324" t="s">
        <v>2067</v>
      </c>
      <c r="D324">
        <v>0</v>
      </c>
      <c r="E324" t="s">
        <v>1447</v>
      </c>
      <c r="F324" t="s">
        <v>2067</v>
      </c>
      <c r="G324" t="s">
        <v>1797</v>
      </c>
      <c r="H324" t="s">
        <v>2068</v>
      </c>
      <c r="I324" t="s">
        <v>1799</v>
      </c>
      <c r="J324" t="s">
        <v>1799</v>
      </c>
      <c r="K324" t="s">
        <v>1799</v>
      </c>
      <c r="L324" t="s">
        <v>1799</v>
      </c>
      <c r="M324" t="s">
        <v>1799</v>
      </c>
      <c r="N324" t="s">
        <v>1799</v>
      </c>
      <c r="O324" s="184" t="str">
        <f>"["&amp;$C324&amp;"]["&amp;$D324&amp;"]["&amp;$F324&amp;"]"</f>
        <v>[OperatingBanRequestMeasures][0][OperatingBanRequestMeasures]</v>
      </c>
    </row>
    <row r="325" spans="1:15" x14ac:dyDescent="0.3">
      <c r="A325" t="s">
        <v>1793</v>
      </c>
      <c r="B325" t="s">
        <v>2069</v>
      </c>
      <c r="C325" t="s">
        <v>2070</v>
      </c>
      <c r="D325">
        <v>0</v>
      </c>
      <c r="E325" t="s">
        <v>1447</v>
      </c>
      <c r="F325" t="s">
        <v>2070</v>
      </c>
      <c r="G325" t="s">
        <v>1797</v>
      </c>
      <c r="H325" t="s">
        <v>2071</v>
      </c>
      <c r="I325" t="s">
        <v>1799</v>
      </c>
      <c r="J325" t="s">
        <v>1799</v>
      </c>
      <c r="K325" t="s">
        <v>1799</v>
      </c>
      <c r="L325" t="s">
        <v>1799</v>
      </c>
      <c r="M325" t="s">
        <v>1799</v>
      </c>
      <c r="N325" t="s">
        <v>1799</v>
      </c>
      <c r="O325" s="184" t="str">
        <f>"["&amp;$C325&amp;"]["&amp;$D325&amp;"]["&amp;$F325&amp;"]"</f>
        <v>[LegalNatureOfEmissionAllowance][0][LegalNatureOfEmissionAllowance]</v>
      </c>
    </row>
    <row r="326" spans="1:15" x14ac:dyDescent="0.3">
      <c r="A326" t="s">
        <v>1793</v>
      </c>
      <c r="B326" t="s">
        <v>2072</v>
      </c>
      <c r="C326" t="s">
        <v>2073</v>
      </c>
      <c r="D326">
        <v>0</v>
      </c>
      <c r="E326" t="s">
        <v>1447</v>
      </c>
      <c r="F326" t="s">
        <v>2073</v>
      </c>
      <c r="G326" t="s">
        <v>1797</v>
      </c>
      <c r="H326" t="s">
        <v>2074</v>
      </c>
      <c r="I326" t="s">
        <v>1799</v>
      </c>
      <c r="J326" t="s">
        <v>1799</v>
      </c>
      <c r="K326" t="s">
        <v>1799</v>
      </c>
      <c r="L326" t="s">
        <v>1799</v>
      </c>
      <c r="M326" t="s">
        <v>1799</v>
      </c>
      <c r="N326" t="s">
        <v>1799</v>
      </c>
      <c r="O326" s="184" t="str">
        <f>"["&amp;$C326&amp;"]["&amp;$D326&amp;"]["&amp;$F326&amp;"]"</f>
        <v>[AccountingTreatmentOfEmissionAllowances][0][AccountingTreatmentOfEmissionAllowances]</v>
      </c>
    </row>
    <row r="327" spans="1:15" x14ac:dyDescent="0.3">
      <c r="A327" t="s">
        <v>1793</v>
      </c>
      <c r="B327" t="s">
        <v>2075</v>
      </c>
      <c r="C327" t="s">
        <v>2076</v>
      </c>
      <c r="D327">
        <v>0</v>
      </c>
      <c r="E327" t="s">
        <v>1447</v>
      </c>
      <c r="F327" t="s">
        <v>2076</v>
      </c>
      <c r="G327" t="s">
        <v>1829</v>
      </c>
      <c r="H327" t="s">
        <v>1799</v>
      </c>
      <c r="I327" t="s">
        <v>1799</v>
      </c>
      <c r="J327" t="s">
        <v>1799</v>
      </c>
      <c r="K327" t="s">
        <v>1799</v>
      </c>
      <c r="L327" t="s">
        <v>1419</v>
      </c>
      <c r="M327" t="s">
        <v>1799</v>
      </c>
      <c r="N327" t="s">
        <v>1799</v>
      </c>
      <c r="O327" s="184" t="str">
        <f>"["&amp;$C327&amp;"]["&amp;$D327&amp;"]["&amp;$F327&amp;"]"</f>
        <v>[VATdueEmissionAllowancesIssuance][0][VATdueEmissionAllowancesIssuance]</v>
      </c>
    </row>
    <row r="328" spans="1:15" x14ac:dyDescent="0.3">
      <c r="A328" t="s">
        <v>1793</v>
      </c>
      <c r="B328" t="s">
        <v>2075</v>
      </c>
      <c r="C328" t="s">
        <v>2077</v>
      </c>
      <c r="D328">
        <v>0</v>
      </c>
      <c r="E328" t="s">
        <v>1447</v>
      </c>
      <c r="F328" t="s">
        <v>2077</v>
      </c>
      <c r="G328" t="s">
        <v>1829</v>
      </c>
      <c r="H328" t="s">
        <v>1799</v>
      </c>
      <c r="I328" t="s">
        <v>1799</v>
      </c>
      <c r="J328" t="s">
        <v>1799</v>
      </c>
      <c r="K328" t="s">
        <v>1799</v>
      </c>
      <c r="L328" t="s">
        <v>1447</v>
      </c>
      <c r="M328" t="s">
        <v>1799</v>
      </c>
      <c r="N328" t="s">
        <v>1799</v>
      </c>
      <c r="O328" s="184" t="str">
        <f>"["&amp;$C328&amp;"]["&amp;$D328&amp;"]["&amp;$F328&amp;"]"</f>
        <v>[ReverseChargeMechanismEmissionAllowances][0][ReverseChargeMechanismEmissionAllowances]</v>
      </c>
    </row>
    <row r="329" spans="1:15" x14ac:dyDescent="0.3">
      <c r="A329" t="s">
        <v>1793</v>
      </c>
      <c r="B329" t="s">
        <v>2078</v>
      </c>
      <c r="C329" t="s">
        <v>2079</v>
      </c>
      <c r="D329">
        <v>0</v>
      </c>
      <c r="E329" t="s">
        <v>1447</v>
      </c>
      <c r="F329" t="s">
        <v>2079</v>
      </c>
      <c r="G329" t="s">
        <v>1829</v>
      </c>
      <c r="H329" t="s">
        <v>1799</v>
      </c>
      <c r="I329" t="s">
        <v>1799</v>
      </c>
      <c r="J329" t="s">
        <v>1799</v>
      </c>
      <c r="K329" t="s">
        <v>1799</v>
      </c>
      <c r="L329" t="s">
        <v>1447</v>
      </c>
      <c r="M329" t="s">
        <v>1799</v>
      </c>
      <c r="N329" t="s">
        <v>1799</v>
      </c>
      <c r="O329" s="184" t="str">
        <f>"["&amp;$C329&amp;"]["&amp;$D329&amp;"]["&amp;$F329&amp;"]"</f>
        <v>[EmissionAllowancesTaxed][0][EmissionAllowancesTaxed]</v>
      </c>
    </row>
    <row r="330" spans="1:15" x14ac:dyDescent="0.3">
      <c r="A330" t="s">
        <v>1793</v>
      </c>
      <c r="B330" t="s">
        <v>2080</v>
      </c>
      <c r="C330" t="s">
        <v>2081</v>
      </c>
      <c r="D330">
        <v>1</v>
      </c>
      <c r="E330" t="s">
        <v>1447</v>
      </c>
      <c r="F330" t="s">
        <v>2082</v>
      </c>
      <c r="G330" t="s">
        <v>1797</v>
      </c>
      <c r="H330" t="s">
        <v>2083</v>
      </c>
      <c r="I330" t="s">
        <v>1799</v>
      </c>
      <c r="J330" t="s">
        <v>1799</v>
      </c>
      <c r="K330" t="s">
        <v>1799</v>
      </c>
      <c r="L330" t="s">
        <v>1799</v>
      </c>
      <c r="M330" t="s">
        <v>1799</v>
      </c>
      <c r="N330" t="s">
        <v>1799</v>
      </c>
      <c r="O330" s="184" t="str">
        <f>"["&amp;$C330&amp;"]["&amp;$D330&amp;"]["&amp;$F330&amp;"]"</f>
        <v>[S12_FraudFreeAllocationOfAllowances][1][DetailsOfProceduresInNationalLaw]</v>
      </c>
    </row>
    <row r="331" spans="1:15" x14ac:dyDescent="0.3">
      <c r="A331" t="s">
        <v>1793</v>
      </c>
      <c r="B331" t="s">
        <v>2080</v>
      </c>
      <c r="C331" t="s">
        <v>2081</v>
      </c>
      <c r="D331">
        <v>2</v>
      </c>
      <c r="E331" t="s">
        <v>1447</v>
      </c>
      <c r="F331" t="s">
        <v>2082</v>
      </c>
      <c r="G331" t="s">
        <v>1797</v>
      </c>
      <c r="H331" t="s">
        <v>2083</v>
      </c>
      <c r="I331" t="s">
        <v>1799</v>
      </c>
      <c r="J331" t="s">
        <v>1799</v>
      </c>
      <c r="K331" t="s">
        <v>1799</v>
      </c>
      <c r="L331" t="s">
        <v>1799</v>
      </c>
      <c r="M331" t="s">
        <v>1799</v>
      </c>
      <c r="N331" t="s">
        <v>1799</v>
      </c>
      <c r="O331" s="184" t="str">
        <f>"["&amp;$C331&amp;"]["&amp;$D331&amp;"]["&amp;$F331&amp;"]"</f>
        <v>[S12_FraudFreeAllocationOfAllowances][2][DetailsOfProceduresInNationalLaw]</v>
      </c>
    </row>
    <row r="332" spans="1:15" x14ac:dyDescent="0.3">
      <c r="A332" t="s">
        <v>1793</v>
      </c>
      <c r="B332" t="s">
        <v>2080</v>
      </c>
      <c r="C332" t="s">
        <v>2081</v>
      </c>
      <c r="D332">
        <v>4</v>
      </c>
      <c r="E332" t="s">
        <v>1447</v>
      </c>
      <c r="F332" t="s">
        <v>2082</v>
      </c>
      <c r="G332" t="s">
        <v>1797</v>
      </c>
      <c r="H332" t="s">
        <v>2083</v>
      </c>
      <c r="I332" t="s">
        <v>1799</v>
      </c>
      <c r="J332" t="s">
        <v>1799</v>
      </c>
      <c r="K332" t="s">
        <v>1799</v>
      </c>
      <c r="L332" t="s">
        <v>1799</v>
      </c>
      <c r="M332" t="s">
        <v>1799</v>
      </c>
      <c r="N332" t="s">
        <v>1799</v>
      </c>
      <c r="O332" s="184" t="str">
        <f>"["&amp;$C332&amp;"]["&amp;$D332&amp;"]["&amp;$F332&amp;"]"</f>
        <v>[S12_FraudFreeAllocationOfAllowances][4][DetailsOfProceduresInNationalLaw]</v>
      </c>
    </row>
    <row r="333" spans="1:15" x14ac:dyDescent="0.3">
      <c r="A333" t="s">
        <v>1793</v>
      </c>
      <c r="B333" t="s">
        <v>2080</v>
      </c>
      <c r="C333" t="s">
        <v>2081</v>
      </c>
      <c r="D333">
        <v>5</v>
      </c>
      <c r="E333" t="s">
        <v>1447</v>
      </c>
      <c r="F333" t="s">
        <v>2082</v>
      </c>
      <c r="G333" t="s">
        <v>1797</v>
      </c>
      <c r="H333" t="s">
        <v>2083</v>
      </c>
      <c r="I333" t="s">
        <v>1799</v>
      </c>
      <c r="J333" t="s">
        <v>1799</v>
      </c>
      <c r="K333" t="s">
        <v>1799</v>
      </c>
      <c r="L333" t="s">
        <v>1799</v>
      </c>
      <c r="M333" t="s">
        <v>1799</v>
      </c>
      <c r="N333" t="s">
        <v>1799</v>
      </c>
      <c r="O333" s="184" t="str">
        <f>"["&amp;$C333&amp;"]["&amp;$D333&amp;"]["&amp;$F333&amp;"]"</f>
        <v>[S12_FraudFreeAllocationOfAllowances][5][DetailsOfProceduresInNationalLaw]</v>
      </c>
    </row>
    <row r="334" spans="1:15" x14ac:dyDescent="0.3">
      <c r="A334" t="s">
        <v>1793</v>
      </c>
      <c r="B334" t="s">
        <v>2080</v>
      </c>
      <c r="C334" t="s">
        <v>2081</v>
      </c>
      <c r="D334">
        <v>6</v>
      </c>
      <c r="E334" t="s">
        <v>1447</v>
      </c>
      <c r="F334" t="s">
        <v>2082</v>
      </c>
      <c r="G334" t="s">
        <v>1797</v>
      </c>
      <c r="H334" t="s">
        <v>2084</v>
      </c>
      <c r="I334" t="s">
        <v>1799</v>
      </c>
      <c r="J334" t="s">
        <v>1799</v>
      </c>
      <c r="K334" t="s">
        <v>1799</v>
      </c>
      <c r="L334" t="s">
        <v>1799</v>
      </c>
      <c r="M334" t="s">
        <v>1799</v>
      </c>
      <c r="N334" t="s">
        <v>1799</v>
      </c>
      <c r="O334" s="184" t="str">
        <f>"["&amp;$C334&amp;"]["&amp;$D334&amp;"]["&amp;$F334&amp;"]"</f>
        <v>[S12_FraudFreeAllocationOfAllowances][6][DetailsOfProceduresInNationalLaw]</v>
      </c>
    </row>
    <row r="335" spans="1:15" x14ac:dyDescent="0.3">
      <c r="A335" t="s">
        <v>1793</v>
      </c>
      <c r="B335" t="s">
        <v>2085</v>
      </c>
      <c r="C335" t="s">
        <v>2086</v>
      </c>
      <c r="D335">
        <v>1</v>
      </c>
      <c r="E335" t="s">
        <v>1447</v>
      </c>
      <c r="F335" t="s">
        <v>2087</v>
      </c>
      <c r="G335" t="s">
        <v>1811</v>
      </c>
      <c r="H335" t="s">
        <v>1799</v>
      </c>
      <c r="I335">
        <v>0</v>
      </c>
      <c r="J335" t="s">
        <v>1799</v>
      </c>
      <c r="K335" t="s">
        <v>1799</v>
      </c>
      <c r="L335" t="s">
        <v>1799</v>
      </c>
      <c r="M335" t="s">
        <v>1799</v>
      </c>
      <c r="N335" t="s">
        <v>1799</v>
      </c>
      <c r="O335" s="184" t="str">
        <f>"["&amp;$C335&amp;"]["&amp;$D335&amp;"]["&amp;$F335&amp;"]"</f>
        <v>[S12_InformationOnFraudActivities][1][NumberOfActivities]</v>
      </c>
    </row>
    <row r="336" spans="1:15" x14ac:dyDescent="0.3">
      <c r="A336" t="s">
        <v>1793</v>
      </c>
      <c r="B336" t="s">
        <v>2085</v>
      </c>
      <c r="C336" t="s">
        <v>2086</v>
      </c>
      <c r="D336">
        <v>2</v>
      </c>
      <c r="E336" t="s">
        <v>1447</v>
      </c>
      <c r="F336" t="s">
        <v>2087</v>
      </c>
      <c r="G336" t="s">
        <v>1811</v>
      </c>
      <c r="H336" t="s">
        <v>1799</v>
      </c>
      <c r="I336">
        <v>0</v>
      </c>
      <c r="J336" t="s">
        <v>1799</v>
      </c>
      <c r="K336" t="s">
        <v>1799</v>
      </c>
      <c r="L336" t="s">
        <v>1799</v>
      </c>
      <c r="M336" t="s">
        <v>1799</v>
      </c>
      <c r="N336" t="s">
        <v>1799</v>
      </c>
      <c r="O336" s="184" t="str">
        <f>"["&amp;$C336&amp;"]["&amp;$D336&amp;"]["&amp;$F336&amp;"]"</f>
        <v>[S12_InformationOnFraudActivities][2][NumberOfActivities]</v>
      </c>
    </row>
    <row r="337" spans="1:15" x14ac:dyDescent="0.3">
      <c r="A337" t="s">
        <v>1793</v>
      </c>
      <c r="B337" t="s">
        <v>2085</v>
      </c>
      <c r="C337" t="s">
        <v>2086</v>
      </c>
      <c r="D337">
        <v>3</v>
      </c>
      <c r="E337" t="s">
        <v>1447</v>
      </c>
      <c r="F337" t="s">
        <v>2087</v>
      </c>
      <c r="G337" t="s">
        <v>1811</v>
      </c>
      <c r="H337" t="s">
        <v>1799</v>
      </c>
      <c r="I337">
        <v>0</v>
      </c>
      <c r="J337" t="s">
        <v>1799</v>
      </c>
      <c r="K337" t="s">
        <v>1799</v>
      </c>
      <c r="L337" t="s">
        <v>1799</v>
      </c>
      <c r="M337" t="s">
        <v>1799</v>
      </c>
      <c r="N337" t="s">
        <v>1799</v>
      </c>
      <c r="O337" s="184" t="str">
        <f>"["&amp;$C337&amp;"]["&amp;$D337&amp;"]["&amp;$F337&amp;"]"</f>
        <v>[S12_InformationOnFraudActivities][3][NumberOfActivities]</v>
      </c>
    </row>
    <row r="338" spans="1:15" x14ac:dyDescent="0.3">
      <c r="A338" t="s">
        <v>1793</v>
      </c>
      <c r="B338" t="s">
        <v>2085</v>
      </c>
      <c r="C338" t="s">
        <v>2086</v>
      </c>
      <c r="D338">
        <v>4</v>
      </c>
      <c r="E338" t="s">
        <v>1447</v>
      </c>
      <c r="F338" t="s">
        <v>2087</v>
      </c>
      <c r="G338" t="s">
        <v>1811</v>
      </c>
      <c r="H338" t="s">
        <v>1799</v>
      </c>
      <c r="I338">
        <v>0</v>
      </c>
      <c r="J338" t="s">
        <v>1799</v>
      </c>
      <c r="K338" t="s">
        <v>1799</v>
      </c>
      <c r="L338" t="s">
        <v>1799</v>
      </c>
      <c r="M338" t="s">
        <v>1799</v>
      </c>
      <c r="N338" t="s">
        <v>1799</v>
      </c>
      <c r="O338" s="184" t="str">
        <f>"["&amp;$C338&amp;"]["&amp;$D338&amp;"]["&amp;$F338&amp;"]"</f>
        <v>[S12_InformationOnFraudActivities][4][NumberOfActivities]</v>
      </c>
    </row>
    <row r="339" spans="1:15" x14ac:dyDescent="0.3">
      <c r="A339" t="s">
        <v>1793</v>
      </c>
      <c r="B339" t="s">
        <v>2088</v>
      </c>
      <c r="C339" t="s">
        <v>2089</v>
      </c>
      <c r="D339">
        <v>3</v>
      </c>
      <c r="E339" t="s">
        <v>1447</v>
      </c>
      <c r="F339" t="s">
        <v>2090</v>
      </c>
      <c r="G339" t="s">
        <v>1860</v>
      </c>
      <c r="H339" t="s">
        <v>1799</v>
      </c>
      <c r="I339" t="s">
        <v>1799</v>
      </c>
      <c r="J339" t="s">
        <v>1799</v>
      </c>
      <c r="K339" t="s">
        <v>2091</v>
      </c>
      <c r="L339" t="s">
        <v>1799</v>
      </c>
      <c r="M339" t="s">
        <v>1799</v>
      </c>
      <c r="N339" t="s">
        <v>1799</v>
      </c>
      <c r="O339" s="184" t="str">
        <f>"["&amp;$C339&amp;"]["&amp;$D339&amp;"]["&amp;$F339&amp;"]"</f>
        <v>[S13_AnyOtherIssues][3][OtherInformationOrIssues]</v>
      </c>
    </row>
    <row r="340" spans="1:15" x14ac:dyDescent="0.3">
      <c r="A340" t="s">
        <v>1793</v>
      </c>
      <c r="B340" t="s">
        <v>2088</v>
      </c>
      <c r="C340" t="s">
        <v>2089</v>
      </c>
      <c r="D340">
        <v>4</v>
      </c>
      <c r="E340" t="s">
        <v>1447</v>
      </c>
      <c r="F340" t="s">
        <v>2090</v>
      </c>
      <c r="G340" t="s">
        <v>1860</v>
      </c>
      <c r="H340" t="s">
        <v>1799</v>
      </c>
      <c r="I340" t="s">
        <v>1799</v>
      </c>
      <c r="J340" t="s">
        <v>1799</v>
      </c>
      <c r="K340" t="s">
        <v>2092</v>
      </c>
      <c r="L340" t="s">
        <v>1799</v>
      </c>
      <c r="M340" t="s">
        <v>1799</v>
      </c>
      <c r="N340" t="s">
        <v>1799</v>
      </c>
      <c r="O340" s="184" t="str">
        <f>"["&amp;$C340&amp;"]["&amp;$D340&amp;"]["&amp;$F340&amp;"]"</f>
        <v>[S13_AnyOtherIssues][4][OtherInformationOrIssues]</v>
      </c>
    </row>
    <row r="341" spans="1:15" x14ac:dyDescent="0.3">
      <c r="A341" t="s">
        <v>1793</v>
      </c>
      <c r="B341" t="s">
        <v>2088</v>
      </c>
      <c r="C341" t="s">
        <v>2089</v>
      </c>
      <c r="D341">
        <v>12</v>
      </c>
      <c r="E341" t="s">
        <v>1447</v>
      </c>
      <c r="F341" t="s">
        <v>2090</v>
      </c>
      <c r="G341" t="s">
        <v>1860</v>
      </c>
      <c r="H341" t="s">
        <v>1799</v>
      </c>
      <c r="I341" t="s">
        <v>1799</v>
      </c>
      <c r="J341" t="s">
        <v>1799</v>
      </c>
      <c r="K341" t="s">
        <v>2093</v>
      </c>
      <c r="L341" t="s">
        <v>1799</v>
      </c>
      <c r="M341" t="s">
        <v>1799</v>
      </c>
      <c r="N341" t="s">
        <v>1799</v>
      </c>
      <c r="O341" s="184" t="str">
        <f>"["&amp;$C341&amp;"]["&amp;$D341&amp;"]["&amp;$F341&amp;"]"</f>
        <v>[S13_AnyOtherIssues][12][OtherInformationOrIssues]</v>
      </c>
    </row>
    <row r="342" spans="1:15" x14ac:dyDescent="0.3">
      <c r="A342" t="s">
        <v>1793</v>
      </c>
      <c r="B342" t="s">
        <v>2088</v>
      </c>
      <c r="C342" t="s">
        <v>2089</v>
      </c>
      <c r="D342">
        <v>13</v>
      </c>
      <c r="E342" t="s">
        <v>1447</v>
      </c>
      <c r="F342" t="s">
        <v>2090</v>
      </c>
      <c r="G342" t="s">
        <v>1860</v>
      </c>
      <c r="H342" t="s">
        <v>1799</v>
      </c>
      <c r="I342" t="s">
        <v>1799</v>
      </c>
      <c r="J342" t="s">
        <v>1799</v>
      </c>
      <c r="K342" t="s">
        <v>2094</v>
      </c>
      <c r="L342" t="s">
        <v>1799</v>
      </c>
      <c r="M342" t="s">
        <v>1799</v>
      </c>
      <c r="N342" t="s">
        <v>1799</v>
      </c>
      <c r="O342" s="184" t="str">
        <f>"["&amp;$C342&amp;"]["&amp;$D342&amp;"]["&amp;$F342&amp;"]"</f>
        <v>[S13_AnyOtherIssues][13][OtherInformationOrIssues]</v>
      </c>
    </row>
    <row r="343" spans="1:15" x14ac:dyDescent="0.3">
      <c r="A343" t="s">
        <v>1793</v>
      </c>
      <c r="B343" t="s">
        <v>2088</v>
      </c>
      <c r="C343" t="s">
        <v>2089</v>
      </c>
      <c r="D343">
        <v>14</v>
      </c>
      <c r="E343" t="s">
        <v>1447</v>
      </c>
      <c r="F343" t="s">
        <v>2090</v>
      </c>
      <c r="G343" t="s">
        <v>1860</v>
      </c>
      <c r="H343" t="s">
        <v>1799</v>
      </c>
      <c r="I343" t="s">
        <v>1799</v>
      </c>
      <c r="J343" t="s">
        <v>1799</v>
      </c>
      <c r="K343" t="s">
        <v>2095</v>
      </c>
      <c r="L343" t="s">
        <v>1799</v>
      </c>
      <c r="M343" t="s">
        <v>1799</v>
      </c>
      <c r="N343" t="s">
        <v>1799</v>
      </c>
      <c r="O343" s="184" t="str">
        <f>"["&amp;$C343&amp;"]["&amp;$D343&amp;"]["&amp;$F343&amp;"]"</f>
        <v>[S13_AnyOtherIssues][14][OtherInformationOrIssues]</v>
      </c>
    </row>
    <row r="344" spans="1:15" x14ac:dyDescent="0.3">
      <c r="A344" t="s">
        <v>1793</v>
      </c>
      <c r="B344" t="s">
        <v>2088</v>
      </c>
      <c r="C344" t="s">
        <v>2089</v>
      </c>
      <c r="D344">
        <v>15</v>
      </c>
      <c r="E344" t="s">
        <v>1447</v>
      </c>
      <c r="F344" t="s">
        <v>2090</v>
      </c>
      <c r="G344" t="s">
        <v>1860</v>
      </c>
      <c r="H344" t="s">
        <v>1799</v>
      </c>
      <c r="I344" t="s">
        <v>1799</v>
      </c>
      <c r="J344" t="s">
        <v>1799</v>
      </c>
      <c r="K344" t="s">
        <v>2096</v>
      </c>
      <c r="L344" t="s">
        <v>1799</v>
      </c>
      <c r="M344" t="s">
        <v>1799</v>
      </c>
      <c r="N344" t="s">
        <v>1799</v>
      </c>
      <c r="O344" s="184" t="str">
        <f>"["&amp;$C344&amp;"]["&amp;$D344&amp;"]["&amp;$F344&amp;"]"</f>
        <v>[S13_AnyOtherIssues][15][OtherInformationOrIssues]</v>
      </c>
    </row>
    <row r="345" spans="1:15" x14ac:dyDescent="0.3">
      <c r="A345" t="s">
        <v>1793</v>
      </c>
      <c r="B345" t="s">
        <v>2088</v>
      </c>
      <c r="C345" t="s">
        <v>2089</v>
      </c>
      <c r="D345">
        <v>35</v>
      </c>
      <c r="E345" t="s">
        <v>1447</v>
      </c>
      <c r="F345" t="s">
        <v>2090</v>
      </c>
      <c r="G345" t="s">
        <v>1860</v>
      </c>
      <c r="H345" t="s">
        <v>1799</v>
      </c>
      <c r="I345" t="s">
        <v>1799</v>
      </c>
      <c r="J345" t="s">
        <v>1799</v>
      </c>
      <c r="K345" t="s">
        <v>2097</v>
      </c>
      <c r="L345" t="s">
        <v>1799</v>
      </c>
      <c r="M345" t="s">
        <v>1799</v>
      </c>
      <c r="N345" t="s">
        <v>1799</v>
      </c>
      <c r="O345" s="184" t="str">
        <f>"["&amp;$C345&amp;"]["&amp;$D345&amp;"]["&amp;$F345&amp;"]"</f>
        <v>[S13_AnyOtherIssues][35][OtherInformationOrIssues]</v>
      </c>
    </row>
    <row r="346" spans="1:15" x14ac:dyDescent="0.3">
      <c r="A346" t="s">
        <v>1793</v>
      </c>
      <c r="B346" t="s">
        <v>2088</v>
      </c>
      <c r="C346" t="s">
        <v>2089</v>
      </c>
      <c r="D346">
        <v>50</v>
      </c>
      <c r="E346" t="s">
        <v>1447</v>
      </c>
      <c r="F346" t="s">
        <v>2090</v>
      </c>
      <c r="G346" t="s">
        <v>1860</v>
      </c>
      <c r="H346" t="s">
        <v>1799</v>
      </c>
      <c r="I346" t="s">
        <v>1799</v>
      </c>
      <c r="J346" t="s">
        <v>1799</v>
      </c>
      <c r="K346" t="s">
        <v>2098</v>
      </c>
      <c r="L346" t="s">
        <v>1799</v>
      </c>
      <c r="M346" t="s">
        <v>1799</v>
      </c>
      <c r="N346" t="s">
        <v>1799</v>
      </c>
      <c r="O346" s="184" t="str">
        <f>"["&amp;$C346&amp;"]["&amp;$D346&amp;"]["&amp;$F346&amp;"]"</f>
        <v>[S13_AnyOtherIssues][50][OtherInformationOrIssues]</v>
      </c>
    </row>
    <row r="347" spans="1:15" x14ac:dyDescent="0.3">
      <c r="A347" t="s">
        <v>1793</v>
      </c>
      <c r="B347" t="s">
        <v>2088</v>
      </c>
      <c r="C347" t="s">
        <v>2089</v>
      </c>
      <c r="D347">
        <v>68</v>
      </c>
      <c r="E347" t="s">
        <v>1447</v>
      </c>
      <c r="F347" t="s">
        <v>2090</v>
      </c>
      <c r="G347" t="s">
        <v>1860</v>
      </c>
      <c r="H347" t="s">
        <v>1799</v>
      </c>
      <c r="I347" t="s">
        <v>1799</v>
      </c>
      <c r="J347" t="s">
        <v>1799</v>
      </c>
      <c r="K347" t="s">
        <v>2099</v>
      </c>
      <c r="L347" t="s">
        <v>1799</v>
      </c>
      <c r="M347" t="s">
        <v>1799</v>
      </c>
      <c r="N347" t="s">
        <v>1799</v>
      </c>
      <c r="O347" s="184" t="str">
        <f>"["&amp;$C347&amp;"]["&amp;$D347&amp;"]["&amp;$F347&amp;"]"</f>
        <v>[S13_AnyOtherIssues][68][OtherInformationOrIssues]</v>
      </c>
    </row>
    <row r="348" spans="1:15" x14ac:dyDescent="0.3">
      <c r="A348" t="s">
        <v>1793</v>
      </c>
      <c r="B348" t="s">
        <v>2088</v>
      </c>
      <c r="C348" t="s">
        <v>2089</v>
      </c>
      <c r="D348">
        <v>3</v>
      </c>
      <c r="E348" t="s">
        <v>1447</v>
      </c>
      <c r="F348" t="s">
        <v>2100</v>
      </c>
      <c r="G348" t="s">
        <v>1737</v>
      </c>
      <c r="H348" t="s">
        <v>1799</v>
      </c>
      <c r="I348" t="s">
        <v>1799</v>
      </c>
      <c r="J348" t="s">
        <v>1799</v>
      </c>
      <c r="K348" t="s">
        <v>1799</v>
      </c>
      <c r="L348" t="s">
        <v>1474</v>
      </c>
      <c r="M348" t="s">
        <v>1799</v>
      </c>
      <c r="N348" t="s">
        <v>1799</v>
      </c>
      <c r="O348" s="184" t="str">
        <f>"["&amp;$C348&amp;"]["&amp;$D348&amp;"]["&amp;$F348&amp;"]"</f>
        <v>[S13_AnyOtherIssues][3][QuestionnaireSubQuestion]</v>
      </c>
    </row>
    <row r="349" spans="1:15" x14ac:dyDescent="0.3">
      <c r="A349" t="s">
        <v>1793</v>
      </c>
      <c r="B349" t="s">
        <v>2088</v>
      </c>
      <c r="C349" t="s">
        <v>2089</v>
      </c>
      <c r="D349">
        <v>4</v>
      </c>
      <c r="E349" t="s">
        <v>1447</v>
      </c>
      <c r="F349" t="s">
        <v>2100</v>
      </c>
      <c r="G349" t="s">
        <v>1737</v>
      </c>
      <c r="H349" t="s">
        <v>1799</v>
      </c>
      <c r="I349" t="s">
        <v>1799</v>
      </c>
      <c r="J349" t="s">
        <v>1799</v>
      </c>
      <c r="K349" t="s">
        <v>1799</v>
      </c>
      <c r="L349" t="s">
        <v>1474</v>
      </c>
      <c r="M349" t="s">
        <v>1799</v>
      </c>
      <c r="N349" t="s">
        <v>1799</v>
      </c>
      <c r="O349" s="184" t="str">
        <f>"["&amp;$C349&amp;"]["&amp;$D349&amp;"]["&amp;$F349&amp;"]"</f>
        <v>[S13_AnyOtherIssues][4][QuestionnaireSubQuestion]</v>
      </c>
    </row>
    <row r="350" spans="1:15" x14ac:dyDescent="0.3">
      <c r="A350" t="s">
        <v>1793</v>
      </c>
      <c r="B350" t="s">
        <v>2088</v>
      </c>
      <c r="C350" t="s">
        <v>2089</v>
      </c>
      <c r="D350">
        <v>12</v>
      </c>
      <c r="E350" t="s">
        <v>1447</v>
      </c>
      <c r="F350" t="s">
        <v>2100</v>
      </c>
      <c r="G350" t="s">
        <v>1737</v>
      </c>
      <c r="H350" t="s">
        <v>1799</v>
      </c>
      <c r="I350" t="s">
        <v>1799</v>
      </c>
      <c r="J350" t="s">
        <v>1799</v>
      </c>
      <c r="K350" t="s">
        <v>1799</v>
      </c>
      <c r="L350" t="s">
        <v>1606</v>
      </c>
      <c r="M350" t="s">
        <v>1799</v>
      </c>
      <c r="N350" t="s">
        <v>1799</v>
      </c>
      <c r="O350" s="184" t="str">
        <f>"["&amp;$C350&amp;"]["&amp;$D350&amp;"]["&amp;$F350&amp;"]"</f>
        <v>[S13_AnyOtherIssues][12][QuestionnaireSubQuestion]</v>
      </c>
    </row>
    <row r="351" spans="1:15" x14ac:dyDescent="0.3">
      <c r="A351" t="s">
        <v>1793</v>
      </c>
      <c r="B351" t="s">
        <v>2088</v>
      </c>
      <c r="C351" t="s">
        <v>2089</v>
      </c>
      <c r="D351">
        <v>13</v>
      </c>
      <c r="E351" t="s">
        <v>1447</v>
      </c>
      <c r="F351" t="s">
        <v>2100</v>
      </c>
      <c r="G351" t="s">
        <v>1737</v>
      </c>
      <c r="H351" t="s">
        <v>1799</v>
      </c>
      <c r="I351" t="s">
        <v>1799</v>
      </c>
      <c r="J351" t="s">
        <v>1799</v>
      </c>
      <c r="K351" t="s">
        <v>1799</v>
      </c>
      <c r="L351" t="s">
        <v>1611</v>
      </c>
      <c r="M351" t="s">
        <v>1799</v>
      </c>
      <c r="N351" t="s">
        <v>1799</v>
      </c>
      <c r="O351" s="184" t="str">
        <f>"["&amp;$C351&amp;"]["&amp;$D351&amp;"]["&amp;$F351&amp;"]"</f>
        <v>[S13_AnyOtherIssues][13][QuestionnaireSubQuestion]</v>
      </c>
    </row>
    <row r="352" spans="1:15" x14ac:dyDescent="0.3">
      <c r="A352" t="s">
        <v>1793</v>
      </c>
      <c r="B352" t="s">
        <v>2088</v>
      </c>
      <c r="C352" t="s">
        <v>2089</v>
      </c>
      <c r="D352">
        <v>14</v>
      </c>
      <c r="E352" t="s">
        <v>1447</v>
      </c>
      <c r="F352" t="s">
        <v>2100</v>
      </c>
      <c r="G352" t="s">
        <v>1737</v>
      </c>
      <c r="H352" t="s">
        <v>1799</v>
      </c>
      <c r="I352" t="s">
        <v>1799</v>
      </c>
      <c r="J352" t="s">
        <v>1799</v>
      </c>
      <c r="K352" t="s">
        <v>1799</v>
      </c>
      <c r="L352" t="s">
        <v>1635</v>
      </c>
      <c r="M352" t="s">
        <v>1799</v>
      </c>
      <c r="N352" t="s">
        <v>1799</v>
      </c>
      <c r="O352" s="184" t="str">
        <f>"["&amp;$C352&amp;"]["&amp;$D352&amp;"]["&amp;$F352&amp;"]"</f>
        <v>[S13_AnyOtherIssues][14][QuestionnaireSubQuestion]</v>
      </c>
    </row>
    <row r="353" spans="1:15" x14ac:dyDescent="0.3">
      <c r="A353" t="s">
        <v>1793</v>
      </c>
      <c r="B353" t="s">
        <v>2088</v>
      </c>
      <c r="C353" t="s">
        <v>2089</v>
      </c>
      <c r="D353">
        <v>15</v>
      </c>
      <c r="E353" t="s">
        <v>1447</v>
      </c>
      <c r="F353" t="s">
        <v>2100</v>
      </c>
      <c r="G353" t="s">
        <v>1737</v>
      </c>
      <c r="H353" t="s">
        <v>1799</v>
      </c>
      <c r="I353" t="s">
        <v>1799</v>
      </c>
      <c r="J353" t="s">
        <v>1799</v>
      </c>
      <c r="K353" t="s">
        <v>1799</v>
      </c>
      <c r="L353" t="s">
        <v>1664</v>
      </c>
      <c r="M353" t="s">
        <v>1799</v>
      </c>
      <c r="N353" t="s">
        <v>1799</v>
      </c>
      <c r="O353" s="184" t="str">
        <f>"["&amp;$C353&amp;"]["&amp;$D353&amp;"]["&amp;$F353&amp;"]"</f>
        <v>[S13_AnyOtherIssues][15][QuestionnaireSubQuestion]</v>
      </c>
    </row>
    <row r="354" spans="1:15" x14ac:dyDescent="0.3">
      <c r="A354" t="s">
        <v>1793</v>
      </c>
      <c r="B354" t="s">
        <v>2088</v>
      </c>
      <c r="C354" t="s">
        <v>2089</v>
      </c>
      <c r="D354">
        <v>35</v>
      </c>
      <c r="E354" t="s">
        <v>1447</v>
      </c>
      <c r="F354" t="s">
        <v>2100</v>
      </c>
      <c r="G354" t="s">
        <v>1737</v>
      </c>
      <c r="H354" t="s">
        <v>1799</v>
      </c>
      <c r="I354" t="s">
        <v>1799</v>
      </c>
      <c r="J354" t="s">
        <v>1799</v>
      </c>
      <c r="K354" t="s">
        <v>1799</v>
      </c>
      <c r="L354" t="s">
        <v>1687</v>
      </c>
      <c r="M354" t="s">
        <v>1799</v>
      </c>
      <c r="N354" t="s">
        <v>1799</v>
      </c>
      <c r="O354" s="184" t="str">
        <f>"["&amp;$C354&amp;"]["&amp;$D354&amp;"]["&amp;$F354&amp;"]"</f>
        <v>[S13_AnyOtherIssues][35][QuestionnaireSubQuestion]</v>
      </c>
    </row>
    <row r="355" spans="1:15" x14ac:dyDescent="0.3">
      <c r="A355" t="s">
        <v>1793</v>
      </c>
      <c r="B355" t="s">
        <v>2088</v>
      </c>
      <c r="C355" t="s">
        <v>2089</v>
      </c>
      <c r="D355">
        <v>68</v>
      </c>
      <c r="E355" t="s">
        <v>1447</v>
      </c>
      <c r="F355" t="s">
        <v>2100</v>
      </c>
      <c r="G355" t="s">
        <v>1737</v>
      </c>
      <c r="H355" t="s">
        <v>1799</v>
      </c>
      <c r="I355" t="s">
        <v>1799</v>
      </c>
      <c r="J355" t="s">
        <v>1799</v>
      </c>
      <c r="K355" t="s">
        <v>1799</v>
      </c>
      <c r="L355" t="s">
        <v>1710</v>
      </c>
      <c r="M355" t="s">
        <v>1799</v>
      </c>
      <c r="N355" t="s">
        <v>1799</v>
      </c>
      <c r="O355" s="184" t="str">
        <f>"["&amp;$C355&amp;"]["&amp;$D355&amp;"]["&amp;$F355&amp;"]"</f>
        <v>[S13_AnyOtherIssues][68][QuestionnaireSubQuestion]</v>
      </c>
    </row>
    <row r="356" spans="1:15" x14ac:dyDescent="0.3">
      <c r="A356" t="s">
        <v>1793</v>
      </c>
      <c r="B356" t="s">
        <v>2101</v>
      </c>
      <c r="C356" t="s">
        <v>2102</v>
      </c>
      <c r="D356">
        <v>0</v>
      </c>
      <c r="E356" t="s">
        <v>1447</v>
      </c>
      <c r="F356" t="s">
        <v>2102</v>
      </c>
      <c r="G356" t="s">
        <v>1829</v>
      </c>
      <c r="H356" t="s">
        <v>1799</v>
      </c>
      <c r="I356" t="s">
        <v>1799</v>
      </c>
      <c r="J356" t="s">
        <v>1799</v>
      </c>
      <c r="K356" t="s">
        <v>1799</v>
      </c>
      <c r="L356" t="s">
        <v>1419</v>
      </c>
      <c r="M356" t="s">
        <v>1799</v>
      </c>
      <c r="N356" t="s">
        <v>1799</v>
      </c>
      <c r="O356" s="184" t="str">
        <f>"["&amp;$C356&amp;"]["&amp;$D356&amp;"]["&amp;$F356&amp;"]"</f>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7</v>
      </c>
      <c r="B3" s="327" t="s">
        <v>436</v>
      </c>
      <c r="C3" s="327"/>
      <c r="D3" s="327"/>
      <c r="E3" s="327"/>
      <c r="F3" s="327"/>
      <c r="G3" s="327"/>
      <c r="H3" s="327"/>
      <c r="I3" s="327"/>
    </row>
    <row r="4" spans="1:9" ht="39" customHeight="1" x14ac:dyDescent="0.3">
      <c r="A4" s="12" t="s">
        <v>437</v>
      </c>
      <c r="B4" s="450" t="s">
        <v>1119</v>
      </c>
      <c r="C4" s="450"/>
      <c r="D4" s="450"/>
      <c r="E4" s="450"/>
      <c r="F4" s="450"/>
      <c r="G4" s="450"/>
      <c r="H4" s="450"/>
      <c r="I4" s="450"/>
    </row>
    <row r="5" spans="1:9" ht="27" customHeight="1" x14ac:dyDescent="0.3"/>
    <row r="6" spans="1:9" ht="32.1" customHeight="1" x14ac:dyDescent="0.3">
      <c r="A6" s="12" t="s">
        <v>441</v>
      </c>
      <c r="B6" s="293" t="s">
        <v>1120</v>
      </c>
      <c r="C6" s="294"/>
      <c r="D6" s="294"/>
      <c r="E6" s="294"/>
      <c r="F6" s="294"/>
      <c r="G6" s="294"/>
      <c r="H6" s="294"/>
      <c r="I6" s="294"/>
    </row>
    <row r="7" spans="1:9" ht="26.1" customHeight="1" x14ac:dyDescent="0.3">
      <c r="A7" s="13"/>
      <c r="B7" s="10"/>
      <c r="C7" s="46" t="s">
        <v>1121</v>
      </c>
      <c r="D7" s="303" t="s">
        <v>1122</v>
      </c>
      <c r="E7" s="309"/>
      <c r="F7" s="315" t="s">
        <v>1123</v>
      </c>
      <c r="G7" s="336"/>
      <c r="H7" s="104" t="s">
        <v>1124</v>
      </c>
      <c r="I7" s="46" t="s">
        <v>1125</v>
      </c>
    </row>
    <row r="8" spans="1:9" ht="15.9" customHeight="1" x14ac:dyDescent="0.3">
      <c r="A8" s="13"/>
      <c r="B8" s="10"/>
      <c r="C8" s="72" t="str">
        <f>_xlfn.CONCAT(_xlfn.XLOOKUP("[S07_NoFurtherAllowancesSurrendered][1][InstallationIDCode]",Submission!$O:$O,Submission!$H:$N,""))</f>
        <v/>
      </c>
      <c r="D8" s="284" t="str">
        <f>_xlfn.CONCAT(_xlfn.XLOOKUP("[S07_NoFurtherAllowancesSurrendered][1][OperatorName]",Submission!$O:$O,Submission!$H:$N,""))</f>
        <v/>
      </c>
      <c r="E8" s="285"/>
      <c r="F8" s="284" t="str">
        <f>_xlfn.CONCAT(_xlfn.XLOOKUP("[S07_NoFurtherAllowancesSurrendered][1][InstallationName]",Submission!$O:$O,Submission!$H:$N,""))</f>
        <v/>
      </c>
      <c r="G8" s="285"/>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84" t="str">
        <f>_xlfn.CONCAT(_xlfn.XLOOKUP("[S07_NoFurtherAllowancesSurrendered][2][OperatorName]",Submission!$O:$O,Submission!$H:$N,""))</f>
        <v/>
      </c>
      <c r="E9" s="285"/>
      <c r="F9" s="284" t="str">
        <f>_xlfn.CONCAT(_xlfn.XLOOKUP("[S07_NoFurtherAllowancesSurrendered][2][InstallationName]",Submission!$O:$O,Submission!$H:$N,""))</f>
        <v/>
      </c>
      <c r="G9" s="285"/>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84" t="str">
        <f>_xlfn.CONCAT(_xlfn.XLOOKUP("[S07_NoFurtherAllowancesSurrendered][3][OperatorName]",Submission!$O:$O,Submission!$H:$N,""))</f>
        <v/>
      </c>
      <c r="E10" s="285"/>
      <c r="F10" s="284" t="str">
        <f>_xlfn.CONCAT(_xlfn.XLOOKUP("[S07_NoFurtherAllowancesSurrendered][3][InstallationName]",Submission!$O:$O,Submission!$H:$N,""))</f>
        <v/>
      </c>
      <c r="G10" s="285"/>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84" t="str">
        <f>_xlfn.CONCAT(_xlfn.XLOOKUP("[S07_NoFurtherAllowancesSurrendered][4][OperatorName]",Submission!$O:$O,Submission!$H:$N,""))</f>
        <v/>
      </c>
      <c r="E11" s="285"/>
      <c r="F11" s="284" t="str">
        <f>_xlfn.CONCAT(_xlfn.XLOOKUP("[S07_NoFurtherAllowancesSurrendered][4][InstallationName]",Submission!$O:$O,Submission!$H:$N,""))</f>
        <v/>
      </c>
      <c r="G11" s="285"/>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84" t="str">
        <f>_xlfn.CONCAT(_xlfn.XLOOKUP("[S07_NoFurtherAllowancesSurrendered][5][OperatorName]",Submission!$O:$O,Submission!$H:$N,""))</f>
        <v/>
      </c>
      <c r="E12" s="285"/>
      <c r="F12" s="284" t="str">
        <f>_xlfn.CONCAT(_xlfn.XLOOKUP("[S07_NoFurtherAllowancesSurrendered][5][InstallationName]",Submission!$O:$O,Submission!$H:$N,""))</f>
        <v/>
      </c>
      <c r="G12" s="285"/>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84" t="str">
        <f>_xlfn.CONCAT(_xlfn.XLOOKUP("[S07_NoFurtherAllowancesSurrendered][6][OperatorName]",Submission!$O:$O,Submission!$H:$N,""))</f>
        <v/>
      </c>
      <c r="E13" s="285"/>
      <c r="F13" s="284" t="str">
        <f>_xlfn.CONCAT(_xlfn.XLOOKUP("[S07_NoFurtherAllowancesSurrendered][6][InstallationName]",Submission!$O:$O,Submission!$H:$N,""))</f>
        <v/>
      </c>
      <c r="G13" s="285"/>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84" t="str">
        <f>_xlfn.CONCAT(_xlfn.XLOOKUP("[S07_NoFurtherAllowancesSurrendered][7][OperatorName]",Submission!$O:$O,Submission!$H:$N,""))</f>
        <v/>
      </c>
      <c r="E14" s="285"/>
      <c r="F14" s="284" t="str">
        <f>_xlfn.CONCAT(_xlfn.XLOOKUP("[S07_NoFurtherAllowancesSurrendered][7][InstallationName]",Submission!$O:$O,Submission!$H:$N,""))</f>
        <v/>
      </c>
      <c r="G14" s="285"/>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84" t="str">
        <f>_xlfn.CONCAT(_xlfn.XLOOKUP("[S07_NoFurtherAllowancesSurrendered][8][OperatorName]",Submission!$O:$O,Submission!$H:$N,""))</f>
        <v/>
      </c>
      <c r="E15" s="285"/>
      <c r="F15" s="284" t="str">
        <f>_xlfn.CONCAT(_xlfn.XLOOKUP("[S07_NoFurtherAllowancesSurrendered][8][InstallationName]",Submission!$O:$O,Submission!$H:$N,""))</f>
        <v/>
      </c>
      <c r="G15" s="285"/>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84" t="str">
        <f>_xlfn.CONCAT(_xlfn.XLOOKUP("[S07_NoFurtherAllowancesSurrendered][9][OperatorName]",Submission!$O:$O,Submission!$H:$N,""))</f>
        <v/>
      </c>
      <c r="E16" s="285"/>
      <c r="F16" s="284" t="str">
        <f>_xlfn.CONCAT(_xlfn.XLOOKUP("[S07_NoFurtherAllowancesSurrendered][9][InstallationName]",Submission!$O:$O,Submission!$H:$N,""))</f>
        <v/>
      </c>
      <c r="G16" s="285"/>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84" t="str">
        <f>_xlfn.CONCAT(_xlfn.XLOOKUP("[S07_NoFurtherAllowancesSurrendered][10][OperatorName]",Submission!$O:$O,Submission!$H:$N,""))</f>
        <v/>
      </c>
      <c r="E17" s="285"/>
      <c r="F17" s="284" t="str">
        <f>_xlfn.CONCAT(_xlfn.XLOOKUP("[S07_NoFurtherAllowancesSurrendered][10][InstallationName]",Submission!$O:$O,Submission!$H:$N,""))</f>
        <v/>
      </c>
      <c r="G17" s="285"/>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48" t="s">
        <v>1033</v>
      </c>
      <c r="D19" s="249"/>
      <c r="E19" s="249"/>
      <c r="F19" s="249"/>
      <c r="G19" s="249"/>
      <c r="H19" s="249"/>
      <c r="I19" s="249"/>
    </row>
    <row r="20" spans="1:9" s="11" customFormat="1" ht="14.4" x14ac:dyDescent="0.3"/>
    <row r="21" spans="1:9" ht="32.1" customHeight="1" x14ac:dyDescent="0.3">
      <c r="A21" s="12" t="s">
        <v>445</v>
      </c>
      <c r="B21" s="293" t="s">
        <v>1126</v>
      </c>
      <c r="C21" s="294"/>
      <c r="D21" s="294"/>
      <c r="E21" s="294"/>
      <c r="F21" s="294"/>
      <c r="G21" s="294"/>
      <c r="H21" s="294"/>
      <c r="I21" s="294"/>
    </row>
    <row r="22" spans="1:9" ht="15.9" customHeight="1" x14ac:dyDescent="0.3">
      <c r="B22" s="11"/>
      <c r="C22" s="315" t="s">
        <v>1127</v>
      </c>
      <c r="D22" s="379"/>
      <c r="E22" s="379"/>
      <c r="F22" s="379"/>
      <c r="G22" s="336"/>
      <c r="H22" s="322" t="str">
        <f>_xlfn.CONCAT(_xlfn.XLOOKUP("[AircraftOperatorsMandateArt15UseNumber][0][AircraftOperatorsMandateArt15UseNumber]",Submission!$O:$O,Submission!$H:$N,""))</f>
        <v>0</v>
      </c>
      <c r="I22" s="451"/>
    </row>
    <row r="23" spans="1:9" ht="26.4" customHeight="1" x14ac:dyDescent="0.3">
      <c r="B23" s="11"/>
      <c r="C23" s="395" t="s">
        <v>1128</v>
      </c>
      <c r="D23" s="395"/>
      <c r="E23" s="395"/>
      <c r="F23" s="395"/>
      <c r="G23" s="395"/>
      <c r="H23" s="395"/>
      <c r="I23" s="395"/>
    </row>
    <row r="24" spans="1:9" s="27" customFormat="1" ht="15.9" customHeight="1" x14ac:dyDescent="0.3">
      <c r="B24" s="21"/>
      <c r="D24" s="21"/>
      <c r="E24" s="21"/>
      <c r="F24" s="21"/>
      <c r="G24" s="21"/>
      <c r="H24" s="21"/>
    </row>
    <row r="25" spans="1:9" ht="32.1" customHeight="1" x14ac:dyDescent="0.3">
      <c r="A25" s="12"/>
      <c r="B25" s="271" t="s">
        <v>1129</v>
      </c>
      <c r="C25" s="272"/>
      <c r="D25" s="272"/>
      <c r="E25" s="272"/>
      <c r="F25" s="272"/>
      <c r="G25" s="272"/>
      <c r="H25" s="272"/>
      <c r="I25" s="272"/>
    </row>
    <row r="26" spans="1:9" x14ac:dyDescent="0.3">
      <c r="A26" s="12"/>
      <c r="B26" s="10"/>
      <c r="C26" s="315" t="s">
        <v>1082</v>
      </c>
      <c r="D26" s="379"/>
      <c r="E26" s="379"/>
      <c r="F26" s="336"/>
      <c r="G26" s="365" t="s">
        <v>1130</v>
      </c>
      <c r="H26" s="365"/>
      <c r="I26" s="365"/>
    </row>
    <row r="27" spans="1:9" s="27" customFormat="1" ht="15.9" customHeight="1" x14ac:dyDescent="0.3">
      <c r="B27" s="10"/>
      <c r="C27" s="286" t="str">
        <f>_xlfn.CONCAT(_xlfn.XLOOKUP("[S07_AircraftOperatorsUseArt15MandateDetail][1][AircraftOperatorID]",Submission!$O:$O,Submission!$H:$N,""))</f>
        <v/>
      </c>
      <c r="D27" s="286"/>
      <c r="E27" s="286"/>
      <c r="F27" s="286"/>
      <c r="G27" s="286" t="str">
        <f>_xlfn.CONCAT(_xlfn.XLOOKUP("[S07_AircraftOperatorsUseArt15MandateDetail][1][AircraftOperatorName]",Submission!$O:$O,Submission!$H:$N,""))</f>
        <v/>
      </c>
      <c r="H27" s="286"/>
      <c r="I27" s="286"/>
    </row>
    <row r="28" spans="1:9" s="27" customFormat="1" ht="15.9" customHeight="1" x14ac:dyDescent="0.3">
      <c r="B28" s="10"/>
      <c r="C28" s="286" t="str">
        <f>_xlfn.CONCAT(_xlfn.XLOOKUP("[S07_AircraftOperatorsUseArt15MandateDetail][2][AircraftOperatorID]",Submission!$O:$O,Submission!$H:$N,""))</f>
        <v/>
      </c>
      <c r="D28" s="286"/>
      <c r="E28" s="286"/>
      <c r="F28" s="286"/>
      <c r="G28" s="286" t="str">
        <f>_xlfn.CONCAT(_xlfn.XLOOKUP("[S07_AircraftOperatorsUseArt15MandateDetail][2][AircraftOperatorName]",Submission!$O:$O,Submission!$H:$N,""))</f>
        <v/>
      </c>
      <c r="H28" s="286"/>
      <c r="I28" s="286"/>
    </row>
    <row r="29" spans="1:9" s="27" customFormat="1" ht="15.9" hidden="1" customHeight="1" outlineLevel="1" x14ac:dyDescent="0.3">
      <c r="B29" s="10"/>
      <c r="C29" s="286" t="str">
        <f>_xlfn.CONCAT(_xlfn.XLOOKUP("[S07_AircraftOperatorsUseArt15MandateDetail][3][AircraftOperatorID]",Submission!$O:$O,Submission!$H:$N,""))</f>
        <v/>
      </c>
      <c r="D29" s="286"/>
      <c r="E29" s="286"/>
      <c r="F29" s="286"/>
      <c r="G29" s="286" t="str">
        <f>_xlfn.CONCAT(_xlfn.XLOOKUP("[S07_AircraftOperatorsUseArt15MandateDetail][3][AircraftOperatorName]",Submission!$O:$O,Submission!$H:$N,""))</f>
        <v/>
      </c>
      <c r="H29" s="286"/>
      <c r="I29" s="286"/>
    </row>
    <row r="30" spans="1:9" s="27" customFormat="1" ht="15.9" hidden="1" customHeight="1" outlineLevel="1" x14ac:dyDescent="0.3">
      <c r="B30" s="10"/>
      <c r="C30" s="286" t="str">
        <f>_xlfn.CONCAT(_xlfn.XLOOKUP("[S07_AircraftOperatorsUseArt15MandateDetail][4][AircraftOperatorID]",Submission!$O:$O,Submission!$H:$N,""))</f>
        <v/>
      </c>
      <c r="D30" s="286"/>
      <c r="E30" s="286"/>
      <c r="F30" s="286"/>
      <c r="G30" s="286" t="str">
        <f>_xlfn.CONCAT(_xlfn.XLOOKUP("[S07_AircraftOperatorsUseArt15MandateDetail][4][AircraftOperatorName]",Submission!$O:$O,Submission!$H:$N,""))</f>
        <v/>
      </c>
      <c r="H30" s="286"/>
      <c r="I30" s="286"/>
    </row>
    <row r="31" spans="1:9" s="27" customFormat="1" ht="15.9" hidden="1" customHeight="1" outlineLevel="1" x14ac:dyDescent="0.3">
      <c r="B31" s="10"/>
      <c r="C31" s="286" t="str">
        <f>_xlfn.CONCAT(_xlfn.XLOOKUP("[S07_AircraftOperatorsUseArt15MandateDetail][5][AircraftOperatorID]",Submission!$O:$O,Submission!$H:$N,""))</f>
        <v/>
      </c>
      <c r="D31" s="286"/>
      <c r="E31" s="286"/>
      <c r="F31" s="286"/>
      <c r="G31" s="286" t="str">
        <f>_xlfn.CONCAT(_xlfn.XLOOKUP("[S07_AircraftOperatorsUseArt15MandateDetail][5][AircraftOperatorName]",Submission!$O:$O,Submission!$H:$N,""))</f>
        <v/>
      </c>
      <c r="H31" s="286"/>
      <c r="I31" s="286"/>
    </row>
    <row r="32" spans="1:9" s="27" customFormat="1" ht="15.9" hidden="1" customHeight="1" outlineLevel="1" x14ac:dyDescent="0.3">
      <c r="B32" s="10"/>
      <c r="C32" s="286" t="str">
        <f>_xlfn.CONCAT(_xlfn.XLOOKUP("[S07_AircraftOperatorsUseArt15MandateDetail][6][AircraftOperatorID]",Submission!$O:$O,Submission!$H:$N,""))</f>
        <v/>
      </c>
      <c r="D32" s="286"/>
      <c r="E32" s="286"/>
      <c r="F32" s="286"/>
      <c r="G32" s="286" t="str">
        <f>_xlfn.CONCAT(_xlfn.XLOOKUP("[S07_AircraftOperatorsUseArt15MandateDetail][6][AircraftOperatorName]",Submission!$O:$O,Submission!$H:$N,""))</f>
        <v/>
      </c>
      <c r="H32" s="286"/>
      <c r="I32" s="286"/>
    </row>
    <row r="33" spans="2:9" s="27" customFormat="1" ht="15.9" hidden="1" customHeight="1" outlineLevel="1" x14ac:dyDescent="0.3">
      <c r="B33" s="10"/>
      <c r="C33" s="286" t="str">
        <f>_xlfn.CONCAT(_xlfn.XLOOKUP("[S07_AircraftOperatorsUseArt15MandateDetail][7][AircraftOperatorID]",Submission!$O:$O,Submission!$H:$N,""))</f>
        <v/>
      </c>
      <c r="D33" s="286"/>
      <c r="E33" s="286"/>
      <c r="F33" s="286"/>
      <c r="G33" s="286" t="str">
        <f>_xlfn.CONCAT(_xlfn.XLOOKUP("[S07_AircraftOperatorsUseArt15MandateDetail][7][AircraftOperatorName]",Submission!$O:$O,Submission!$H:$N,""))</f>
        <v/>
      </c>
      <c r="H33" s="286"/>
      <c r="I33" s="286"/>
    </row>
    <row r="34" spans="2:9" s="27" customFormat="1" ht="15.9" hidden="1" customHeight="1" outlineLevel="1" x14ac:dyDescent="0.3">
      <c r="B34" s="10"/>
      <c r="C34" s="286" t="str">
        <f>_xlfn.CONCAT(_xlfn.XLOOKUP("[S07_AircraftOperatorsUseArt15MandateDetail][8][AircraftOperatorID]",Submission!$O:$O,Submission!$H:$N,""))</f>
        <v/>
      </c>
      <c r="D34" s="286"/>
      <c r="E34" s="286"/>
      <c r="F34" s="286"/>
      <c r="G34" s="286" t="str">
        <f>_xlfn.CONCAT(_xlfn.XLOOKUP("[S07_AircraftOperatorsUseArt15MandateDetail][8][AircraftOperatorName]",Submission!$O:$O,Submission!$H:$N,""))</f>
        <v/>
      </c>
      <c r="H34" s="286"/>
      <c r="I34" s="286"/>
    </row>
    <row r="35" spans="2:9" s="27" customFormat="1" ht="15.9" hidden="1" customHeight="1" outlineLevel="1" x14ac:dyDescent="0.3">
      <c r="B35" s="10"/>
      <c r="C35" s="286" t="str">
        <f>_xlfn.CONCAT(_xlfn.XLOOKUP("[S07_AircraftOperatorsUseArt15MandateDetail][9][AircraftOperatorID]",Submission!$O:$O,Submission!$H:$N,""))</f>
        <v/>
      </c>
      <c r="D35" s="286"/>
      <c r="E35" s="286"/>
      <c r="F35" s="286"/>
      <c r="G35" s="286" t="str">
        <f>_xlfn.CONCAT(_xlfn.XLOOKUP("[S07_AircraftOperatorsUseArt15MandateDetail][9][AircraftOperatorName]",Submission!$O:$O,Submission!$H:$N,""))</f>
        <v/>
      </c>
      <c r="H35" s="286"/>
      <c r="I35" s="286"/>
    </row>
    <row r="36" spans="2:9" s="27" customFormat="1" ht="15.9" hidden="1" customHeight="1" outlineLevel="1" x14ac:dyDescent="0.3">
      <c r="B36" s="10"/>
      <c r="C36" s="286" t="str">
        <f>_xlfn.CONCAT(_xlfn.XLOOKUP("[S07_AircraftOperatorsUseArt15MandateDetail][10][AircraftOperatorID]",Submission!$O:$O,Submission!$H:$N,""))</f>
        <v/>
      </c>
      <c r="D36" s="286"/>
      <c r="E36" s="286"/>
      <c r="F36" s="286"/>
      <c r="G36" s="286" t="str">
        <f>_xlfn.CONCAT(_xlfn.XLOOKUP("[S07_AircraftOperatorsUseArt15MandateDetail][10][AircraftOperatorName]",Submission!$O:$O,Submission!$H:$N,""))</f>
        <v/>
      </c>
      <c r="H36" s="286"/>
      <c r="I36" s="286"/>
    </row>
    <row r="37" spans="2:9" s="27" customFormat="1" ht="15.9" hidden="1" customHeight="1" outlineLevel="1" x14ac:dyDescent="0.3">
      <c r="B37" s="10"/>
      <c r="C37" s="286" t="str">
        <f>_xlfn.CONCAT(_xlfn.XLOOKUP("[S07_AircraftOperatorsUseArt15MandateDetail][11][AircraftOperatorID]",Submission!$O:$O,Submission!$H:$N,""))</f>
        <v/>
      </c>
      <c r="D37" s="286"/>
      <c r="E37" s="286"/>
      <c r="F37" s="286"/>
      <c r="G37" s="286" t="str">
        <f>_xlfn.CONCAT(_xlfn.XLOOKUP("[S07_AircraftOperatorsUseArt15MandateDetail][11][AircraftOperatorName]",Submission!$O:$O,Submission!$H:$N,""))</f>
        <v/>
      </c>
      <c r="H37" s="286"/>
      <c r="I37" s="286"/>
    </row>
    <row r="38" spans="2:9" s="27" customFormat="1" ht="15.9" hidden="1" customHeight="1" outlineLevel="1" x14ac:dyDescent="0.3">
      <c r="B38" s="10"/>
      <c r="C38" s="286" t="str">
        <f>_xlfn.CONCAT(_xlfn.XLOOKUP("[S07_AircraftOperatorsUseArt15MandateDetail][12][AircraftOperatorID]",Submission!$O:$O,Submission!$H:$N,""))</f>
        <v/>
      </c>
      <c r="D38" s="286"/>
      <c r="E38" s="286"/>
      <c r="F38" s="286"/>
      <c r="G38" s="286" t="str">
        <f>_xlfn.CONCAT(_xlfn.XLOOKUP("[S07_AircraftOperatorsUseArt15MandateDetail][12][AircraftOperatorName]",Submission!$O:$O,Submission!$H:$N,""))</f>
        <v/>
      </c>
      <c r="H38" s="286"/>
      <c r="I38" s="286"/>
    </row>
    <row r="39" spans="2:9" s="27" customFormat="1" ht="15.9" hidden="1" customHeight="1" outlineLevel="1" x14ac:dyDescent="0.3">
      <c r="B39" s="10"/>
      <c r="C39" s="286" t="str">
        <f>_xlfn.CONCAT(_xlfn.XLOOKUP("[S07_AircraftOperatorsUseArt15MandateDetail][13][AircraftOperatorID]",Submission!$O:$O,Submission!$H:$N,""))</f>
        <v/>
      </c>
      <c r="D39" s="286"/>
      <c r="E39" s="286"/>
      <c r="F39" s="286"/>
      <c r="G39" s="286" t="str">
        <f>_xlfn.CONCAT(_xlfn.XLOOKUP("[S07_AircraftOperatorsUseArt15MandateDetail][13][AircraftOperatorName]",Submission!$O:$O,Submission!$H:$N,""))</f>
        <v/>
      </c>
      <c r="H39" s="286"/>
      <c r="I39" s="286"/>
    </row>
    <row r="40" spans="2:9" s="27" customFormat="1" ht="15.9" hidden="1" customHeight="1" outlineLevel="1" x14ac:dyDescent="0.3">
      <c r="B40" s="10"/>
      <c r="C40" s="286" t="str">
        <f>_xlfn.CONCAT(_xlfn.XLOOKUP("[S07_AircraftOperatorsUseArt15MandateDetail][14][AircraftOperatorID]",Submission!$O:$O,Submission!$H:$N,""))</f>
        <v/>
      </c>
      <c r="D40" s="286"/>
      <c r="E40" s="286"/>
      <c r="F40" s="286"/>
      <c r="G40" s="286" t="str">
        <f>_xlfn.CONCAT(_xlfn.XLOOKUP("[S07_AircraftOperatorsUseArt15MandateDetail][14][AircraftOperatorName]",Submission!$O:$O,Submission!$H:$N,""))</f>
        <v/>
      </c>
      <c r="H40" s="286"/>
      <c r="I40" s="286"/>
    </row>
    <row r="41" spans="2:9" s="27" customFormat="1" ht="15.9" hidden="1" customHeight="1" outlineLevel="1" x14ac:dyDescent="0.3">
      <c r="B41" s="10"/>
      <c r="C41" s="286" t="str">
        <f>_xlfn.CONCAT(_xlfn.XLOOKUP("[S07_AircraftOperatorsUseArt15MandateDetail][15][AircraftOperatorID]",Submission!$O:$O,Submission!$H:$N,""))</f>
        <v/>
      </c>
      <c r="D41" s="286"/>
      <c r="E41" s="286"/>
      <c r="F41" s="286"/>
      <c r="G41" s="286" t="str">
        <f>_xlfn.CONCAT(_xlfn.XLOOKUP("[S07_AircraftOperatorsUseArt15MandateDetail][15][AircraftOperatorName]",Submission!$O:$O,Submission!$H:$N,""))</f>
        <v/>
      </c>
      <c r="H41" s="286"/>
      <c r="I41" s="286"/>
    </row>
    <row r="42" spans="2:9" s="27" customFormat="1" ht="15.9" hidden="1" customHeight="1" outlineLevel="1" x14ac:dyDescent="0.3">
      <c r="B42" s="10"/>
      <c r="C42" s="286" t="str">
        <f>_xlfn.CONCAT(_xlfn.XLOOKUP("[S07_AircraftOperatorsUseArt15MandateDetail][16][AircraftOperatorID]",Submission!$O:$O,Submission!$H:$N,""))</f>
        <v/>
      </c>
      <c r="D42" s="286"/>
      <c r="E42" s="286"/>
      <c r="F42" s="286"/>
      <c r="G42" s="286" t="str">
        <f>_xlfn.CONCAT(_xlfn.XLOOKUP("[S07_AircraftOperatorsUseArt15MandateDetail][16][AircraftOperatorName]",Submission!$O:$O,Submission!$H:$N,""))</f>
        <v/>
      </c>
      <c r="H42" s="286"/>
      <c r="I42" s="286"/>
    </row>
    <row r="43" spans="2:9" s="27" customFormat="1" ht="15.9" hidden="1" customHeight="1" outlineLevel="1" x14ac:dyDescent="0.3">
      <c r="B43" s="10"/>
      <c r="C43" s="286" t="str">
        <f>_xlfn.CONCAT(_xlfn.XLOOKUP("[S07_AircraftOperatorsUseArt15MandateDetail][17][AircraftOperatorID]",Submission!$O:$O,Submission!$H:$N,""))</f>
        <v/>
      </c>
      <c r="D43" s="286"/>
      <c r="E43" s="286"/>
      <c r="F43" s="286"/>
      <c r="G43" s="286" t="str">
        <f>_xlfn.CONCAT(_xlfn.XLOOKUP("[S07_AircraftOperatorsUseArt15MandateDetail][17][AircraftOperatorName]",Submission!$O:$O,Submission!$H:$N,""))</f>
        <v/>
      </c>
      <c r="H43" s="286"/>
      <c r="I43" s="286"/>
    </row>
    <row r="44" spans="2:9" s="27" customFormat="1" ht="15.9" hidden="1" customHeight="1" outlineLevel="1" x14ac:dyDescent="0.3">
      <c r="B44" s="10"/>
      <c r="C44" s="286" t="str">
        <f>_xlfn.CONCAT(_xlfn.XLOOKUP("[S07_AircraftOperatorsUseArt15MandateDetail][18][AircraftOperatorID]",Submission!$O:$O,Submission!$H:$N,""))</f>
        <v/>
      </c>
      <c r="D44" s="286"/>
      <c r="E44" s="286"/>
      <c r="F44" s="286"/>
      <c r="G44" s="286" t="str">
        <f>_xlfn.CONCAT(_xlfn.XLOOKUP("[S07_AircraftOperatorsUseArt15MandateDetail][18][AircraftOperatorName]",Submission!$O:$O,Submission!$H:$N,""))</f>
        <v/>
      </c>
      <c r="H44" s="286"/>
      <c r="I44" s="286"/>
    </row>
    <row r="45" spans="2:9" s="27" customFormat="1" ht="15.9" hidden="1" customHeight="1" outlineLevel="1" x14ac:dyDescent="0.3">
      <c r="B45" s="10"/>
      <c r="C45" s="286" t="str">
        <f>_xlfn.CONCAT(_xlfn.XLOOKUP("[S07_AircraftOperatorsUseArt15MandateDetail][19][AircraftOperatorID]",Submission!$O:$O,Submission!$H:$N,""))</f>
        <v/>
      </c>
      <c r="D45" s="286"/>
      <c r="E45" s="286"/>
      <c r="F45" s="286"/>
      <c r="G45" s="286" t="str">
        <f>_xlfn.CONCAT(_xlfn.XLOOKUP("[S07_AircraftOperatorsUseArt15MandateDetail][19][AircraftOperatorName]",Submission!$O:$O,Submission!$H:$N,""))</f>
        <v/>
      </c>
      <c r="H45" s="286"/>
      <c r="I45" s="286"/>
    </row>
    <row r="46" spans="2:9" s="27" customFormat="1" ht="15.9" hidden="1" customHeight="1" outlineLevel="1" x14ac:dyDescent="0.3">
      <c r="B46" s="10"/>
      <c r="C46" s="286" t="str">
        <f>_xlfn.CONCAT(_xlfn.XLOOKUP("[S07_AircraftOperatorsUseArt15MandateDetail][20][AircraftOperatorID]",Submission!$O:$O,Submission!$H:$N,""))</f>
        <v/>
      </c>
      <c r="D46" s="286"/>
      <c r="E46" s="286"/>
      <c r="F46" s="286"/>
      <c r="G46" s="286" t="str">
        <f>_xlfn.CONCAT(_xlfn.XLOOKUP("[S07_AircraftOperatorsUseArt15MandateDetail][20][AircraftOperatorName]",Submission!$O:$O,Submission!$H:$N,""))</f>
        <v/>
      </c>
      <c r="H46" s="286"/>
      <c r="I46" s="286"/>
    </row>
    <row r="47" spans="2:9" s="27" customFormat="1" ht="15.9" hidden="1" customHeight="1" outlineLevel="1" x14ac:dyDescent="0.3">
      <c r="B47" s="10"/>
      <c r="C47" s="286" t="str">
        <f>_xlfn.CONCAT(_xlfn.XLOOKUP("[S07_AircraftOperatorsUseArt15MandateDetail][21][AircraftOperatorID]",Submission!$O:$O,Submission!$H:$N,""))</f>
        <v/>
      </c>
      <c r="D47" s="286"/>
      <c r="E47" s="286"/>
      <c r="F47" s="286"/>
      <c r="G47" s="286" t="str">
        <f>_xlfn.CONCAT(_xlfn.XLOOKUP("[S07_AircraftOperatorsUseArt15MandateDetail][21][AircraftOperatorName]",Submission!$O:$O,Submission!$H:$N,""))</f>
        <v/>
      </c>
      <c r="H47" s="286"/>
      <c r="I47" s="286"/>
    </row>
    <row r="48" spans="2:9" s="27" customFormat="1" ht="15.9" hidden="1" customHeight="1" outlineLevel="1" x14ac:dyDescent="0.3">
      <c r="B48" s="10"/>
      <c r="C48" s="286" t="str">
        <f>_xlfn.CONCAT(_xlfn.XLOOKUP("[S07_AircraftOperatorsUseArt15MandateDetail][22][AircraftOperatorID]",Submission!$O:$O,Submission!$H:$N,""))</f>
        <v/>
      </c>
      <c r="D48" s="286"/>
      <c r="E48" s="286"/>
      <c r="F48" s="286"/>
      <c r="G48" s="286" t="str">
        <f>_xlfn.CONCAT(_xlfn.XLOOKUP("[S07_AircraftOperatorsUseArt15MandateDetail][22][AircraftOperatorName]",Submission!$O:$O,Submission!$H:$N,""))</f>
        <v/>
      </c>
      <c r="H48" s="286"/>
      <c r="I48" s="286"/>
    </row>
    <row r="49" spans="2:9" s="27" customFormat="1" ht="15.9" hidden="1" customHeight="1" outlineLevel="1" x14ac:dyDescent="0.3">
      <c r="B49" s="10"/>
      <c r="C49" s="286" t="str">
        <f>_xlfn.CONCAT(_xlfn.XLOOKUP("[S07_AircraftOperatorsUseArt15MandateDetail][23][AircraftOperatorID]",Submission!$O:$O,Submission!$H:$N,""))</f>
        <v/>
      </c>
      <c r="D49" s="286"/>
      <c r="E49" s="286"/>
      <c r="F49" s="286"/>
      <c r="G49" s="286" t="str">
        <f>_xlfn.CONCAT(_xlfn.XLOOKUP("[S07_AircraftOperatorsUseArt15MandateDetail][23][AircraftOperatorName]",Submission!$O:$O,Submission!$H:$N,""))</f>
        <v/>
      </c>
      <c r="H49" s="286"/>
      <c r="I49" s="286"/>
    </row>
    <row r="50" spans="2:9" s="27" customFormat="1" ht="15.9" hidden="1" customHeight="1" outlineLevel="1" x14ac:dyDescent="0.3">
      <c r="B50" s="10"/>
      <c r="C50" s="286" t="str">
        <f>_xlfn.CONCAT(_xlfn.XLOOKUP("[S07_AircraftOperatorsUseArt15MandateDetail][24][AircraftOperatorID]",Submission!$O:$O,Submission!$H:$N,""))</f>
        <v/>
      </c>
      <c r="D50" s="286"/>
      <c r="E50" s="286"/>
      <c r="F50" s="286"/>
      <c r="G50" s="286" t="str">
        <f>_xlfn.CONCAT(_xlfn.XLOOKUP("[S07_AircraftOperatorsUseArt15MandateDetail][24][AircraftOperatorName]",Submission!$O:$O,Submission!$H:$N,""))</f>
        <v/>
      </c>
      <c r="H50" s="286"/>
      <c r="I50" s="286"/>
    </row>
    <row r="51" spans="2:9" s="27" customFormat="1" ht="15.9" hidden="1" customHeight="1" outlineLevel="1" x14ac:dyDescent="0.3">
      <c r="B51" s="10"/>
      <c r="C51" s="286" t="str">
        <f>_xlfn.CONCAT(_xlfn.XLOOKUP("[S07_AircraftOperatorsUseArt15MandateDetail][25][AircraftOperatorID]",Submission!$O:$O,Submission!$H:$N,""))</f>
        <v/>
      </c>
      <c r="D51" s="286"/>
      <c r="E51" s="286"/>
      <c r="F51" s="286"/>
      <c r="G51" s="286" t="str">
        <f>_xlfn.CONCAT(_xlfn.XLOOKUP("[S07_AircraftOperatorsUseArt15MandateDetail][25][AircraftOperatorName]",Submission!$O:$O,Submission!$H:$N,""))</f>
        <v/>
      </c>
      <c r="H51" s="286"/>
      <c r="I51" s="286"/>
    </row>
    <row r="52" spans="2:9" s="27" customFormat="1" ht="15.9" hidden="1" customHeight="1" outlineLevel="1" x14ac:dyDescent="0.3">
      <c r="B52" s="10"/>
      <c r="C52" s="286" t="str">
        <f>_xlfn.CONCAT(_xlfn.XLOOKUP("[S07_AircraftOperatorsUseArt15MandateDetail][26][AircraftOperatorID]",Submission!$O:$O,Submission!$H:$N,""))</f>
        <v/>
      </c>
      <c r="D52" s="286"/>
      <c r="E52" s="286"/>
      <c r="F52" s="286"/>
      <c r="G52" s="286" t="str">
        <f>_xlfn.CONCAT(_xlfn.XLOOKUP("[S07_AircraftOperatorsUseArt15MandateDetail][26][AircraftOperatorName]",Submission!$O:$O,Submission!$H:$N,""))</f>
        <v/>
      </c>
      <c r="H52" s="286"/>
      <c r="I52" s="286"/>
    </row>
    <row r="53" spans="2:9" s="27" customFormat="1" ht="15.9" hidden="1" customHeight="1" outlineLevel="1" x14ac:dyDescent="0.3">
      <c r="B53" s="10"/>
      <c r="C53" s="286" t="str">
        <f>_xlfn.CONCAT(_xlfn.XLOOKUP("[S07_AircraftOperatorsUseArt15MandateDetail][27][AircraftOperatorID]",Submission!$O:$O,Submission!$H:$N,""))</f>
        <v/>
      </c>
      <c r="D53" s="286"/>
      <c r="E53" s="286"/>
      <c r="F53" s="286"/>
      <c r="G53" s="286" t="str">
        <f>_xlfn.CONCAT(_xlfn.XLOOKUP("[S07_AircraftOperatorsUseArt15MandateDetail][27][AircraftOperatorName]",Submission!$O:$O,Submission!$H:$N,""))</f>
        <v/>
      </c>
      <c r="H53" s="286"/>
      <c r="I53" s="286"/>
    </row>
    <row r="54" spans="2:9" s="27" customFormat="1" ht="15.9" hidden="1" customHeight="1" outlineLevel="1" x14ac:dyDescent="0.3">
      <c r="B54" s="10"/>
      <c r="C54" s="286" t="str">
        <f>_xlfn.CONCAT(_xlfn.XLOOKUP("[S07_AircraftOperatorsUseArt15MandateDetail][28][AircraftOperatorID]",Submission!$O:$O,Submission!$H:$N,""))</f>
        <v/>
      </c>
      <c r="D54" s="286"/>
      <c r="E54" s="286"/>
      <c r="F54" s="286"/>
      <c r="G54" s="286" t="str">
        <f>_xlfn.CONCAT(_xlfn.XLOOKUP("[S07_AircraftOperatorsUseArt15MandateDetail][28][AircraftOperatorName]",Submission!$O:$O,Submission!$H:$N,""))</f>
        <v/>
      </c>
      <c r="H54" s="286"/>
      <c r="I54" s="286"/>
    </row>
    <row r="55" spans="2:9" s="27" customFormat="1" ht="15.9" hidden="1" customHeight="1" outlineLevel="1" x14ac:dyDescent="0.3">
      <c r="B55" s="10"/>
      <c r="C55" s="286" t="str">
        <f>_xlfn.CONCAT(_xlfn.XLOOKUP("[S07_AircraftOperatorsUseArt15MandateDetail][29][AircraftOperatorID]",Submission!$O:$O,Submission!$H:$N,""))</f>
        <v/>
      </c>
      <c r="D55" s="286"/>
      <c r="E55" s="286"/>
      <c r="F55" s="286"/>
      <c r="G55" s="286" t="str">
        <f>_xlfn.CONCAT(_xlfn.XLOOKUP("[S07_AircraftOperatorsUseArt15MandateDetail][29][AircraftOperatorName]",Submission!$O:$O,Submission!$H:$N,""))</f>
        <v/>
      </c>
      <c r="H55" s="286"/>
      <c r="I55" s="286"/>
    </row>
    <row r="56" spans="2:9" s="27" customFormat="1" ht="15.9" hidden="1" customHeight="1" outlineLevel="1" x14ac:dyDescent="0.3">
      <c r="B56" s="10"/>
      <c r="C56" s="286" t="str">
        <f>_xlfn.CONCAT(_xlfn.XLOOKUP("[S07_AircraftOperatorsUseArt15MandateDetail][30][AircraftOperatorID]",Submission!$O:$O,Submission!$H:$N,""))</f>
        <v/>
      </c>
      <c r="D56" s="286"/>
      <c r="E56" s="286"/>
      <c r="F56" s="286"/>
      <c r="G56" s="286" t="str">
        <f>_xlfn.CONCAT(_xlfn.XLOOKUP("[S07_AircraftOperatorsUseArt15MandateDetail][30][AircraftOperatorName]",Submission!$O:$O,Submission!$H:$N,""))</f>
        <v/>
      </c>
      <c r="H56" s="286"/>
      <c r="I56" s="286"/>
    </row>
    <row r="57" spans="2:9" s="27" customFormat="1" ht="15.9" hidden="1" customHeight="1" outlineLevel="1" x14ac:dyDescent="0.3">
      <c r="B57" s="10"/>
      <c r="C57" s="286" t="str">
        <f>_xlfn.CONCAT(_xlfn.XLOOKUP("[S07_AircraftOperatorsUseArt15MandateDetail][31][AircraftOperatorID]",Submission!$O:$O,Submission!$H:$N,""))</f>
        <v/>
      </c>
      <c r="D57" s="286"/>
      <c r="E57" s="286"/>
      <c r="F57" s="286"/>
      <c r="G57" s="286" t="str">
        <f>_xlfn.CONCAT(_xlfn.XLOOKUP("[S07_AircraftOperatorsUseArt15MandateDetail][31][AircraftOperatorName]",Submission!$O:$O,Submission!$H:$N,""))</f>
        <v/>
      </c>
      <c r="H57" s="286"/>
      <c r="I57" s="286"/>
    </row>
    <row r="58" spans="2:9" s="27" customFormat="1" ht="15.9" hidden="1" customHeight="1" outlineLevel="1" x14ac:dyDescent="0.3">
      <c r="B58" s="10"/>
      <c r="C58" s="286" t="str">
        <f>_xlfn.CONCAT(_xlfn.XLOOKUP("[S07_AircraftOperatorsUseArt15MandateDetail][32][AircraftOperatorID]",Submission!$O:$O,Submission!$H:$N,""))</f>
        <v/>
      </c>
      <c r="D58" s="286"/>
      <c r="E58" s="286"/>
      <c r="F58" s="286"/>
      <c r="G58" s="286" t="str">
        <f>_xlfn.CONCAT(_xlfn.XLOOKUP("[S07_AircraftOperatorsUseArt15MandateDetail][32][AircraftOperatorName]",Submission!$O:$O,Submission!$H:$N,""))</f>
        <v/>
      </c>
      <c r="H58" s="286"/>
      <c r="I58" s="286"/>
    </row>
    <row r="59" spans="2:9" s="27" customFormat="1" ht="15.9" hidden="1" customHeight="1" outlineLevel="1" x14ac:dyDescent="0.3">
      <c r="B59" s="10"/>
      <c r="C59" s="286" t="str">
        <f>_xlfn.CONCAT(_xlfn.XLOOKUP("[S07_AircraftOperatorsUseArt15MandateDetail][33][AircraftOperatorID]",Submission!$O:$O,Submission!$H:$N,""))</f>
        <v/>
      </c>
      <c r="D59" s="286"/>
      <c r="E59" s="286"/>
      <c r="F59" s="286"/>
      <c r="G59" s="286" t="str">
        <f>_xlfn.CONCAT(_xlfn.XLOOKUP("[S07_AircraftOperatorsUseArt15MandateDetail][33][AircraftOperatorName]",Submission!$O:$O,Submission!$H:$N,""))</f>
        <v/>
      </c>
      <c r="H59" s="286"/>
      <c r="I59" s="286"/>
    </row>
    <row r="60" spans="2:9" s="27" customFormat="1" ht="15.9" hidden="1" customHeight="1" outlineLevel="1" x14ac:dyDescent="0.3">
      <c r="B60" s="10"/>
      <c r="C60" s="286" t="str">
        <f>_xlfn.CONCAT(_xlfn.XLOOKUP("[S07_AircraftOperatorsUseArt15MandateDetail][34][AircraftOperatorID]",Submission!$O:$O,Submission!$H:$N,""))</f>
        <v/>
      </c>
      <c r="D60" s="286"/>
      <c r="E60" s="286"/>
      <c r="F60" s="286"/>
      <c r="G60" s="286" t="str">
        <f>_xlfn.CONCAT(_xlfn.XLOOKUP("[S07_AircraftOperatorsUseArt15MandateDetail][34][AircraftOperatorName]",Submission!$O:$O,Submission!$H:$N,""))</f>
        <v/>
      </c>
      <c r="H60" s="286"/>
      <c r="I60" s="286"/>
    </row>
    <row r="61" spans="2:9" s="27" customFormat="1" ht="15.9" hidden="1" customHeight="1" outlineLevel="1" x14ac:dyDescent="0.3">
      <c r="B61" s="10"/>
      <c r="C61" s="286" t="str">
        <f>_xlfn.CONCAT(_xlfn.XLOOKUP("[S07_AircraftOperatorsUseArt15MandateDetail][35][AircraftOperatorID]",Submission!$O:$O,Submission!$H:$N,""))</f>
        <v/>
      </c>
      <c r="D61" s="286"/>
      <c r="E61" s="286"/>
      <c r="F61" s="286"/>
      <c r="G61" s="286" t="str">
        <f>_xlfn.CONCAT(_xlfn.XLOOKUP("[S07_AircraftOperatorsUseArt15MandateDetail][35][AircraftOperatorName]",Submission!$O:$O,Submission!$H:$N,""))</f>
        <v/>
      </c>
      <c r="H61" s="286"/>
      <c r="I61" s="286"/>
    </row>
    <row r="62" spans="2:9" s="27" customFormat="1" ht="15.9" hidden="1" customHeight="1" outlineLevel="1" x14ac:dyDescent="0.3">
      <c r="B62" s="10"/>
      <c r="C62" s="286" t="str">
        <f>_xlfn.CONCAT(_xlfn.XLOOKUP("[S07_AircraftOperatorsUseArt15MandateDetail][36][AircraftOperatorID]",Submission!$O:$O,Submission!$H:$N,""))</f>
        <v/>
      </c>
      <c r="D62" s="286"/>
      <c r="E62" s="286"/>
      <c r="F62" s="286"/>
      <c r="G62" s="286" t="str">
        <f>_xlfn.CONCAT(_xlfn.XLOOKUP("[S07_AircraftOperatorsUseArt15MandateDetail][36][AircraftOperatorName]",Submission!$O:$O,Submission!$H:$N,""))</f>
        <v/>
      </c>
      <c r="H62" s="286"/>
      <c r="I62" s="286"/>
    </row>
    <row r="63" spans="2:9" s="27" customFormat="1" ht="15.9" hidden="1" customHeight="1" outlineLevel="1" x14ac:dyDescent="0.3">
      <c r="B63" s="10"/>
      <c r="C63" s="286" t="str">
        <f>_xlfn.CONCAT(_xlfn.XLOOKUP("[S07_AircraftOperatorsUseArt15MandateDetail][37][AircraftOperatorID]",Submission!$O:$O,Submission!$H:$N,""))</f>
        <v/>
      </c>
      <c r="D63" s="286"/>
      <c r="E63" s="286"/>
      <c r="F63" s="286"/>
      <c r="G63" s="286" t="str">
        <f>_xlfn.CONCAT(_xlfn.XLOOKUP("[S07_AircraftOperatorsUseArt15MandateDetail][37][AircraftOperatorName]",Submission!$O:$O,Submission!$H:$N,""))</f>
        <v/>
      </c>
      <c r="H63" s="286"/>
      <c r="I63" s="286"/>
    </row>
    <row r="64" spans="2:9" s="27" customFormat="1" ht="15.9" hidden="1" customHeight="1" outlineLevel="1" x14ac:dyDescent="0.3">
      <c r="B64" s="10"/>
      <c r="C64" s="286" t="str">
        <f>_xlfn.CONCAT(_xlfn.XLOOKUP("[S07_AircraftOperatorsUseArt15MandateDetail][38][AircraftOperatorID]",Submission!$O:$O,Submission!$H:$N,""))</f>
        <v/>
      </c>
      <c r="D64" s="286"/>
      <c r="E64" s="286"/>
      <c r="F64" s="286"/>
      <c r="G64" s="286" t="str">
        <f>_xlfn.CONCAT(_xlfn.XLOOKUP("[S07_AircraftOperatorsUseArt15MandateDetail][38][AircraftOperatorName]",Submission!$O:$O,Submission!$H:$N,""))</f>
        <v/>
      </c>
      <c r="H64" s="286"/>
      <c r="I64" s="286"/>
    </row>
    <row r="65" spans="1:9" s="27" customFormat="1" ht="15.9" hidden="1" customHeight="1" outlineLevel="1" x14ac:dyDescent="0.3">
      <c r="B65" s="10"/>
      <c r="C65" s="286" t="str">
        <f>_xlfn.CONCAT(_xlfn.XLOOKUP("[S07_AircraftOperatorsUseArt15MandateDetail][39][AircraftOperatorID]",Submission!$O:$O,Submission!$H:$N,""))</f>
        <v/>
      </c>
      <c r="D65" s="286"/>
      <c r="E65" s="286"/>
      <c r="F65" s="286"/>
      <c r="G65" s="286" t="str">
        <f>_xlfn.CONCAT(_xlfn.XLOOKUP("[S07_AircraftOperatorsUseArt15MandateDetail][39][AircraftOperatorName]",Submission!$O:$O,Submission!$H:$N,""))</f>
        <v/>
      </c>
      <c r="H65" s="286"/>
      <c r="I65" s="286"/>
    </row>
    <row r="66" spans="1:9" s="27" customFormat="1" ht="15.9" hidden="1" customHeight="1" outlineLevel="1" x14ac:dyDescent="0.3">
      <c r="B66" s="10"/>
      <c r="C66" s="286" t="str">
        <f>_xlfn.CONCAT(_xlfn.XLOOKUP("[S07_AircraftOperatorsUseArt15MandateDetail][40][AircraftOperatorID]",Submission!$O:$O,Submission!$H:$N,""))</f>
        <v/>
      </c>
      <c r="D66" s="286"/>
      <c r="E66" s="286"/>
      <c r="F66" s="286"/>
      <c r="G66" s="286" t="str">
        <f>_xlfn.CONCAT(_xlfn.XLOOKUP("[S07_AircraftOperatorsUseArt15MandateDetail][40][AircraftOperatorName]",Submission!$O:$O,Submission!$H:$N,""))</f>
        <v/>
      </c>
      <c r="H66" s="286"/>
      <c r="I66" s="286"/>
    </row>
    <row r="67" spans="1:9" ht="15.9" customHeight="1" collapsed="1" x14ac:dyDescent="0.3">
      <c r="A67" s="13"/>
      <c r="B67" s="26" t="s">
        <v>2</v>
      </c>
      <c r="C67" s="19"/>
      <c r="D67" s="20"/>
      <c r="E67" s="20"/>
      <c r="F67" s="20"/>
      <c r="G67" s="20"/>
      <c r="H67" s="20"/>
      <c r="I67" s="20"/>
    </row>
    <row r="68" spans="1:9" ht="15.9" customHeight="1" x14ac:dyDescent="0.3">
      <c r="C68" s="248" t="s">
        <v>1131</v>
      </c>
      <c r="D68" s="249"/>
      <c r="E68" s="249"/>
      <c r="F68" s="249"/>
      <c r="G68" s="249"/>
      <c r="H68" s="249"/>
      <c r="I68" s="249"/>
    </row>
  </sheetData>
  <mergeCells count="115">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8</v>
      </c>
      <c r="B3" s="327" t="s">
        <v>450</v>
      </c>
      <c r="C3" s="327"/>
      <c r="D3" s="327"/>
      <c r="E3" s="327"/>
      <c r="F3" s="327"/>
      <c r="G3" s="327"/>
      <c r="H3" s="327"/>
      <c r="I3" s="327"/>
    </row>
    <row r="4" spans="1:9" s="7" customFormat="1" ht="18.899999999999999" customHeight="1" x14ac:dyDescent="0.35">
      <c r="A4" s="85" t="s">
        <v>451</v>
      </c>
      <c r="B4" s="325" t="s">
        <v>145</v>
      </c>
      <c r="C4" s="325"/>
      <c r="D4" s="325"/>
      <c r="E4" s="325"/>
      <c r="F4" s="325"/>
      <c r="G4" s="325"/>
      <c r="H4" s="325"/>
      <c r="I4" s="326"/>
    </row>
    <row r="5" spans="1:9" s="7" customFormat="1" ht="15.6" customHeight="1" x14ac:dyDescent="0.3">
      <c r="A5" s="12" t="s">
        <v>452</v>
      </c>
      <c r="B5" s="479" t="s">
        <v>1132</v>
      </c>
      <c r="C5" s="479"/>
      <c r="D5" s="479"/>
      <c r="E5" s="479"/>
      <c r="F5" s="479"/>
      <c r="G5" s="479"/>
      <c r="H5" s="479"/>
      <c r="I5" s="479"/>
    </row>
    <row r="6" spans="1:9" s="11" customFormat="1" ht="33" customHeight="1" x14ac:dyDescent="0.3">
      <c r="A6" s="12"/>
      <c r="B6" s="293" t="s">
        <v>1133</v>
      </c>
      <c r="C6" s="294"/>
      <c r="D6" s="294"/>
      <c r="E6" s="294"/>
      <c r="F6" s="294"/>
      <c r="G6" s="294"/>
      <c r="H6" s="295"/>
      <c r="I6" s="41" t="str">
        <f>_xlfn.CONCAT(_xlfn.XLOOKUP("[CommissionTemplatesAllocation][0][CommissionTemplatesAllocation]",Submission!$O:$O,Submission!$H:$N,""))</f>
        <v/>
      </c>
    </row>
    <row r="7" spans="1:9" ht="49.95" customHeight="1" x14ac:dyDescent="0.3">
      <c r="A7" s="13"/>
      <c r="B7" s="293" t="s">
        <v>1134</v>
      </c>
      <c r="C7" s="294"/>
      <c r="D7" s="294"/>
      <c r="E7" s="294"/>
      <c r="F7" s="294"/>
      <c r="G7" s="294"/>
      <c r="H7" s="294"/>
      <c r="I7" s="294"/>
    </row>
    <row r="8" spans="1:9" x14ac:dyDescent="0.3">
      <c r="C8" s="482"/>
      <c r="D8" s="483"/>
      <c r="E8" s="337" t="s">
        <v>1135</v>
      </c>
      <c r="F8" s="339"/>
      <c r="G8" s="337" t="s">
        <v>1136</v>
      </c>
      <c r="H8" s="338"/>
      <c r="I8" s="339"/>
    </row>
    <row r="9" spans="1:9" ht="27.6" customHeight="1" x14ac:dyDescent="0.3">
      <c r="C9" s="337" t="s">
        <v>1137</v>
      </c>
      <c r="D9" s="339"/>
      <c r="E9" s="281" t="str">
        <f>_xlfn.CONCAT(_xlfn.XLOOKUP("[S08_MSCustomisedTemplatesAllocation][1][SpecificTemplateOrFileFormat]",Submission!$O:$O,Submission!$H:$N,""))</f>
        <v/>
      </c>
      <c r="F9" s="347"/>
      <c r="G9" s="480" t="str">
        <f>_xlfn.CONCAT(_xlfn.XLOOKUP("[S08_MSCustomisedTemplatesAllocation][1][HowTemplateSpecific]",Submission!$O:$O,Submission!$H:$N,""))</f>
        <v/>
      </c>
      <c r="H9" s="456"/>
      <c r="I9" s="457"/>
    </row>
    <row r="10" spans="1:9" ht="27.6" customHeight="1" x14ac:dyDescent="0.3">
      <c r="C10" s="365" t="s">
        <v>1138</v>
      </c>
      <c r="D10" s="365"/>
      <c r="E10" s="281" t="str">
        <f>_xlfn.CONCAT(_xlfn.XLOOKUP("[S08_MSCustomisedTemplatesAllocation][2][SpecificTemplateOrFileFormat]",Submission!$O:$O,Submission!$H:$N,""))</f>
        <v/>
      </c>
      <c r="F10" s="347"/>
      <c r="G10" s="481" t="str">
        <f>_xlfn.CONCAT(_xlfn.XLOOKUP("[S08_MSCustomisedTemplatesAllocation][2][HowTemplateSpecific]",Submission!$O:$O,Submission!$H:$N,""))</f>
        <v/>
      </c>
      <c r="H10" s="481"/>
      <c r="I10" s="481"/>
    </row>
    <row r="11" spans="1:9" ht="27.6" customHeight="1" x14ac:dyDescent="0.3">
      <c r="C11" s="337" t="s">
        <v>1139</v>
      </c>
      <c r="D11" s="339"/>
      <c r="E11" s="281" t="str">
        <f>_xlfn.CONCAT(_xlfn.XLOOKUP("[S08_MSCustomisedTemplatesAllocation][3][SpecificTemplateOrFileFormat]",Submission!$O:$O,Submission!$H:$N,""))</f>
        <v/>
      </c>
      <c r="F11" s="347"/>
      <c r="G11" s="455" t="str">
        <f>_xlfn.CONCAT(_xlfn.XLOOKUP("[S08_MSCustomisedTemplatesAllocation][3][HowTemplateSpecific]",Submission!$O:$O,Submission!$H:$N,""))</f>
        <v/>
      </c>
      <c r="H11" s="456"/>
      <c r="I11" s="457"/>
    </row>
    <row r="12" spans="1:9" ht="27.6" customHeight="1" x14ac:dyDescent="0.3">
      <c r="C12" s="337" t="s">
        <v>1140</v>
      </c>
      <c r="D12" s="339"/>
      <c r="E12" s="281" t="str">
        <f>_xlfn.CONCAT(_xlfn.XLOOKUP("[S08_MSCustomisedTemplatesAllocation][4][SpecificTemplateOrFileFormat]",Submission!$O:$O,Submission!$H:$N,""))</f>
        <v/>
      </c>
      <c r="F12" s="347"/>
      <c r="G12" s="455" t="str">
        <f>_xlfn.CONCAT(_xlfn.XLOOKUP("[S08_MSCustomisedTemplatesAllocation][4][HowTemplateSpecific]",Submission!$O:$O,Submission!$H:$N,""))</f>
        <v/>
      </c>
      <c r="H12" s="456"/>
      <c r="I12" s="457"/>
    </row>
    <row r="13" spans="1:9" x14ac:dyDescent="0.3">
      <c r="C13" s="248" t="s">
        <v>831</v>
      </c>
      <c r="D13" s="248"/>
      <c r="E13" s="248"/>
      <c r="F13" s="248"/>
      <c r="G13" s="248"/>
      <c r="H13" s="248"/>
      <c r="I13" s="248"/>
    </row>
    <row r="14" spans="1:9" x14ac:dyDescent="0.3">
      <c r="C14" s="464" t="s">
        <v>1141</v>
      </c>
      <c r="D14" s="464"/>
      <c r="E14" s="464"/>
      <c r="F14" s="464"/>
      <c r="G14" s="464"/>
      <c r="H14" s="464"/>
      <c r="I14" s="464"/>
    </row>
    <row r="15" spans="1:9" x14ac:dyDescent="0.3">
      <c r="C15" s="10"/>
      <c r="D15" s="10"/>
      <c r="E15" s="10"/>
      <c r="F15" s="10"/>
      <c r="G15" s="10"/>
      <c r="H15" s="10"/>
      <c r="I15" s="10"/>
    </row>
    <row r="16" spans="1:9" x14ac:dyDescent="0.3">
      <c r="A16" s="12" t="s">
        <v>459</v>
      </c>
      <c r="B16" s="454" t="s">
        <v>1142</v>
      </c>
      <c r="C16" s="454"/>
      <c r="D16" s="454"/>
      <c r="E16" s="454"/>
      <c r="F16" s="454"/>
      <c r="G16" s="454"/>
      <c r="H16" s="454"/>
      <c r="I16" s="454"/>
    </row>
    <row r="17" spans="1:9" ht="30.6" customHeight="1" x14ac:dyDescent="0.3">
      <c r="A17" s="12"/>
      <c r="B17" s="293" t="s">
        <v>1143</v>
      </c>
      <c r="C17" s="294"/>
      <c r="D17" s="294"/>
      <c r="E17" s="294"/>
      <c r="F17" s="294"/>
      <c r="G17" s="294"/>
      <c r="H17" s="295"/>
      <c r="I17" s="41" t="str">
        <f>_xlfn.CONCAT(_xlfn.XLOOKUP("[FeesAllocation][0][FeesAllocation]",Submission!$O:$O,Submission!$H:$N,""))</f>
        <v/>
      </c>
    </row>
    <row r="18" spans="1:9" x14ac:dyDescent="0.3">
      <c r="B18" s="465" t="s">
        <v>1144</v>
      </c>
      <c r="C18" s="465"/>
      <c r="D18" s="465"/>
      <c r="E18" s="465"/>
      <c r="F18" s="465"/>
      <c r="G18" s="465"/>
      <c r="H18" s="465"/>
      <c r="I18" s="465"/>
    </row>
    <row r="19" spans="1:9" x14ac:dyDescent="0.3">
      <c r="C19" s="444" t="s">
        <v>1145</v>
      </c>
      <c r="D19" s="445"/>
      <c r="E19" s="445"/>
      <c r="F19" s="446"/>
      <c r="G19" s="444" t="s">
        <v>1146</v>
      </c>
      <c r="H19" s="445"/>
      <c r="I19" s="446"/>
    </row>
    <row r="20" spans="1:9" x14ac:dyDescent="0.3">
      <c r="C20" s="461" t="s">
        <v>1147</v>
      </c>
      <c r="D20" s="462"/>
      <c r="E20" s="462"/>
      <c r="F20" s="463"/>
      <c r="G20" s="458" t="str">
        <f>_xlfn.CONCAT(_xlfn.XLOOKUP("[S08_FeesAllocationDetail][1][FeeAmount]",Submission!$O:$O,Submission!$H:$N,""))</f>
        <v/>
      </c>
      <c r="H20" s="459"/>
      <c r="I20" s="460"/>
    </row>
    <row r="21" spans="1:9" x14ac:dyDescent="0.3">
      <c r="C21" s="461" t="s">
        <v>1148</v>
      </c>
      <c r="D21" s="462"/>
      <c r="E21" s="462"/>
      <c r="F21" s="463"/>
      <c r="G21" s="458" t="str">
        <f>_xlfn.CONCAT(_xlfn.XLOOKUP("[S08_FeesAllocationDetail][2][FeeAmount]",Submission!$O:$O,Submission!$H:$N,""))</f>
        <v/>
      </c>
      <c r="H21" s="459"/>
      <c r="I21" s="460"/>
    </row>
    <row r="22" spans="1:9" x14ac:dyDescent="0.3">
      <c r="C22" s="461" t="s">
        <v>697</v>
      </c>
      <c r="D22" s="462"/>
      <c r="E22" s="251" t="str">
        <f>_xlfn.CONCAT(_xlfn.XLOOKUP("[S08_FeesAllocationDetail][3][FeeOther]",Submission!$O:$O,Submission!$H:$N,""))</f>
        <v/>
      </c>
      <c r="F22" s="252"/>
      <c r="G22" s="458" t="str">
        <f>_xlfn.CONCAT(_xlfn.XLOOKUP("[S08_FeesAllocationDetail][3][FeeAmount]",Submission!$O:$O,Submission!$H:$N,""))</f>
        <v/>
      </c>
      <c r="H22" s="459"/>
      <c r="I22" s="460"/>
    </row>
    <row r="23" spans="1:9" hidden="1" outlineLevel="1" x14ac:dyDescent="0.3">
      <c r="C23" s="461" t="s">
        <v>1149</v>
      </c>
      <c r="D23" s="462"/>
      <c r="E23" s="251" t="str">
        <f>_xlfn.CONCAT(_xlfn.XLOOKUP("[S08_FeesAllocationDetail][4][FeeOther]",Submission!$O:$O,Submission!$H:$N,""))</f>
        <v/>
      </c>
      <c r="F23" s="252"/>
      <c r="G23" s="458" t="str">
        <f>_xlfn.CONCAT(_xlfn.XLOOKUP("[S08_FeesAllocationDetail][4][FeeAmount]",Submission!$O:$O,Submission!$H:$N,""))</f>
        <v/>
      </c>
      <c r="H23" s="459"/>
      <c r="I23" s="460"/>
    </row>
    <row r="24" spans="1:9" hidden="1" outlineLevel="1" x14ac:dyDescent="0.3">
      <c r="C24" s="461" t="s">
        <v>1150</v>
      </c>
      <c r="D24" s="462"/>
      <c r="E24" s="251" t="str">
        <f>_xlfn.CONCAT(_xlfn.XLOOKUP("[S08_FeesAllocationDetail][5][FeeOther]",Submission!$O:$O,Submission!$H:$N,""))</f>
        <v/>
      </c>
      <c r="F24" s="252"/>
      <c r="G24" s="458" t="str">
        <f>_xlfn.CONCAT(_xlfn.XLOOKUP("[S08_FeesAllocationDetail][5][FeeAmount]",Submission!$O:$O,Submission!$H:$N,""))</f>
        <v/>
      </c>
      <c r="H24" s="459"/>
      <c r="I24" s="460"/>
    </row>
    <row r="25" spans="1:9" hidden="1" outlineLevel="1" x14ac:dyDescent="0.3">
      <c r="C25" s="461" t="s">
        <v>1151</v>
      </c>
      <c r="D25" s="462"/>
      <c r="E25" s="251" t="str">
        <f>_xlfn.CONCAT(_xlfn.XLOOKUP("[S08_FeesAllocationDetail][6][FeeOther]",Submission!$O:$O,Submission!$H:$N,""))</f>
        <v/>
      </c>
      <c r="F25" s="252"/>
      <c r="G25" s="458" t="str">
        <f>_xlfn.CONCAT(_xlfn.XLOOKUP("[S08_FeesAllocationDetail][6][FeeAmount]",Submission!$O:$O,Submission!$H:$N,""))</f>
        <v/>
      </c>
      <c r="H25" s="459"/>
      <c r="I25" s="460"/>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54" t="s">
        <v>1152</v>
      </c>
      <c r="C28" s="454"/>
      <c r="D28" s="454"/>
      <c r="E28" s="454"/>
      <c r="F28" s="454"/>
      <c r="G28" s="454"/>
      <c r="H28" s="454"/>
      <c r="I28" s="454"/>
    </row>
    <row r="29" spans="1:9" ht="28.5" customHeight="1" x14ac:dyDescent="0.3">
      <c r="A29" s="12"/>
      <c r="B29" s="293" t="s">
        <v>1153</v>
      </c>
      <c r="C29" s="294"/>
      <c r="D29" s="294"/>
      <c r="E29" s="294"/>
      <c r="F29" s="294"/>
      <c r="G29" s="294"/>
      <c r="H29" s="295"/>
      <c r="I29" s="41" t="str">
        <f>_xlfn.CONCAT(_xlfn.XLOOKUP("[ITforAllocationData][0][ITforAllocationData]",Submission!$O:$O,Submission!$H:$N,""))</f>
        <v/>
      </c>
    </row>
    <row r="31" spans="1:9" x14ac:dyDescent="0.3">
      <c r="A31" s="12" t="s">
        <v>468</v>
      </c>
      <c r="B31" s="293" t="s">
        <v>1154</v>
      </c>
      <c r="C31" s="294"/>
      <c r="D31" s="294"/>
      <c r="E31" s="294"/>
      <c r="F31" s="294"/>
      <c r="G31" s="294"/>
      <c r="H31" s="294"/>
      <c r="I31" s="294"/>
    </row>
    <row r="32" spans="1:9" x14ac:dyDescent="0.3">
      <c r="C32" s="318"/>
      <c r="D32" s="319"/>
      <c r="E32" s="319"/>
      <c r="F32" s="478"/>
      <c r="G32" s="303" t="s">
        <v>1045</v>
      </c>
      <c r="H32" s="304"/>
      <c r="I32" s="305"/>
    </row>
    <row r="33" spans="1:9" ht="27.6" customHeight="1" x14ac:dyDescent="0.3">
      <c r="C33" s="303" t="s">
        <v>1155</v>
      </c>
      <c r="D33" s="304"/>
      <c r="E33" s="304"/>
      <c r="F33" s="305"/>
      <c r="G33" s="475" t="str">
        <f>_xlfn.CONCAT(_xlfn.XLOOKUP("[S08_RenunciationSuspensionAllowances][1][NumberOfInstallations]",Submission!$O:$O,Submission!$H:$N,""))</f>
        <v/>
      </c>
      <c r="H33" s="476"/>
      <c r="I33" s="477"/>
    </row>
    <row r="34" spans="1:9" ht="28.95" customHeight="1" x14ac:dyDescent="0.3">
      <c r="C34" s="303" t="s">
        <v>1156</v>
      </c>
      <c r="D34" s="304"/>
      <c r="E34" s="304"/>
      <c r="F34" s="305"/>
      <c r="G34" s="475" t="str">
        <f>_xlfn.CONCAT(_xlfn.XLOOKUP("[S08_RenunciationSuspensionAllowances][2][NumberOfInstallations]",Submission!$O:$O,Submission!$H:$N,""))</f>
        <v/>
      </c>
      <c r="H34" s="476"/>
      <c r="I34" s="477"/>
    </row>
    <row r="35" spans="1:9" ht="27" customHeight="1" x14ac:dyDescent="0.3">
      <c r="C35" s="303" t="s">
        <v>1157</v>
      </c>
      <c r="D35" s="304"/>
      <c r="E35" s="304"/>
      <c r="F35" s="305"/>
      <c r="G35" s="475" t="str">
        <f>_xlfn.CONCAT(_xlfn.XLOOKUP("[S08_RenunciationSuspensionAllowances][3][NumberOfInstallations]",Submission!$O:$O,Submission!$H:$N,""))</f>
        <v/>
      </c>
      <c r="H35" s="476"/>
      <c r="I35" s="477"/>
    </row>
    <row r="37" spans="1:9" ht="33.6" customHeight="1" x14ac:dyDescent="0.3">
      <c r="A37" s="12" t="s">
        <v>472</v>
      </c>
      <c r="B37" s="293" t="s">
        <v>1158</v>
      </c>
      <c r="C37" s="294"/>
      <c r="D37" s="294"/>
      <c r="E37" s="294"/>
      <c r="F37" s="294"/>
      <c r="G37" s="294"/>
      <c r="H37" s="295"/>
      <c r="I37" s="41" t="str">
        <f>_xlfn.CONCAT(_xlfn.XLOOKUP("[SubInstallationBenchmark61][0][SubInstallationBenchmark61]",Submission!$O:$O,Submission!$H:$N,""))</f>
        <v/>
      </c>
    </row>
    <row r="38" spans="1:9" x14ac:dyDescent="0.3">
      <c r="B38" s="465" t="s">
        <v>1159</v>
      </c>
      <c r="C38" s="465"/>
      <c r="D38" s="465"/>
      <c r="E38" s="465"/>
      <c r="F38" s="465"/>
      <c r="G38" s="465"/>
      <c r="H38" s="465"/>
      <c r="I38" s="465"/>
    </row>
    <row r="39" spans="1:9" x14ac:dyDescent="0.3">
      <c r="C39" s="472" t="s">
        <v>1160</v>
      </c>
      <c r="D39" s="473"/>
      <c r="E39" s="473"/>
      <c r="F39" s="474"/>
      <c r="G39" s="472" t="s">
        <v>1161</v>
      </c>
      <c r="H39" s="473"/>
      <c r="I39" s="474"/>
    </row>
    <row r="40" spans="1:9" x14ac:dyDescent="0.3">
      <c r="C40" s="469" t="str">
        <f>_xlfn.CONCAT(_xlfn.XLOOKUP("[S08_SubInstallationBenchmark61Detail][1][FuelBenchmark]",Submission!$O:$O,Submission!$H:$N,""))</f>
        <v/>
      </c>
      <c r="D40" s="470"/>
      <c r="E40" s="470"/>
      <c r="F40" s="471"/>
      <c r="G40" s="469" t="str">
        <f>_xlfn.CONCAT(_xlfn.XLOOKUP("[S08_SubInstallationBenchmark61Detail][1][HeatBenchmark]",Submission!$O:$O,Submission!$H:$N,""))</f>
        <v/>
      </c>
      <c r="H40" s="470"/>
      <c r="I40" s="471"/>
    </row>
    <row r="42" spans="1:9" ht="30.6" customHeight="1" x14ac:dyDescent="0.3">
      <c r="B42" s="293" t="s">
        <v>1162</v>
      </c>
      <c r="C42" s="294"/>
      <c r="D42" s="294"/>
      <c r="E42" s="294"/>
      <c r="F42" s="294"/>
      <c r="G42" s="294"/>
      <c r="H42" s="295"/>
      <c r="I42" s="41" t="str">
        <f>_xlfn.CONCAT(_xlfn.XLOOKUP("[SubInstallationBenchmark61Reject][0][SubInstallationBenchmark61Reject]",Submission!$O:$O,Submission!$H:$N,""))</f>
        <v/>
      </c>
    </row>
    <row r="43" spans="1:9" x14ac:dyDescent="0.3">
      <c r="B43" s="465" t="s">
        <v>1163</v>
      </c>
      <c r="C43" s="465"/>
      <c r="D43" s="465"/>
      <c r="E43" s="465"/>
      <c r="F43" s="465"/>
      <c r="G43" s="465"/>
      <c r="H43" s="465"/>
      <c r="I43" s="465"/>
    </row>
    <row r="44" spans="1:9" x14ac:dyDescent="0.3">
      <c r="C44" s="444" t="s">
        <v>1160</v>
      </c>
      <c r="D44" s="445"/>
      <c r="E44" s="445"/>
      <c r="F44" s="446"/>
      <c r="G44" s="444" t="s">
        <v>1161</v>
      </c>
      <c r="H44" s="445"/>
      <c r="I44" s="446"/>
    </row>
    <row r="45" spans="1:9" x14ac:dyDescent="0.3">
      <c r="C45" s="469" t="str">
        <f>_xlfn.CONCAT(_xlfn.XLOOKUP("[S08_SubInstallationBenchmark61RejectDetail][1][FuelBenchmark]",Submission!$O:$O,Submission!$H:$N,""))</f>
        <v/>
      </c>
      <c r="D45" s="470"/>
      <c r="E45" s="470"/>
      <c r="F45" s="471"/>
      <c r="G45" s="469" t="str">
        <f>_xlfn.CONCAT(_xlfn.XLOOKUP("[S08_SubInstallationBenchmark61RejectDetail][1][HeatBenchmark]",Submission!$O:$O,Submission!$H:$N,""))</f>
        <v/>
      </c>
      <c r="H45" s="470"/>
      <c r="I45" s="471"/>
    </row>
    <row r="47" spans="1:9" ht="31.2" customHeight="1" x14ac:dyDescent="0.3">
      <c r="B47" s="293" t="s">
        <v>1164</v>
      </c>
      <c r="C47" s="294"/>
      <c r="D47" s="294"/>
      <c r="E47" s="294"/>
      <c r="F47" s="294"/>
      <c r="G47" s="294"/>
      <c r="H47" s="295"/>
      <c r="I47" s="41" t="str">
        <f>_xlfn.CONCAT(_xlfn.XLOOKUP("[SubInstallationBenchmark62][0][SubInstallationBenchmark62]",Submission!$O:$O,Submission!$H:$N,""))</f>
        <v/>
      </c>
    </row>
    <row r="48" spans="1:9" x14ac:dyDescent="0.3">
      <c r="B48" s="465" t="s">
        <v>1159</v>
      </c>
      <c r="C48" s="465"/>
      <c r="D48" s="465"/>
      <c r="E48" s="465"/>
      <c r="F48" s="465"/>
      <c r="G48" s="465"/>
      <c r="H48" s="465"/>
      <c r="I48" s="465"/>
    </row>
    <row r="49" spans="1:9" x14ac:dyDescent="0.3">
      <c r="C49" s="444" t="s">
        <v>1160</v>
      </c>
      <c r="D49" s="445"/>
      <c r="E49" s="445"/>
      <c r="F49" s="446"/>
      <c r="G49" s="444" t="s">
        <v>1161</v>
      </c>
      <c r="H49" s="445"/>
      <c r="I49" s="446"/>
    </row>
    <row r="50" spans="1:9" x14ac:dyDescent="0.3">
      <c r="C50" s="469" t="str">
        <f>_xlfn.CONCAT(_xlfn.XLOOKUP("[S08_SubInstallationBenchmark62Detail][1][FuelBenchmark]",Submission!$O:$O,Submission!$H:$N,""))</f>
        <v/>
      </c>
      <c r="D50" s="470"/>
      <c r="E50" s="470"/>
      <c r="F50" s="471"/>
      <c r="G50" s="469" t="str">
        <f>_xlfn.CONCAT(_xlfn.XLOOKUP("[S08_SubInstallationBenchmark62Detail][1][HeatBenchmark]",Submission!$O:$O,Submission!$H:$N,""))</f>
        <v/>
      </c>
      <c r="H50" s="470"/>
      <c r="I50" s="471"/>
    </row>
    <row r="52" spans="1:9" x14ac:dyDescent="0.3">
      <c r="A52" s="12" t="s">
        <v>478</v>
      </c>
      <c r="B52" s="293" t="s">
        <v>1165</v>
      </c>
      <c r="C52" s="294"/>
      <c r="D52" s="294"/>
      <c r="E52" s="294"/>
      <c r="F52" s="294"/>
      <c r="G52" s="294"/>
      <c r="H52" s="294"/>
      <c r="I52" s="294"/>
    </row>
    <row r="53" spans="1:9" x14ac:dyDescent="0.3">
      <c r="C53" s="260" t="s">
        <v>1166</v>
      </c>
      <c r="D53" s="487"/>
      <c r="E53" s="487"/>
      <c r="F53" s="488"/>
      <c r="G53" s="260" t="s">
        <v>1045</v>
      </c>
      <c r="H53" s="487"/>
      <c r="I53" s="488"/>
    </row>
    <row r="54" spans="1:9" ht="29.4" customHeight="1" x14ac:dyDescent="0.3">
      <c r="C54" s="246" t="s">
        <v>1167</v>
      </c>
      <c r="D54" s="263"/>
      <c r="E54" s="263"/>
      <c r="F54" s="264"/>
      <c r="G54" s="475" t="str">
        <f>_xlfn.CONCAT(_xlfn.XLOOKUP("[S08_ScopeExclusion][1][NumberOfInstallations]",Submission!$O:$O,Submission!$H:$N,""))</f>
        <v/>
      </c>
      <c r="H54" s="476"/>
      <c r="I54" s="477"/>
    </row>
    <row r="55" spans="1:9" ht="29.4" customHeight="1" x14ac:dyDescent="0.3">
      <c r="C55" s="246" t="s">
        <v>1168</v>
      </c>
      <c r="D55" s="263"/>
      <c r="E55" s="263"/>
      <c r="F55" s="264"/>
      <c r="G55" s="475" t="str">
        <f>_xlfn.CONCAT(_xlfn.XLOOKUP("[S08_ScopeExclusion][2][NumberOfInstallations]",Submission!$O:$O,Submission!$H:$N,""))</f>
        <v/>
      </c>
      <c r="H55" s="476"/>
      <c r="I55" s="477"/>
    </row>
    <row r="56" spans="1:9" ht="29.4" customHeight="1" x14ac:dyDescent="0.3">
      <c r="C56" s="246" t="s">
        <v>1169</v>
      </c>
      <c r="D56" s="263"/>
      <c r="E56" s="263"/>
      <c r="F56" s="264"/>
      <c r="G56" s="475" t="str">
        <f>_xlfn.CONCAT(_xlfn.XLOOKUP("[S08_ScopeExclusion][3][NumberOfInstallations]",Submission!$O:$O,Submission!$H:$N,""))</f>
        <v/>
      </c>
      <c r="H56" s="476"/>
      <c r="I56" s="477"/>
    </row>
    <row r="57" spans="1:9" ht="29.4" customHeight="1" x14ac:dyDescent="0.3">
      <c r="C57" s="246" t="s">
        <v>1170</v>
      </c>
      <c r="D57" s="263"/>
      <c r="E57" s="263"/>
      <c r="F57" s="264"/>
      <c r="G57" s="475" t="str">
        <f>_xlfn.CONCAT(_xlfn.XLOOKUP("[S08_ScopeExclusion][4][NumberOfInstallations]",Submission!$O:$O,Submission!$H:$N,""))</f>
        <v/>
      </c>
      <c r="H57" s="476"/>
      <c r="I57" s="477"/>
    </row>
    <row r="58" spans="1:9" ht="29.4" customHeight="1" x14ac:dyDescent="0.3">
      <c r="C58" s="246" t="s">
        <v>1171</v>
      </c>
      <c r="D58" s="263"/>
      <c r="E58" s="263"/>
      <c r="F58" s="264"/>
      <c r="G58" s="475" t="str">
        <f>_xlfn.CONCAT(_xlfn.XLOOKUP("[S08_ScopeExclusion][5][NumberOfInstallations]",Submission!$O:$O,Submission!$H:$N,""))</f>
        <v/>
      </c>
      <c r="H58" s="476"/>
      <c r="I58" s="477"/>
    </row>
    <row r="59" spans="1:9" ht="29.4" customHeight="1" x14ac:dyDescent="0.3">
      <c r="C59" s="246" t="s">
        <v>1172</v>
      </c>
      <c r="D59" s="264"/>
      <c r="E59" s="284" t="str">
        <f>_xlfn.CONCAT(_xlfn.XLOOKUP("[S08_ScopeExclusion][6][OtherReasons]",Submission!$O:$O,Submission!$H:$N,""))</f>
        <v/>
      </c>
      <c r="F59" s="285"/>
      <c r="G59" s="475" t="str">
        <f>_xlfn.CONCAT(_xlfn.XLOOKUP("[S08_ScopeExclusion][6][NumberOfInstallations]",Submission!$O:$O,Submission!$H:$N,""))</f>
        <v/>
      </c>
      <c r="H59" s="476"/>
      <c r="I59" s="477"/>
    </row>
    <row r="60" spans="1:9" ht="29.4" hidden="1" customHeight="1" outlineLevel="1" x14ac:dyDescent="0.3">
      <c r="C60" s="246" t="s">
        <v>1173</v>
      </c>
      <c r="D60" s="264"/>
      <c r="E60" s="251" t="str">
        <f>_xlfn.CONCAT(_xlfn.XLOOKUP("[S08_ScopeExclusion][7][OtherReasons]",Submission!$O:$O,Submission!$H:$N,""))</f>
        <v/>
      </c>
      <c r="F60" s="252"/>
      <c r="G60" s="458" t="str">
        <f>_xlfn.CONCAT(_xlfn.XLOOKUP("[S08_ScopeExclusion][7][NumberOfInstallations]",Submission!$O:$O,Submission!$H:$N,""))</f>
        <v/>
      </c>
      <c r="H60" s="459"/>
      <c r="I60" s="460"/>
    </row>
    <row r="61" spans="1:9" ht="29.4" hidden="1" customHeight="1" outlineLevel="1" x14ac:dyDescent="0.3">
      <c r="C61" s="246" t="s">
        <v>1174</v>
      </c>
      <c r="D61" s="264"/>
      <c r="E61" s="251" t="str">
        <f>_xlfn.CONCAT(_xlfn.XLOOKUP("[S08_ScopeExclusion][8][OtherReasons]",Submission!$O:$O,Submission!$H:$N,""))</f>
        <v/>
      </c>
      <c r="F61" s="252"/>
      <c r="G61" s="458" t="str">
        <f>_xlfn.CONCAT(_xlfn.XLOOKUP("[S08_ScopeExclusion][8][NumberOfInstallations]",Submission!$O:$O,Submission!$H:$N,""))</f>
        <v/>
      </c>
      <c r="H61" s="459"/>
      <c r="I61" s="460"/>
    </row>
    <row r="62" spans="1:9" ht="29.4" hidden="1" customHeight="1" outlineLevel="1" x14ac:dyDescent="0.3">
      <c r="C62" s="246" t="s">
        <v>1175</v>
      </c>
      <c r="D62" s="264"/>
      <c r="E62" s="251" t="str">
        <f>_xlfn.CONCAT(_xlfn.XLOOKUP("[S08_ScopeExclusion][9][OtherReasons]",Submission!$O:$O,Submission!$H:$N,""))</f>
        <v/>
      </c>
      <c r="F62" s="252"/>
      <c r="G62" s="458" t="str">
        <f>_xlfn.CONCAT(_xlfn.XLOOKUP("[S08_ScopeExclusion][9][NumberOfInstallations]",Submission!$O:$O,Submission!$H:$N,""))</f>
        <v/>
      </c>
      <c r="H62" s="459"/>
      <c r="I62" s="460"/>
    </row>
    <row r="63" spans="1:9" collapsed="1" x14ac:dyDescent="0.3">
      <c r="B63" s="26" t="s">
        <v>1000</v>
      </c>
    </row>
    <row r="65" spans="1:9" ht="15.6" customHeight="1" x14ac:dyDescent="0.3">
      <c r="A65" s="12" t="s">
        <v>481</v>
      </c>
      <c r="B65" s="293" t="s">
        <v>1176</v>
      </c>
      <c r="C65" s="294"/>
      <c r="D65" s="294"/>
      <c r="E65" s="294"/>
      <c r="F65" s="294"/>
      <c r="G65" s="294"/>
      <c r="H65" s="295"/>
      <c r="I65" s="41" t="str">
        <f>_xlfn.CONCAT(_xlfn.XLOOKUP("[Article10cApplied][0][Article10cApplied]",Submission!$O:$O,Submission!$H:$N,""))</f>
        <v/>
      </c>
    </row>
    <row r="66" spans="1:9" x14ac:dyDescent="0.3">
      <c r="B66" s="465" t="s">
        <v>1177</v>
      </c>
      <c r="C66" s="465"/>
      <c r="D66" s="465"/>
      <c r="E66" s="465"/>
      <c r="F66" s="465"/>
      <c r="G66" s="465"/>
      <c r="H66" s="465"/>
      <c r="I66" s="465"/>
    </row>
    <row r="67" spans="1:9" x14ac:dyDescent="0.3">
      <c r="C67" s="484"/>
      <c r="D67" s="485"/>
      <c r="E67" s="485"/>
      <c r="F67" s="486"/>
      <c r="G67" s="444" t="s">
        <v>1178</v>
      </c>
      <c r="H67" s="445"/>
      <c r="I67" s="446"/>
    </row>
    <row r="68" spans="1:9" x14ac:dyDescent="0.3">
      <c r="C68" s="287" t="s">
        <v>1179</v>
      </c>
      <c r="D68" s="288"/>
      <c r="E68" s="288"/>
      <c r="F68" s="289"/>
      <c r="G68" s="469" t="str">
        <f>_xlfn.CONCAT(_xlfn.XLOOKUP("[S08_Article10cAppliedDetail][1][NumberOfAllowances]",Submission!$O:$O,Submission!$H:$N,""))</f>
        <v/>
      </c>
      <c r="H68" s="470"/>
      <c r="I68" s="471"/>
    </row>
    <row r="69" spans="1:9" x14ac:dyDescent="0.3">
      <c r="C69" s="287" t="s">
        <v>1743</v>
      </c>
      <c r="D69" s="288"/>
      <c r="E69" s="288"/>
      <c r="F69" s="289"/>
      <c r="G69" s="469" t="str">
        <f>_xlfn.CONCAT(_xlfn.XLOOKUP("[S08_Article10cAppliedDetail][2][NumberOfAllowances]",Submission!$O:$O,Submission!$H:$N,""))</f>
        <v/>
      </c>
      <c r="H69" s="470"/>
      <c r="I69" s="471"/>
    </row>
    <row r="71" spans="1:9" s="7" customFormat="1" ht="18.899999999999999" customHeight="1" x14ac:dyDescent="0.35">
      <c r="A71" s="85" t="s">
        <v>486</v>
      </c>
      <c r="B71" s="325" t="s">
        <v>1180</v>
      </c>
      <c r="C71" s="325"/>
      <c r="D71" s="325"/>
      <c r="E71" s="325"/>
      <c r="F71" s="325"/>
      <c r="G71" s="325"/>
      <c r="H71" s="325"/>
      <c r="I71" s="326"/>
    </row>
    <row r="72" spans="1:9" ht="13.5" customHeight="1" x14ac:dyDescent="0.3">
      <c r="A72" s="12" t="s">
        <v>488</v>
      </c>
      <c r="B72" s="454" t="s">
        <v>1181</v>
      </c>
      <c r="C72" s="454"/>
      <c r="D72" s="454"/>
      <c r="E72" s="454"/>
      <c r="F72" s="454"/>
      <c r="G72" s="454"/>
      <c r="H72" s="454"/>
      <c r="I72" s="454"/>
    </row>
    <row r="73" spans="1:9" ht="19.95" customHeight="1" x14ac:dyDescent="0.3">
      <c r="A73" s="12"/>
      <c r="B73" s="293" t="s">
        <v>1182</v>
      </c>
      <c r="C73" s="294"/>
      <c r="D73" s="294"/>
      <c r="E73" s="294"/>
      <c r="F73" s="294"/>
      <c r="G73" s="294"/>
      <c r="H73" s="294"/>
      <c r="I73" s="294"/>
    </row>
    <row r="74" spans="1:9" ht="15.9" customHeight="1" x14ac:dyDescent="0.3">
      <c r="C74" s="303" t="s">
        <v>1183</v>
      </c>
      <c r="D74" s="304"/>
      <c r="E74" s="304"/>
      <c r="F74" s="304"/>
      <c r="G74" s="305"/>
      <c r="H74" s="442" t="s">
        <v>76</v>
      </c>
      <c r="I74" s="443"/>
    </row>
    <row r="75" spans="1:9" ht="19.95" customHeight="1" x14ac:dyDescent="0.3">
      <c r="C75" s="246" t="s">
        <v>1184</v>
      </c>
      <c r="D75" s="263"/>
      <c r="E75" s="263"/>
      <c r="F75" s="263"/>
      <c r="G75" s="264"/>
      <c r="H75" s="341" t="str">
        <f>_xlfn.CONCAT(_xlfn.XLOOKUP("[S08_NegativeOpinionBaselineData][1][NumberOfInstallations]",Submission!$O:$O,Submission!$H:$N,""))</f>
        <v/>
      </c>
      <c r="I75" s="356"/>
    </row>
    <row r="76" spans="1:9" ht="19.95" customHeight="1" x14ac:dyDescent="0.3">
      <c r="C76" s="246" t="s">
        <v>1185</v>
      </c>
      <c r="D76" s="263"/>
      <c r="E76" s="263"/>
      <c r="F76" s="263"/>
      <c r="G76" s="264"/>
      <c r="H76" s="341" t="str">
        <f>_xlfn.CONCAT(_xlfn.XLOOKUP("[S08_NegativeOpinionBaselineData][2][NumberOfInstallations]",Submission!$O:$O,Submission!$H:$N,""))</f>
        <v/>
      </c>
      <c r="I76" s="356"/>
    </row>
    <row r="77" spans="1:9" ht="19.95" customHeight="1" x14ac:dyDescent="0.3">
      <c r="C77" s="246" t="s">
        <v>1186</v>
      </c>
      <c r="D77" s="263"/>
      <c r="E77" s="263"/>
      <c r="F77" s="263"/>
      <c r="G77" s="264"/>
      <c r="H77" s="341" t="str">
        <f>_xlfn.CONCAT(_xlfn.XLOOKUP("[S08_NegativeOpinionBaselineData][3][NumberOfInstallations]",Submission!$O:$O,Submission!$H:$N,""))</f>
        <v/>
      </c>
      <c r="I77" s="356"/>
    </row>
    <row r="78" spans="1:9" x14ac:dyDescent="0.3">
      <c r="B78" s="16"/>
      <c r="C78" s="19"/>
      <c r="D78" s="20"/>
      <c r="E78" s="20"/>
      <c r="F78" s="20"/>
      <c r="G78" s="20"/>
      <c r="H78" s="20"/>
      <c r="I78" s="20"/>
    </row>
    <row r="79" spans="1:9" ht="13.5" customHeight="1" x14ac:dyDescent="0.3">
      <c r="A79" s="12" t="s">
        <v>493</v>
      </c>
      <c r="B79" s="454" t="s">
        <v>1187</v>
      </c>
      <c r="C79" s="454"/>
      <c r="D79" s="454"/>
      <c r="E79" s="454"/>
      <c r="F79" s="454"/>
      <c r="G79" s="454"/>
      <c r="H79" s="454"/>
      <c r="I79" s="454"/>
    </row>
    <row r="80" spans="1:9" ht="33.6" customHeight="1" x14ac:dyDescent="0.3">
      <c r="A80" s="12"/>
      <c r="B80" s="293" t="s">
        <v>1188</v>
      </c>
      <c r="C80" s="294"/>
      <c r="D80" s="294"/>
      <c r="E80" s="294"/>
      <c r="F80" s="294"/>
      <c r="G80" s="294"/>
      <c r="H80" s="295"/>
      <c r="I80" s="41" t="str">
        <f>_xlfn.CONCAT(_xlfn.XLOOKUP("[BaselineDataIssues][0][BaselineDataIssues]",Submission!$O:$O,Submission!$H:$N,""))</f>
        <v/>
      </c>
    </row>
    <row r="81" spans="2:9" x14ac:dyDescent="0.3">
      <c r="B81" s="465" t="s">
        <v>1043</v>
      </c>
      <c r="C81" s="465"/>
      <c r="D81" s="465"/>
      <c r="E81" s="465"/>
      <c r="F81" s="465"/>
      <c r="G81" s="465"/>
      <c r="H81" s="465"/>
      <c r="I81" s="465"/>
    </row>
    <row r="82" spans="2:9" ht="96.6" customHeight="1" x14ac:dyDescent="0.3">
      <c r="C82" s="444" t="s">
        <v>879</v>
      </c>
      <c r="D82" s="446"/>
      <c r="E82" s="43" t="s">
        <v>1044</v>
      </c>
      <c r="F82" s="43" t="s">
        <v>1045</v>
      </c>
      <c r="G82" s="43" t="s">
        <v>1046</v>
      </c>
      <c r="H82" s="303" t="s">
        <v>1189</v>
      </c>
      <c r="I82" s="305"/>
    </row>
    <row r="83" spans="2:9" ht="43.95" customHeight="1" x14ac:dyDescent="0.3">
      <c r="C83" s="284" t="str">
        <f>_xlfn.CONCAT(_xlfn.XLOOKUP("[S08_BaselineDataIssuesDetail][1][AnnexIActivity]",Submission!$O:$O,Submission!$H:$N,""))</f>
        <v/>
      </c>
      <c r="D83" s="285"/>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52" t="str">
        <f>_xlfn.CONCAT(_xlfn.XLOOKUP("[S08_BaselineDataIssuesDetail][1][NumberOfInstallationsArt152]",Submission!$O:$O,Submission!$H:$N,""))</f>
        <v/>
      </c>
      <c r="I83" s="453"/>
    </row>
    <row r="84" spans="2:9" ht="43.95" customHeight="1" x14ac:dyDescent="0.3">
      <c r="C84" s="284" t="str">
        <f>_xlfn.CONCAT(_xlfn.XLOOKUP("[S08_BaselineDataIssuesDetail][2][AnnexIActivity]",Submission!$O:$O,Submission!$H:$N,""))</f>
        <v/>
      </c>
      <c r="D84" s="285"/>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52" t="str">
        <f>_xlfn.CONCAT(_xlfn.XLOOKUP("[S08_BaselineDataIssuesDetail][2][NumberOfInstallationsArt152]",Submission!$O:$O,Submission!$H:$N,""))</f>
        <v/>
      </c>
      <c r="I84" s="453"/>
    </row>
    <row r="85" spans="2:9" ht="43.95" customHeight="1" x14ac:dyDescent="0.3">
      <c r="C85" s="284" t="str">
        <f>_xlfn.CONCAT(_xlfn.XLOOKUP("[S08_BaselineDataIssuesDetail][3][AnnexIActivity]",Submission!$O:$O,Submission!$H:$N,""))</f>
        <v/>
      </c>
      <c r="D85" s="285"/>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52" t="str">
        <f>_xlfn.CONCAT(_xlfn.XLOOKUP("[S08_BaselineDataIssuesDetail][3][NumberOfInstallationsArt152]",Submission!$O:$O,Submission!$H:$N,""))</f>
        <v/>
      </c>
      <c r="I85" s="453"/>
    </row>
    <row r="86" spans="2:9" ht="43.95" customHeight="1" x14ac:dyDescent="0.3">
      <c r="C86" s="284" t="str">
        <f>_xlfn.CONCAT(_xlfn.XLOOKUP("[S08_BaselineDataIssuesDetail][4][AnnexIActivity]",Submission!$O:$O,Submission!$H:$N,""))</f>
        <v/>
      </c>
      <c r="D86" s="285"/>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52" t="str">
        <f>_xlfn.CONCAT(_xlfn.XLOOKUP("[S08_BaselineDataIssuesDetail][4][NumberOfInstallationsArt152]",Submission!$O:$O,Submission!$H:$N,""))</f>
        <v/>
      </c>
      <c r="I86" s="453"/>
    </row>
    <row r="87" spans="2:9" ht="43.95" customHeight="1" x14ac:dyDescent="0.3">
      <c r="C87" s="284" t="str">
        <f>_xlfn.CONCAT(_xlfn.XLOOKUP("[S08_BaselineDataIssuesDetail][5][AnnexIActivity]",Submission!$O:$O,Submission!$H:$N,""))</f>
        <v/>
      </c>
      <c r="D87" s="285"/>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52" t="str">
        <f>_xlfn.CONCAT(_xlfn.XLOOKUP("[S08_BaselineDataIssuesDetail][5][NumberOfInstallationsArt152]",Submission!$O:$O,Submission!$H:$N,""))</f>
        <v/>
      </c>
      <c r="I87" s="453"/>
    </row>
    <row r="88" spans="2:9" ht="43.95" customHeight="1" x14ac:dyDescent="0.3">
      <c r="C88" s="284" t="str">
        <f>_xlfn.CONCAT(_xlfn.XLOOKUP("[S08_BaselineDataIssuesDetail][6][AnnexIActivity]",Submission!$O:$O,Submission!$H:$N,""))</f>
        <v/>
      </c>
      <c r="D88" s="285"/>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52" t="str">
        <f>_xlfn.CONCAT(_xlfn.XLOOKUP("[S08_BaselineDataIssuesDetail][6][NumberOfInstallationsArt152]",Submission!$O:$O,Submission!$H:$N,""))</f>
        <v/>
      </c>
      <c r="I88" s="453"/>
    </row>
    <row r="89" spans="2:9" ht="43.95" customHeight="1" x14ac:dyDescent="0.3">
      <c r="C89" s="284" t="str">
        <f>_xlfn.CONCAT(_xlfn.XLOOKUP("[S08_BaselineDataIssuesDetail][7][AnnexIActivity]",Submission!$O:$O,Submission!$H:$N,""))</f>
        <v/>
      </c>
      <c r="D89" s="285"/>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52" t="str">
        <f>_xlfn.CONCAT(_xlfn.XLOOKUP("[S08_BaselineDataIssuesDetail][7][NumberOfInstallationsArt152]",Submission!$O:$O,Submission!$H:$N,""))</f>
        <v/>
      </c>
      <c r="I89" s="453"/>
    </row>
    <row r="90" spans="2:9" ht="43.95" customHeight="1" x14ac:dyDescent="0.3">
      <c r="C90" s="284" t="str">
        <f>_xlfn.CONCAT(_xlfn.XLOOKUP("[S08_BaselineDataIssuesDetail][8][AnnexIActivity]",Submission!$O:$O,Submission!$H:$N,""))</f>
        <v/>
      </c>
      <c r="D90" s="285"/>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52" t="str">
        <f>_xlfn.CONCAT(_xlfn.XLOOKUP("[S08_BaselineDataIssuesDetail][8][NumberOfInstallationsArt152]",Submission!$O:$O,Submission!$H:$N,""))</f>
        <v/>
      </c>
      <c r="I90" s="453"/>
    </row>
    <row r="91" spans="2:9" ht="43.95" customHeight="1" x14ac:dyDescent="0.3">
      <c r="C91" s="284" t="str">
        <f>_xlfn.CONCAT(_xlfn.XLOOKUP("[S08_BaselineDataIssuesDetail][9][AnnexIActivity]",Submission!$O:$O,Submission!$H:$N,""))</f>
        <v/>
      </c>
      <c r="D91" s="285"/>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52" t="str">
        <f>_xlfn.CONCAT(_xlfn.XLOOKUP("[S08_BaselineDataIssuesDetail][9][NumberOfInstallationsArt152]",Submission!$O:$O,Submission!$H:$N,""))</f>
        <v/>
      </c>
      <c r="I91" s="453"/>
    </row>
    <row r="92" spans="2:9" ht="43.95" customHeight="1" x14ac:dyDescent="0.3">
      <c r="C92" s="284" t="str">
        <f>_xlfn.CONCAT(_xlfn.XLOOKUP("[S08_BaselineDataIssuesDetail][10][AnnexIActivity]",Submission!$O:$O,Submission!$H:$N,""))</f>
        <v/>
      </c>
      <c r="D92" s="285"/>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52" t="str">
        <f>_xlfn.CONCAT(_xlfn.XLOOKUP("[S08_BaselineDataIssuesDetail][10][NumberOfInstallationsArt152]",Submission!$O:$O,Submission!$H:$N,""))</f>
        <v/>
      </c>
      <c r="I92" s="453"/>
    </row>
    <row r="93" spans="2:9" ht="43.95" customHeight="1" x14ac:dyDescent="0.3">
      <c r="C93" s="284" t="str">
        <f>_xlfn.CONCAT(_xlfn.XLOOKUP("[S08_BaselineDataIssuesDetail][11][AnnexIActivity]",Submission!$O:$O,Submission!$H:$N,""))</f>
        <v/>
      </c>
      <c r="D93" s="285"/>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52" t="str">
        <f>_xlfn.CONCAT(_xlfn.XLOOKUP("[S08_BaselineDataIssuesDetail][11][NumberOfInstallationsArt152]",Submission!$O:$O,Submission!$H:$N,""))</f>
        <v/>
      </c>
      <c r="I93" s="453"/>
    </row>
    <row r="94" spans="2:9" ht="43.95" customHeight="1" x14ac:dyDescent="0.3">
      <c r="C94" s="284" t="str">
        <f>_xlfn.CONCAT(_xlfn.XLOOKUP("[S08_BaselineDataIssuesDetail][12][AnnexIActivity]",Submission!$O:$O,Submission!$H:$N,""))</f>
        <v/>
      </c>
      <c r="D94" s="285"/>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52" t="str">
        <f>_xlfn.CONCAT(_xlfn.XLOOKUP("[S08_BaselineDataIssuesDetail][12][NumberOfInstallationsArt152]",Submission!$O:$O,Submission!$H:$N,""))</f>
        <v/>
      </c>
      <c r="I94" s="453"/>
    </row>
    <row r="95" spans="2:9" ht="43.95" customHeight="1" x14ac:dyDescent="0.3">
      <c r="C95" s="284" t="str">
        <f>_xlfn.CONCAT(_xlfn.XLOOKUP("[S08_BaselineDataIssuesDetail][13][AnnexIActivity]",Submission!$O:$O,Submission!$H:$N,""))</f>
        <v/>
      </c>
      <c r="D95" s="285"/>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52" t="str">
        <f>_xlfn.CONCAT(_xlfn.XLOOKUP("[S08_BaselineDataIssuesDetail][13][NumberOfInstallationsArt152]",Submission!$O:$O,Submission!$H:$N,""))</f>
        <v/>
      </c>
      <c r="I95" s="453"/>
    </row>
    <row r="96" spans="2:9" ht="43.95" customHeight="1" x14ac:dyDescent="0.3">
      <c r="C96" s="284" t="str">
        <f>_xlfn.CONCAT(_xlfn.XLOOKUP("[S08_BaselineDataIssuesDetail][14][AnnexIActivity]",Submission!$O:$O,Submission!$H:$N,""))</f>
        <v/>
      </c>
      <c r="D96" s="285"/>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52" t="str">
        <f>_xlfn.CONCAT(_xlfn.XLOOKUP("[S08_BaselineDataIssuesDetail][14][NumberOfInstallationsArt152]",Submission!$O:$O,Submission!$H:$N,""))</f>
        <v/>
      </c>
      <c r="I96" s="453"/>
    </row>
    <row r="97" spans="3:9" ht="43.95" customHeight="1" x14ac:dyDescent="0.3">
      <c r="C97" s="284" t="str">
        <f>_xlfn.CONCAT(_xlfn.XLOOKUP("[S08_BaselineDataIssuesDetail][15][AnnexIActivity]",Submission!$O:$O,Submission!$H:$N,""))</f>
        <v/>
      </c>
      <c r="D97" s="285"/>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52" t="str">
        <f>_xlfn.CONCAT(_xlfn.XLOOKUP("[S08_BaselineDataIssuesDetail][15][NumberOfInstallationsArt152]",Submission!$O:$O,Submission!$H:$N,""))</f>
        <v/>
      </c>
      <c r="I97" s="453"/>
    </row>
    <row r="98" spans="3:9" ht="43.95" hidden="1" customHeight="1" outlineLevel="1" x14ac:dyDescent="0.3">
      <c r="C98" s="284" t="str">
        <f>_xlfn.CONCAT(_xlfn.XLOOKUP("[S08_BaselineDataIssuesDetail][16][AnnexIActivity]",Submission!$O:$O,Submission!$H:$N,""))</f>
        <v/>
      </c>
      <c r="D98" s="285"/>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52" t="str">
        <f>_xlfn.CONCAT(_xlfn.XLOOKUP("[S08_BaselineDataIssuesDetail][16][NumberOfInstallationsArt152]",Submission!$O:$O,Submission!$H:$N,""))</f>
        <v/>
      </c>
      <c r="I98" s="453"/>
    </row>
    <row r="99" spans="3:9" ht="43.95" hidden="1" customHeight="1" outlineLevel="1" x14ac:dyDescent="0.3">
      <c r="C99" s="284" t="str">
        <f>_xlfn.CONCAT(_xlfn.XLOOKUP("[S08_BaselineDataIssuesDetail][17][AnnexIActivity]",Submission!$O:$O,Submission!$H:$N,""))</f>
        <v/>
      </c>
      <c r="D99" s="285"/>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52" t="str">
        <f>_xlfn.CONCAT(_xlfn.XLOOKUP("[S08_BaselineDataIssuesDetail][17][NumberOfInstallationsArt152]",Submission!$O:$O,Submission!$H:$N,""))</f>
        <v/>
      </c>
      <c r="I99" s="453"/>
    </row>
    <row r="100" spans="3:9" ht="43.95" hidden="1" customHeight="1" outlineLevel="1" x14ac:dyDescent="0.3">
      <c r="C100" s="284" t="str">
        <f>_xlfn.CONCAT(_xlfn.XLOOKUP("[S08_BaselineDataIssuesDetail][18][AnnexIActivity]",Submission!$O:$O,Submission!$H:$N,""))</f>
        <v/>
      </c>
      <c r="D100" s="285"/>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52" t="str">
        <f>_xlfn.CONCAT(_xlfn.XLOOKUP("[S08_BaselineDataIssuesDetail][18][NumberOfInstallationsArt152]",Submission!$O:$O,Submission!$H:$N,""))</f>
        <v/>
      </c>
      <c r="I100" s="453"/>
    </row>
    <row r="101" spans="3:9" ht="43.95" hidden="1" customHeight="1" outlineLevel="1" x14ac:dyDescent="0.3">
      <c r="C101" s="284" t="str">
        <f>_xlfn.CONCAT(_xlfn.XLOOKUP("[S08_BaselineDataIssuesDetail][19][AnnexIActivity]",Submission!$O:$O,Submission!$H:$N,""))</f>
        <v/>
      </c>
      <c r="D101" s="285"/>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52" t="str">
        <f>_xlfn.CONCAT(_xlfn.XLOOKUP("[S08_BaselineDataIssuesDetail][19][NumberOfInstallationsArt152]",Submission!$O:$O,Submission!$H:$N,""))</f>
        <v/>
      </c>
      <c r="I101" s="453"/>
    </row>
    <row r="102" spans="3:9" ht="43.95" hidden="1" customHeight="1" outlineLevel="1" x14ac:dyDescent="0.3">
      <c r="C102" s="284" t="str">
        <f>_xlfn.CONCAT(_xlfn.XLOOKUP("[S08_BaselineDataIssuesDetail][20][AnnexIActivity]",Submission!$O:$O,Submission!$H:$N,""))</f>
        <v/>
      </c>
      <c r="D102" s="285"/>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52" t="str">
        <f>_xlfn.CONCAT(_xlfn.XLOOKUP("[S08_BaselineDataIssuesDetail][20][NumberOfInstallationsArt152]",Submission!$O:$O,Submission!$H:$N,""))</f>
        <v/>
      </c>
      <c r="I102" s="453"/>
    </row>
    <row r="103" spans="3:9" ht="43.95" hidden="1" customHeight="1" outlineLevel="1" x14ac:dyDescent="0.3">
      <c r="C103" s="284" t="str">
        <f>_xlfn.CONCAT(_xlfn.XLOOKUP("[S08_BaselineDataIssuesDetail][21][AnnexIActivity]",Submission!$O:$O,Submission!$H:$N,""))</f>
        <v/>
      </c>
      <c r="D103" s="285"/>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52" t="str">
        <f>_xlfn.CONCAT(_xlfn.XLOOKUP("[S08_BaselineDataIssuesDetail][21][NumberOfInstallationsArt152]",Submission!$O:$O,Submission!$H:$N,""))</f>
        <v/>
      </c>
      <c r="I103" s="453"/>
    </row>
    <row r="104" spans="3:9" ht="43.95" hidden="1" customHeight="1" outlineLevel="1" x14ac:dyDescent="0.3">
      <c r="C104" s="284" t="str">
        <f>_xlfn.CONCAT(_xlfn.XLOOKUP("[S08_BaselineDataIssuesDetail][22][AnnexIActivity]",Submission!$O:$O,Submission!$H:$N,""))</f>
        <v/>
      </c>
      <c r="D104" s="285"/>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52" t="str">
        <f>_xlfn.CONCAT(_xlfn.XLOOKUP("[S08_BaselineDataIssuesDetail][22][NumberOfInstallationsArt152]",Submission!$O:$O,Submission!$H:$N,""))</f>
        <v/>
      </c>
      <c r="I104" s="453"/>
    </row>
    <row r="105" spans="3:9" ht="43.95" hidden="1" customHeight="1" outlineLevel="1" x14ac:dyDescent="0.3">
      <c r="C105" s="284" t="str">
        <f>_xlfn.CONCAT(_xlfn.XLOOKUP("[S08_BaselineDataIssuesDetail][23][AnnexIActivity]",Submission!$O:$O,Submission!$H:$N,""))</f>
        <v/>
      </c>
      <c r="D105" s="285"/>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52" t="str">
        <f>_xlfn.CONCAT(_xlfn.XLOOKUP("[S08_BaselineDataIssuesDetail][23][NumberOfInstallationsArt152]",Submission!$O:$O,Submission!$H:$N,""))</f>
        <v/>
      </c>
      <c r="I105" s="453"/>
    </row>
    <row r="106" spans="3:9" ht="43.95" hidden="1" customHeight="1" outlineLevel="1" x14ac:dyDescent="0.3">
      <c r="C106" s="284" t="str">
        <f>_xlfn.CONCAT(_xlfn.XLOOKUP("[S08_BaselineDataIssuesDetail][24][AnnexIActivity]",Submission!$O:$O,Submission!$H:$N,""))</f>
        <v/>
      </c>
      <c r="D106" s="285"/>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52" t="str">
        <f>_xlfn.CONCAT(_xlfn.XLOOKUP("[S08_BaselineDataIssuesDetail][24][NumberOfInstallationsArt152]",Submission!$O:$O,Submission!$H:$N,""))</f>
        <v/>
      </c>
      <c r="I106" s="453"/>
    </row>
    <row r="107" spans="3:9" ht="43.95" hidden="1" customHeight="1" outlineLevel="1" x14ac:dyDescent="0.3">
      <c r="C107" s="284" t="str">
        <f>_xlfn.CONCAT(_xlfn.XLOOKUP("[S08_BaselineDataIssuesDetail][25][AnnexIActivity]",Submission!$O:$O,Submission!$H:$N,""))</f>
        <v/>
      </c>
      <c r="D107" s="285"/>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52" t="str">
        <f>_xlfn.CONCAT(_xlfn.XLOOKUP("[S08_BaselineDataIssuesDetail][25][NumberOfInstallationsArt152]",Submission!$O:$O,Submission!$H:$N,""))</f>
        <v/>
      </c>
      <c r="I107" s="453"/>
    </row>
    <row r="108" spans="3:9" ht="43.95" hidden="1" customHeight="1" outlineLevel="1" x14ac:dyDescent="0.3">
      <c r="C108" s="284" t="str">
        <f>_xlfn.CONCAT(_xlfn.XLOOKUP("[S08_BaselineDataIssuesDetail][26][AnnexIActivity]",Submission!$O:$O,Submission!$H:$N,""))</f>
        <v/>
      </c>
      <c r="D108" s="285"/>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52" t="str">
        <f>_xlfn.CONCAT(_xlfn.XLOOKUP("[S08_BaselineDataIssuesDetail][26][NumberOfInstallationsArt152]",Submission!$O:$O,Submission!$H:$N,""))</f>
        <v/>
      </c>
      <c r="I108" s="453"/>
    </row>
    <row r="109" spans="3:9" ht="43.95" hidden="1" customHeight="1" outlineLevel="1" x14ac:dyDescent="0.3">
      <c r="C109" s="284" t="str">
        <f>_xlfn.CONCAT(_xlfn.XLOOKUP("[S08_BaselineDataIssuesDetail][27][AnnexIActivity]",Submission!$O:$O,Submission!$H:$N,""))</f>
        <v/>
      </c>
      <c r="D109" s="285"/>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52" t="str">
        <f>_xlfn.CONCAT(_xlfn.XLOOKUP("[S08_BaselineDataIssuesDetail][27][NumberOfInstallationsArt152]",Submission!$O:$O,Submission!$H:$N,""))</f>
        <v/>
      </c>
      <c r="I109" s="453"/>
    </row>
    <row r="110" spans="3:9" ht="43.95" hidden="1" customHeight="1" outlineLevel="1" x14ac:dyDescent="0.3">
      <c r="C110" s="284" t="str">
        <f>_xlfn.CONCAT(_xlfn.XLOOKUP("[S08_BaselineDataIssuesDetail][28][AnnexIActivity]",Submission!$O:$O,Submission!$H:$N,""))</f>
        <v/>
      </c>
      <c r="D110" s="285"/>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52" t="str">
        <f>_xlfn.CONCAT(_xlfn.XLOOKUP("[S08_BaselineDataIssuesDetail][28][NumberOfInstallationsArt152]",Submission!$O:$O,Submission!$H:$N,""))</f>
        <v/>
      </c>
      <c r="I110" s="453"/>
    </row>
    <row r="111" spans="3:9" ht="43.95" hidden="1" customHeight="1" outlineLevel="1" x14ac:dyDescent="0.3">
      <c r="C111" s="284" t="str">
        <f>_xlfn.CONCAT(_xlfn.XLOOKUP("[S08_BaselineDataIssuesDetail][29][AnnexIActivity]",Submission!$O:$O,Submission!$H:$N,""))</f>
        <v/>
      </c>
      <c r="D111" s="285"/>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52" t="str">
        <f>_xlfn.CONCAT(_xlfn.XLOOKUP("[S08_BaselineDataIssuesDetail][29][NumberOfInstallationsArt152]",Submission!$O:$O,Submission!$H:$N,""))</f>
        <v/>
      </c>
      <c r="I111" s="453"/>
    </row>
    <row r="112" spans="3:9" ht="43.95" hidden="1" customHeight="1" outlineLevel="1" x14ac:dyDescent="0.3">
      <c r="C112" s="284" t="str">
        <f>_xlfn.CONCAT(_xlfn.XLOOKUP("[S08_BaselineDataIssuesDetail][30][AnnexIActivity]",Submission!$O:$O,Submission!$H:$N,""))</f>
        <v/>
      </c>
      <c r="D112" s="285"/>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52" t="str">
        <f>_xlfn.CONCAT(_xlfn.XLOOKUP("[S08_BaselineDataIssuesDetail][30][NumberOfInstallationsArt152]",Submission!$O:$O,Submission!$H:$N,""))</f>
        <v/>
      </c>
      <c r="I112" s="453"/>
    </row>
    <row r="113" spans="3:9" ht="43.95" hidden="1" customHeight="1" outlineLevel="1" x14ac:dyDescent="0.3">
      <c r="C113" s="284" t="str">
        <f>_xlfn.CONCAT(_xlfn.XLOOKUP("[S08_BaselineDataIssuesDetail][31][AnnexIActivity]",Submission!$O:$O,Submission!$H:$N,""))</f>
        <v/>
      </c>
      <c r="D113" s="285"/>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52" t="str">
        <f>_xlfn.CONCAT(_xlfn.XLOOKUP("[S08_BaselineDataIssuesDetail][31][NumberOfInstallationsArt152]",Submission!$O:$O,Submission!$H:$N,""))</f>
        <v/>
      </c>
      <c r="I113" s="453"/>
    </row>
    <row r="114" spans="3:9" ht="43.95" hidden="1" customHeight="1" outlineLevel="1" x14ac:dyDescent="0.3">
      <c r="C114" s="284" t="str">
        <f>_xlfn.CONCAT(_xlfn.XLOOKUP("[S08_BaselineDataIssuesDetail][32][AnnexIActivity]",Submission!$O:$O,Submission!$H:$N,""))</f>
        <v/>
      </c>
      <c r="D114" s="285"/>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52" t="str">
        <f>_xlfn.CONCAT(_xlfn.XLOOKUP("[S08_BaselineDataIssuesDetail][32][NumberOfInstallationsArt152]",Submission!$O:$O,Submission!$H:$N,""))</f>
        <v/>
      </c>
      <c r="I114" s="453"/>
    </row>
    <row r="115" spans="3:9" ht="43.95" hidden="1" customHeight="1" outlineLevel="1" x14ac:dyDescent="0.3">
      <c r="C115" s="284" t="str">
        <f>_xlfn.CONCAT(_xlfn.XLOOKUP("[S08_BaselineDataIssuesDetail][33][AnnexIActivity]",Submission!$O:$O,Submission!$H:$N,""))</f>
        <v/>
      </c>
      <c r="D115" s="285"/>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52" t="str">
        <f>_xlfn.CONCAT(_xlfn.XLOOKUP("[S08_BaselineDataIssuesDetail][33][NumberOfInstallationsArt152]",Submission!$O:$O,Submission!$H:$N,""))</f>
        <v/>
      </c>
      <c r="I115" s="453"/>
    </row>
    <row r="116" spans="3:9" ht="43.95" hidden="1" customHeight="1" outlineLevel="1" x14ac:dyDescent="0.3">
      <c r="C116" s="284" t="str">
        <f>_xlfn.CONCAT(_xlfn.XLOOKUP("[S08_BaselineDataIssuesDetail][34][AnnexIActivity]",Submission!$O:$O,Submission!$H:$N,""))</f>
        <v/>
      </c>
      <c r="D116" s="285"/>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52" t="str">
        <f>_xlfn.CONCAT(_xlfn.XLOOKUP("[S08_BaselineDataIssuesDetail][34][NumberOfInstallationsArt152]",Submission!$O:$O,Submission!$H:$N,""))</f>
        <v/>
      </c>
      <c r="I116" s="453"/>
    </row>
    <row r="117" spans="3:9" ht="43.95" hidden="1" customHeight="1" outlineLevel="1" x14ac:dyDescent="0.3">
      <c r="C117" s="284" t="str">
        <f>_xlfn.CONCAT(_xlfn.XLOOKUP("[S08_BaselineDataIssuesDetail][35][AnnexIActivity]",Submission!$O:$O,Submission!$H:$N,""))</f>
        <v/>
      </c>
      <c r="D117" s="285"/>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52" t="str">
        <f>_xlfn.CONCAT(_xlfn.XLOOKUP("[S08_BaselineDataIssuesDetail][35][NumberOfInstallationsArt152]",Submission!$O:$O,Submission!$H:$N,""))</f>
        <v/>
      </c>
      <c r="I117" s="453"/>
    </row>
    <row r="118" spans="3:9" ht="43.95" hidden="1" customHeight="1" outlineLevel="1" x14ac:dyDescent="0.3">
      <c r="C118" s="284" t="str">
        <f>_xlfn.CONCAT(_xlfn.XLOOKUP("[S08_BaselineDataIssuesDetail][36][AnnexIActivity]",Submission!$O:$O,Submission!$H:$N,""))</f>
        <v/>
      </c>
      <c r="D118" s="285"/>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52" t="str">
        <f>_xlfn.CONCAT(_xlfn.XLOOKUP("[S08_BaselineDataIssuesDetail][36][NumberOfInstallationsArt152]",Submission!$O:$O,Submission!$H:$N,""))</f>
        <v/>
      </c>
      <c r="I118" s="453"/>
    </row>
    <row r="119" spans="3:9" ht="43.95" hidden="1" customHeight="1" outlineLevel="1" x14ac:dyDescent="0.3">
      <c r="C119" s="284" t="str">
        <f>_xlfn.CONCAT(_xlfn.XLOOKUP("[S08_BaselineDataIssuesDetail][37][AnnexIActivity]",Submission!$O:$O,Submission!$H:$N,""))</f>
        <v/>
      </c>
      <c r="D119" s="285"/>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52" t="str">
        <f>_xlfn.CONCAT(_xlfn.XLOOKUP("[S08_BaselineDataIssuesDetail][37][NumberOfInstallationsArt152]",Submission!$O:$O,Submission!$H:$N,""))</f>
        <v/>
      </c>
      <c r="I119" s="453"/>
    </row>
    <row r="120" spans="3:9" ht="43.95" hidden="1" customHeight="1" outlineLevel="1" x14ac:dyDescent="0.3">
      <c r="C120" s="284" t="str">
        <f>_xlfn.CONCAT(_xlfn.XLOOKUP("[S08_BaselineDataIssuesDetail][38][AnnexIActivity]",Submission!$O:$O,Submission!$H:$N,""))</f>
        <v/>
      </c>
      <c r="D120" s="285"/>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52" t="str">
        <f>_xlfn.CONCAT(_xlfn.XLOOKUP("[S08_BaselineDataIssuesDetail][38][NumberOfInstallationsArt152]",Submission!$O:$O,Submission!$H:$N,""))</f>
        <v/>
      </c>
      <c r="I120" s="453"/>
    </row>
    <row r="121" spans="3:9" ht="43.95" hidden="1" customHeight="1" outlineLevel="1" x14ac:dyDescent="0.3">
      <c r="C121" s="284" t="str">
        <f>_xlfn.CONCAT(_xlfn.XLOOKUP("[S08_BaselineDataIssuesDetail][39][AnnexIActivity]",Submission!$O:$O,Submission!$H:$N,""))</f>
        <v/>
      </c>
      <c r="D121" s="285"/>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52" t="str">
        <f>_xlfn.CONCAT(_xlfn.XLOOKUP("[S08_BaselineDataIssuesDetail][39][NumberOfInstallationsArt152]",Submission!$O:$O,Submission!$H:$N,""))</f>
        <v/>
      </c>
      <c r="I121" s="453"/>
    </row>
    <row r="122" spans="3:9" ht="43.95" hidden="1" customHeight="1" outlineLevel="1" x14ac:dyDescent="0.3">
      <c r="C122" s="284" t="str">
        <f>_xlfn.CONCAT(_xlfn.XLOOKUP("[S08_BaselineDataIssuesDetail][40][AnnexIActivity]",Submission!$O:$O,Submission!$H:$N,""))</f>
        <v/>
      </c>
      <c r="D122" s="285"/>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52" t="str">
        <f>_xlfn.CONCAT(_xlfn.XLOOKUP("[S08_BaselineDataIssuesDetail][40][NumberOfInstallationsArt152]",Submission!$O:$O,Submission!$H:$N,""))</f>
        <v/>
      </c>
      <c r="I122" s="453"/>
    </row>
    <row r="123" spans="3:9" ht="43.95" hidden="1" customHeight="1" outlineLevel="1" x14ac:dyDescent="0.3">
      <c r="C123" s="284" t="str">
        <f>_xlfn.CONCAT(_xlfn.XLOOKUP("[S08_BaselineDataIssuesDetail][41][AnnexIActivity]",Submission!$O:$O,Submission!$H:$N,""))</f>
        <v/>
      </c>
      <c r="D123" s="285"/>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52" t="str">
        <f>_xlfn.CONCAT(_xlfn.XLOOKUP("[S08_BaselineDataIssuesDetail][41][NumberOfInstallationsArt152]",Submission!$O:$O,Submission!$H:$N,""))</f>
        <v/>
      </c>
      <c r="I123" s="453"/>
    </row>
    <row r="124" spans="3:9" ht="43.95" hidden="1" customHeight="1" outlineLevel="1" x14ac:dyDescent="0.3">
      <c r="C124" s="284" t="str">
        <f>_xlfn.CONCAT(_xlfn.XLOOKUP("[S08_BaselineDataIssuesDetail][42][AnnexIActivity]",Submission!$O:$O,Submission!$H:$N,""))</f>
        <v/>
      </c>
      <c r="D124" s="285"/>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52" t="str">
        <f>_xlfn.CONCAT(_xlfn.XLOOKUP("[S08_BaselineDataIssuesDetail][42][NumberOfInstallationsArt152]",Submission!$O:$O,Submission!$H:$N,""))</f>
        <v/>
      </c>
      <c r="I124" s="453"/>
    </row>
    <row r="125" spans="3:9" ht="43.95" hidden="1" customHeight="1" outlineLevel="1" x14ac:dyDescent="0.3">
      <c r="C125" s="284" t="str">
        <f>_xlfn.CONCAT(_xlfn.XLOOKUP("[S08_BaselineDataIssuesDetail][43][AnnexIActivity]",Submission!$O:$O,Submission!$H:$N,""))</f>
        <v/>
      </c>
      <c r="D125" s="285"/>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52" t="str">
        <f>_xlfn.CONCAT(_xlfn.XLOOKUP("[S08_BaselineDataIssuesDetail][43][NumberOfInstallationsArt152]",Submission!$O:$O,Submission!$H:$N,""))</f>
        <v/>
      </c>
      <c r="I125" s="453"/>
    </row>
    <row r="126" spans="3:9" ht="43.95" hidden="1" customHeight="1" outlineLevel="1" x14ac:dyDescent="0.3">
      <c r="C126" s="284" t="str">
        <f>_xlfn.CONCAT(_xlfn.XLOOKUP("[S08_BaselineDataIssuesDetail][44][AnnexIActivity]",Submission!$O:$O,Submission!$H:$N,""))</f>
        <v/>
      </c>
      <c r="D126" s="285"/>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52" t="str">
        <f>_xlfn.CONCAT(_xlfn.XLOOKUP("[S08_BaselineDataIssuesDetail][44][NumberOfInstallationsArt152]",Submission!$O:$O,Submission!$H:$N,""))</f>
        <v/>
      </c>
      <c r="I126" s="453"/>
    </row>
    <row r="127" spans="3:9" ht="43.95" hidden="1" customHeight="1" outlineLevel="1" x14ac:dyDescent="0.3">
      <c r="C127" s="284" t="str">
        <f>_xlfn.CONCAT(_xlfn.XLOOKUP("[S08_BaselineDataIssuesDetail][45][AnnexIActivity]",Submission!$O:$O,Submission!$H:$N,""))</f>
        <v/>
      </c>
      <c r="D127" s="285"/>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52" t="str">
        <f>_xlfn.CONCAT(_xlfn.XLOOKUP("[S08_BaselineDataIssuesDetail][45][NumberOfInstallationsArt152]",Submission!$O:$O,Submission!$H:$N,""))</f>
        <v/>
      </c>
      <c r="I127" s="453"/>
    </row>
    <row r="128" spans="3:9" ht="43.95" hidden="1" customHeight="1" outlineLevel="1" x14ac:dyDescent="0.3">
      <c r="C128" s="284" t="str">
        <f>_xlfn.CONCAT(_xlfn.XLOOKUP("[S08_BaselineDataIssuesDetail][46][AnnexIActivity]",Submission!$O:$O,Submission!$H:$N,""))</f>
        <v/>
      </c>
      <c r="D128" s="285"/>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52" t="str">
        <f>_xlfn.CONCAT(_xlfn.XLOOKUP("[S08_BaselineDataIssuesDetail][46][NumberOfInstallationsArt152]",Submission!$O:$O,Submission!$H:$N,""))</f>
        <v/>
      </c>
      <c r="I128" s="453"/>
    </row>
    <row r="129" spans="1:9" ht="43.95" hidden="1" customHeight="1" outlineLevel="1" x14ac:dyDescent="0.3">
      <c r="C129" s="284" t="str">
        <f>_xlfn.CONCAT(_xlfn.XLOOKUP("[S08_BaselineDataIssuesDetail][47][AnnexIActivity]",Submission!$O:$O,Submission!$H:$N,""))</f>
        <v/>
      </c>
      <c r="D129" s="285"/>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52" t="str">
        <f>_xlfn.CONCAT(_xlfn.XLOOKUP("[S08_BaselineDataIssuesDetail][47][NumberOfInstallationsArt152]",Submission!$O:$O,Submission!$H:$N,""))</f>
        <v/>
      </c>
      <c r="I129" s="453"/>
    </row>
    <row r="130" spans="1:9" ht="43.95" hidden="1" customHeight="1" outlineLevel="1" x14ac:dyDescent="0.3">
      <c r="C130" s="284" t="str">
        <f>_xlfn.CONCAT(_xlfn.XLOOKUP("[S08_BaselineDataIssuesDetail][48][AnnexIActivity]",Submission!$O:$O,Submission!$H:$N,""))</f>
        <v/>
      </c>
      <c r="D130" s="285"/>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52" t="str">
        <f>_xlfn.CONCAT(_xlfn.XLOOKUP("[S08_BaselineDataIssuesDetail][48][NumberOfInstallationsArt152]",Submission!$O:$O,Submission!$H:$N,""))</f>
        <v/>
      </c>
      <c r="I130" s="453"/>
    </row>
    <row r="131" spans="1:9" ht="43.95" hidden="1" customHeight="1" outlineLevel="1" x14ac:dyDescent="0.3">
      <c r="C131" s="284" t="str">
        <f>_xlfn.CONCAT(_xlfn.XLOOKUP("[S08_BaselineDataIssuesDetail][49][AnnexIActivity]",Submission!$O:$O,Submission!$H:$N,""))</f>
        <v/>
      </c>
      <c r="D131" s="285"/>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52" t="str">
        <f>_xlfn.CONCAT(_xlfn.XLOOKUP("[S08_BaselineDataIssuesDetail][49][NumberOfInstallationsArt152]",Submission!$O:$O,Submission!$H:$N,""))</f>
        <v/>
      </c>
      <c r="I131" s="453"/>
    </row>
    <row r="132" spans="1:9" ht="43.95" hidden="1" customHeight="1" outlineLevel="1" x14ac:dyDescent="0.3">
      <c r="C132" s="284" t="str">
        <f>_xlfn.CONCAT(_xlfn.XLOOKUP("[S08_BaselineDataIssuesDetail][50][AnnexIActivity]",Submission!$O:$O,Submission!$H:$N,""))</f>
        <v/>
      </c>
      <c r="D132" s="285"/>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52" t="str">
        <f>_xlfn.CONCAT(_xlfn.XLOOKUP("[S08_BaselineDataIssuesDetail][50][NumberOfInstallationsArt152]",Submission!$O:$O,Submission!$H:$N,""))</f>
        <v/>
      </c>
      <c r="I132" s="453"/>
    </row>
    <row r="133" spans="1:9" collapsed="1" x14ac:dyDescent="0.3">
      <c r="B133" s="26" t="s">
        <v>1000</v>
      </c>
    </row>
    <row r="134" spans="1:9" ht="27.6" customHeight="1" x14ac:dyDescent="0.3">
      <c r="C134" s="277" t="s">
        <v>1190</v>
      </c>
      <c r="D134" s="277"/>
      <c r="E134" s="277"/>
      <c r="F134" s="277"/>
      <c r="G134" s="277"/>
      <c r="H134" s="277"/>
      <c r="I134" s="277"/>
    </row>
    <row r="136" spans="1:9" s="7" customFormat="1" ht="18.899999999999999" customHeight="1" x14ac:dyDescent="0.35">
      <c r="A136" s="85" t="s">
        <v>497</v>
      </c>
      <c r="B136" s="325" t="s">
        <v>498</v>
      </c>
      <c r="C136" s="325"/>
      <c r="D136" s="325"/>
      <c r="E136" s="325"/>
      <c r="F136" s="325"/>
      <c r="G136" s="325"/>
      <c r="H136" s="325"/>
      <c r="I136" s="326"/>
    </row>
    <row r="137" spans="1:9" s="7" customFormat="1" ht="18.899999999999999" customHeight="1" x14ac:dyDescent="0.3">
      <c r="A137" s="12" t="s">
        <v>500</v>
      </c>
      <c r="B137" s="479" t="s">
        <v>1191</v>
      </c>
      <c r="C137" s="479"/>
      <c r="D137" s="479"/>
      <c r="E137" s="479"/>
      <c r="F137" s="479"/>
      <c r="G137" s="479"/>
      <c r="H137" s="479"/>
      <c r="I137" s="479"/>
    </row>
    <row r="138" spans="1:9" ht="36" customHeight="1" x14ac:dyDescent="0.3">
      <c r="A138" s="12"/>
      <c r="B138" s="293" t="s">
        <v>1192</v>
      </c>
      <c r="C138" s="294"/>
      <c r="D138" s="294"/>
      <c r="E138" s="294"/>
      <c r="F138" s="294"/>
      <c r="G138" s="294"/>
      <c r="H138" s="295"/>
      <c r="I138" s="41" t="str">
        <f>_xlfn.CONCAT(_xlfn.XLOOKUP("[AdditionalParametersRequired][0][AdditionalParametersRequired]",Submission!$O:$O,Submission!$H:$N,""))</f>
        <v/>
      </c>
    </row>
    <row r="139" spans="1:9" ht="16.95" customHeight="1" x14ac:dyDescent="0.3">
      <c r="B139" s="465" t="s">
        <v>1193</v>
      </c>
      <c r="C139" s="465"/>
      <c r="D139" s="465"/>
      <c r="E139" s="465"/>
      <c r="F139" s="465"/>
      <c r="G139" s="465"/>
      <c r="H139" s="465"/>
      <c r="I139" s="465"/>
    </row>
    <row r="140" spans="1:9" x14ac:dyDescent="0.3">
      <c r="C140" s="287" t="s">
        <v>1194</v>
      </c>
      <c r="D140" s="288"/>
      <c r="E140" s="288"/>
      <c r="F140" s="289"/>
      <c r="G140" s="251" t="str">
        <f>_xlfn.CONCAT(_xlfn.XLOOKUP("[AdditionalParametersType][0][AdditionalParametersType]",Submission!$O:$O,Submission!$H:$N,""))</f>
        <v/>
      </c>
      <c r="H140" s="468"/>
      <c r="I140" s="252"/>
    </row>
    <row r="141" spans="1:9" x14ac:dyDescent="0.3">
      <c r="C141" s="21"/>
      <c r="D141" s="21"/>
      <c r="E141" s="21"/>
      <c r="F141" s="21"/>
      <c r="G141" s="21"/>
      <c r="H141" s="21"/>
      <c r="I141" s="21"/>
    </row>
    <row r="142" spans="1:9" x14ac:dyDescent="0.3">
      <c r="A142" s="12" t="s">
        <v>503</v>
      </c>
      <c r="B142" s="454" t="s">
        <v>1132</v>
      </c>
      <c r="C142" s="454"/>
      <c r="D142" s="454"/>
      <c r="E142" s="454"/>
      <c r="F142" s="454"/>
      <c r="G142" s="454"/>
      <c r="H142" s="454"/>
      <c r="I142" s="454"/>
    </row>
    <row r="143" spans="1:9" ht="36" customHeight="1" x14ac:dyDescent="0.3">
      <c r="A143" s="12"/>
      <c r="B143" s="293" t="s">
        <v>1195</v>
      </c>
      <c r="C143" s="294"/>
      <c r="D143" s="294"/>
      <c r="E143" s="294"/>
      <c r="F143" s="294"/>
      <c r="G143" s="294"/>
      <c r="H143" s="295"/>
      <c r="I143" s="41" t="str">
        <f>_xlfn.CONCAT(_xlfn.XLOOKUP("[PreliminaryActivityRequired][0][PreliminaryActivityRequired]",Submission!$O:$O,Submission!$H:$N,""))</f>
        <v/>
      </c>
    </row>
    <row r="144" spans="1:9" ht="16.95" customHeight="1" x14ac:dyDescent="0.3">
      <c r="B144" s="465" t="s">
        <v>1196</v>
      </c>
      <c r="C144" s="465"/>
      <c r="D144" s="465"/>
      <c r="E144" s="465"/>
      <c r="F144" s="465"/>
      <c r="G144" s="465"/>
      <c r="H144" s="465"/>
      <c r="I144" s="465"/>
    </row>
    <row r="145" spans="1:9" x14ac:dyDescent="0.3">
      <c r="C145" s="287" t="s">
        <v>1197</v>
      </c>
      <c r="D145" s="288"/>
      <c r="E145" s="288"/>
      <c r="F145" s="289"/>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293" t="s">
        <v>1198</v>
      </c>
      <c r="C147" s="294"/>
      <c r="D147" s="294"/>
      <c r="E147" s="294"/>
      <c r="F147" s="294"/>
      <c r="G147" s="294"/>
      <c r="H147" s="294"/>
      <c r="I147" s="294"/>
    </row>
    <row r="148" spans="1:9" ht="42.6" customHeight="1" x14ac:dyDescent="0.3">
      <c r="C148" s="444" t="s">
        <v>1183</v>
      </c>
      <c r="D148" s="445"/>
      <c r="E148" s="446"/>
      <c r="F148" s="444" t="s">
        <v>76</v>
      </c>
      <c r="G148" s="446"/>
      <c r="H148" s="303" t="s">
        <v>1199</v>
      </c>
      <c r="I148" s="305"/>
    </row>
    <row r="149" spans="1:9" s="95" customFormat="1" ht="27.75" customHeight="1" x14ac:dyDescent="0.3">
      <c r="A149" s="94"/>
      <c r="C149" s="354" t="s">
        <v>1200</v>
      </c>
      <c r="D149" s="354"/>
      <c r="E149" s="354"/>
      <c r="F149" s="372" t="str">
        <f>_xlfn.CONCAT(_xlfn.XLOOKUP("[S08_NegativeOpinionActivityData][1][NumberOfInstallations]",Submission!$O:$O,Submission!$H:$N,""))</f>
        <v/>
      </c>
      <c r="G149" s="372"/>
      <c r="H149" s="372" t="str">
        <f>_xlfn.CONCAT(_xlfn.XLOOKUP("[S08_NegativeOpinionActivityData][1][NumberOfInstallationsConEst]",Submission!$O:$O,Submission!$H:$N,""))</f>
        <v/>
      </c>
      <c r="I149" s="372"/>
    </row>
    <row r="150" spans="1:9" s="95" customFormat="1" ht="27.75" customHeight="1" x14ac:dyDescent="0.3">
      <c r="A150" s="94"/>
      <c r="C150" s="354" t="s">
        <v>1201</v>
      </c>
      <c r="D150" s="354"/>
      <c r="E150" s="354"/>
      <c r="F150" s="372" t="str">
        <f>_xlfn.CONCAT(_xlfn.XLOOKUP("[S08_NegativeOpinionActivityData][2][NumberOfInstallations]",Submission!$O:$O,Submission!$H:$N,""))</f>
        <v/>
      </c>
      <c r="G150" s="372"/>
      <c r="H150" s="372" t="str">
        <f>_xlfn.CONCAT(_xlfn.XLOOKUP("[S08_NegativeOpinionActivityData][2][NumberOfInstallationsConEst]",Submission!$O:$O,Submission!$H:$N,""))</f>
        <v/>
      </c>
      <c r="I150" s="372"/>
    </row>
    <row r="151" spans="1:9" s="95" customFormat="1" ht="27.75" customHeight="1" x14ac:dyDescent="0.3">
      <c r="A151" s="94"/>
      <c r="C151" s="354" t="s">
        <v>1202</v>
      </c>
      <c r="D151" s="354"/>
      <c r="E151" s="354"/>
      <c r="F151" s="372" t="str">
        <f>_xlfn.CONCAT(_xlfn.XLOOKUP("[S08_NegativeOpinionActivityData][3][NumberOfInstallations]",Submission!$O:$O,Submission!$H:$N,""))</f>
        <v/>
      </c>
      <c r="G151" s="372"/>
      <c r="H151" s="372" t="str">
        <f>_xlfn.CONCAT(_xlfn.XLOOKUP("[S08_NegativeOpinionActivityData][3][NumberOfInstallationsConEst]",Submission!$O:$O,Submission!$H:$N,""))</f>
        <v/>
      </c>
      <c r="I151" s="372"/>
    </row>
    <row r="152" spans="1:9" s="95" customFormat="1" ht="27.75" customHeight="1" x14ac:dyDescent="0.3">
      <c r="A152" s="94"/>
      <c r="C152" s="354" t="s">
        <v>1203</v>
      </c>
      <c r="D152" s="354"/>
      <c r="E152" s="354"/>
      <c r="F152" s="372" t="str">
        <f>_xlfn.CONCAT(_xlfn.XLOOKUP("[S08_NegativeOpinionActivityData][4][NumberOfInstallations]",Submission!$O:$O,Submission!$H:$N,""))</f>
        <v/>
      </c>
      <c r="G152" s="372"/>
      <c r="H152" s="372" t="str">
        <f>_xlfn.CONCAT(_xlfn.XLOOKUP("[S08_NegativeOpinionActivityData][4][NumberOfInstallationsConEst]",Submission!$O:$O,Submission!$H:$N,""))</f>
        <v/>
      </c>
      <c r="I152" s="372"/>
    </row>
    <row r="154" spans="1:9" ht="33.6" customHeight="1" x14ac:dyDescent="0.3">
      <c r="A154" s="12" t="s">
        <v>511</v>
      </c>
      <c r="B154" s="293" t="s">
        <v>1204</v>
      </c>
      <c r="C154" s="293"/>
      <c r="D154" s="293"/>
      <c r="E154" s="293"/>
      <c r="F154" s="293"/>
      <c r="G154" s="293"/>
      <c r="H154" s="495"/>
      <c r="I154" s="41" t="str">
        <f>_xlfn.CONCAT(_xlfn.XLOOKUP("[ActivityDataIssues][0][ActivityDataIssues]",Submission!$O:$O,Submission!$H:$N,""))</f>
        <v/>
      </c>
    </row>
    <row r="155" spans="1:9" ht="15.6" customHeight="1" x14ac:dyDescent="0.3">
      <c r="B155" s="465" t="s">
        <v>1043</v>
      </c>
      <c r="C155" s="465"/>
      <c r="D155" s="465"/>
      <c r="E155" s="465"/>
      <c r="F155" s="465"/>
      <c r="G155" s="465"/>
      <c r="H155" s="465"/>
      <c r="I155" s="465"/>
    </row>
    <row r="156" spans="1:9" ht="43.2" customHeight="1" x14ac:dyDescent="0.3">
      <c r="C156" s="444" t="s">
        <v>879</v>
      </c>
      <c r="D156" s="446"/>
      <c r="E156" s="43" t="s">
        <v>1044</v>
      </c>
      <c r="F156" s="51" t="s">
        <v>1045</v>
      </c>
      <c r="G156" s="51" t="s">
        <v>1046</v>
      </c>
      <c r="H156" s="303" t="s">
        <v>1199</v>
      </c>
      <c r="I156" s="305"/>
    </row>
    <row r="157" spans="1:9" ht="54" customHeight="1" x14ac:dyDescent="0.3">
      <c r="C157" s="284" t="str">
        <f>_xlfn.CONCAT(_xlfn.XLOOKUP("[S08_ActivityDataIssuesDetail]["&amp;ROW(B157)-ROW($B$156)&amp;"][AnnexIActivity]",Submission!$O:$O,Submission!$H:$N,""))</f>
        <v/>
      </c>
      <c r="D157" s="285"/>
      <c r="E157" s="72" t="str">
        <f>_xlfn.CONCAT(_xlfn.XLOOKUP("[S08_ActivityDataIssuesDetail]["&amp;ROW(B157)-ROW($B$156)&amp;"][TypeOfIssue]",Submission!$O:$O,Submission!$H:$N,""))</f>
        <v/>
      </c>
      <c r="F157" s="106" t="str">
        <f>_xlfn.CONCAT(_xlfn.XLOOKUP("[S08_ActivityDataIssuesDetail]["&amp;ROW(B157)-ROW($B$156)&amp;"][NumberOfInstallations]",Submission!$O:$O,Submission!$H:$N,""))</f>
        <v/>
      </c>
      <c r="G157" s="106" t="str">
        <f>_xlfn.CONCAT(_xlfn.XLOOKUP("[S08_ActivityDataIssuesDetail]["&amp;ROW(B157)-ROW($B$156)&amp;"][NumberOfIssues]",Submission!$O:$O,Submission!$H:$N,""))</f>
        <v/>
      </c>
      <c r="H157" s="452" t="str">
        <f>_xlfn.CONCAT(_xlfn.XLOOKUP("[S08_ActivityDataIssuesDetail]["&amp;ROW(B157)-ROW($B$156)&amp;"][NumberOfInstallationsConEst]",Submission!$O:$O,Submission!$H:$N,""))</f>
        <v/>
      </c>
      <c r="I157" s="453"/>
    </row>
    <row r="158" spans="1:9" ht="54" customHeight="1" x14ac:dyDescent="0.3">
      <c r="C158" s="284" t="str">
        <f>_xlfn.CONCAT(_xlfn.XLOOKUP("[S08_ActivityDataIssuesDetail]["&amp;ROW(B158)-ROW($B$156)&amp;"][AnnexIActivity]",Submission!$O:$O,Submission!$H:$N,""))</f>
        <v/>
      </c>
      <c r="D158" s="285"/>
      <c r="E158" s="72" t="str">
        <f>_xlfn.CONCAT(_xlfn.XLOOKUP("[S08_ActivityDataIssuesDetail]["&amp;ROW(B158)-ROW($B$156)&amp;"][TypeOfIssue]",Submission!$O:$O,Submission!$H:$N,""))</f>
        <v/>
      </c>
      <c r="F158" s="106" t="str">
        <f>_xlfn.CONCAT(_xlfn.XLOOKUP("[S08_ActivityDataIssuesDetail]["&amp;ROW(B158)-ROW($B$156)&amp;"][NumberOfInstallations]",Submission!$O:$O,Submission!$H:$N,""))</f>
        <v/>
      </c>
      <c r="G158" s="106" t="str">
        <f>_xlfn.CONCAT(_xlfn.XLOOKUP("[S08_ActivityDataIssuesDetail]["&amp;ROW(B158)-ROW($B$156)&amp;"][NumberOfIssues]",Submission!$O:$O,Submission!$H:$N,""))</f>
        <v/>
      </c>
      <c r="H158" s="452" t="str">
        <f>_xlfn.CONCAT(_xlfn.XLOOKUP("[S08_ActivityDataIssuesDetail]["&amp;ROW(B158)-ROW($B$156)&amp;"][NumberOfInstallationsConEst]",Submission!$O:$O,Submission!$H:$N,""))</f>
        <v/>
      </c>
      <c r="I158" s="453"/>
    </row>
    <row r="159" spans="1:9" ht="54" customHeight="1" x14ac:dyDescent="0.3">
      <c r="C159" s="284" t="str">
        <f>_xlfn.CONCAT(_xlfn.XLOOKUP("[S08_ActivityDataIssuesDetail]["&amp;ROW(B159)-ROW($B$156)&amp;"][AnnexIActivity]",Submission!$O:$O,Submission!$H:$N,""))</f>
        <v/>
      </c>
      <c r="D159" s="285"/>
      <c r="E159" s="72" t="str">
        <f>_xlfn.CONCAT(_xlfn.XLOOKUP("[S08_ActivityDataIssuesDetail]["&amp;ROW(B159)-ROW($B$156)&amp;"][TypeOfIssue]",Submission!$O:$O,Submission!$H:$N,""))</f>
        <v/>
      </c>
      <c r="F159" s="106" t="str">
        <f>_xlfn.CONCAT(_xlfn.XLOOKUP("[S08_ActivityDataIssuesDetail]["&amp;ROW(B159)-ROW($B$156)&amp;"][NumberOfInstallations]",Submission!$O:$O,Submission!$H:$N,""))</f>
        <v/>
      </c>
      <c r="G159" s="106" t="str">
        <f>_xlfn.CONCAT(_xlfn.XLOOKUP("[S08_ActivityDataIssuesDetail]["&amp;ROW(B159)-ROW($B$156)&amp;"][NumberOfIssues]",Submission!$O:$O,Submission!$H:$N,""))</f>
        <v/>
      </c>
      <c r="H159" s="452" t="str">
        <f>_xlfn.CONCAT(_xlfn.XLOOKUP("[S08_ActivityDataIssuesDetail]["&amp;ROW(B159)-ROW($B$156)&amp;"][NumberOfInstallationsConEst]",Submission!$O:$O,Submission!$H:$N,""))</f>
        <v/>
      </c>
      <c r="I159" s="453"/>
    </row>
    <row r="160" spans="1:9" ht="54" customHeight="1" x14ac:dyDescent="0.3">
      <c r="C160" s="284" t="str">
        <f>_xlfn.CONCAT(_xlfn.XLOOKUP("[S08_ActivityDataIssuesDetail]["&amp;ROW(B160)-ROW($B$156)&amp;"][AnnexIActivity]",Submission!$O:$O,Submission!$H:$N,""))</f>
        <v/>
      </c>
      <c r="D160" s="285"/>
      <c r="E160" s="72" t="str">
        <f>_xlfn.CONCAT(_xlfn.XLOOKUP("[S08_ActivityDataIssuesDetail]["&amp;ROW(B160)-ROW($B$156)&amp;"][TypeOfIssue]",Submission!$O:$O,Submission!$H:$N,""))</f>
        <v/>
      </c>
      <c r="F160" s="106" t="str">
        <f>_xlfn.CONCAT(_xlfn.XLOOKUP("[S08_ActivityDataIssuesDetail]["&amp;ROW(B160)-ROW($B$156)&amp;"][NumberOfInstallations]",Submission!$O:$O,Submission!$H:$N,""))</f>
        <v/>
      </c>
      <c r="G160" s="106" t="str">
        <f>_xlfn.CONCAT(_xlfn.XLOOKUP("[S08_ActivityDataIssuesDetail]["&amp;ROW(B160)-ROW($B$156)&amp;"][NumberOfIssues]",Submission!$O:$O,Submission!$H:$N,""))</f>
        <v/>
      </c>
      <c r="H160" s="452" t="str">
        <f>_xlfn.CONCAT(_xlfn.XLOOKUP("[S08_ActivityDataIssuesDetail]["&amp;ROW(B160)-ROW($B$156)&amp;"][NumberOfInstallationsConEst]",Submission!$O:$O,Submission!$H:$N,""))</f>
        <v/>
      </c>
      <c r="I160" s="453"/>
    </row>
    <row r="161" spans="3:9" ht="54" customHeight="1" x14ac:dyDescent="0.3">
      <c r="C161" s="284" t="str">
        <f>_xlfn.CONCAT(_xlfn.XLOOKUP("[S08_ActivityDataIssuesDetail]["&amp;ROW(B161)-ROW($B$156)&amp;"][AnnexIActivity]",Submission!$O:$O,Submission!$H:$N,""))</f>
        <v/>
      </c>
      <c r="D161" s="285"/>
      <c r="E161" s="72" t="str">
        <f>_xlfn.CONCAT(_xlfn.XLOOKUP("[S08_ActivityDataIssuesDetail]["&amp;ROW(B161)-ROW($B$156)&amp;"][TypeOfIssue]",Submission!$O:$O,Submission!$H:$N,""))</f>
        <v/>
      </c>
      <c r="F161" s="106" t="str">
        <f>_xlfn.CONCAT(_xlfn.XLOOKUP("[S08_ActivityDataIssuesDetail]["&amp;ROW(B161)-ROW($B$156)&amp;"][NumberOfInstallations]",Submission!$O:$O,Submission!$H:$N,""))</f>
        <v/>
      </c>
      <c r="G161" s="106" t="str">
        <f>_xlfn.CONCAT(_xlfn.XLOOKUP("[S08_ActivityDataIssuesDetail]["&amp;ROW(B161)-ROW($B$156)&amp;"][NumberOfIssues]",Submission!$O:$O,Submission!$H:$N,""))</f>
        <v/>
      </c>
      <c r="H161" s="452" t="str">
        <f>_xlfn.CONCAT(_xlfn.XLOOKUP("[S08_ActivityDataIssuesDetail]["&amp;ROW(B161)-ROW($B$156)&amp;"][NumberOfInstallationsConEst]",Submission!$O:$O,Submission!$H:$N,""))</f>
        <v/>
      </c>
      <c r="I161" s="453"/>
    </row>
    <row r="162" spans="3:9" ht="54" customHeight="1" x14ac:dyDescent="0.3">
      <c r="C162" s="284" t="str">
        <f>_xlfn.CONCAT(_xlfn.XLOOKUP("[S08_ActivityDataIssuesDetail]["&amp;ROW(B162)-ROW($B$156)&amp;"][AnnexIActivity]",Submission!$O:$O,Submission!$H:$N,""))</f>
        <v/>
      </c>
      <c r="D162" s="285"/>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52" t="str">
        <f>_xlfn.CONCAT(_xlfn.XLOOKUP("[S08_ActivityDataIssuesDetail]["&amp;ROW(B162)-ROW($B$156)&amp;"][NumberOfInstallationsConEst]",Submission!$O:$O,Submission!$H:$N,""))</f>
        <v/>
      </c>
      <c r="I162" s="453"/>
    </row>
    <row r="163" spans="3:9" ht="54" customHeight="1" x14ac:dyDescent="0.3">
      <c r="C163" s="284" t="str">
        <f>_xlfn.CONCAT(_xlfn.XLOOKUP("[S08_ActivityDataIssuesDetail]["&amp;ROW(B163)-ROW($B$156)&amp;"][AnnexIActivity]",Submission!$O:$O,Submission!$H:$N,""))</f>
        <v/>
      </c>
      <c r="D163" s="285"/>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52" t="str">
        <f>_xlfn.CONCAT(_xlfn.XLOOKUP("[S08_ActivityDataIssuesDetail]["&amp;ROW(B163)-ROW($B$156)&amp;"][NumberOfInstallationsConEst]",Submission!$O:$O,Submission!$H:$N,""))</f>
        <v/>
      </c>
      <c r="I163" s="453"/>
    </row>
    <row r="164" spans="3:9" ht="54" customHeight="1" x14ac:dyDescent="0.3">
      <c r="C164" s="284" t="str">
        <f>_xlfn.CONCAT(_xlfn.XLOOKUP("[S08_ActivityDataIssuesDetail]["&amp;ROW(B164)-ROW($B$156)&amp;"][AnnexIActivity]",Submission!$O:$O,Submission!$H:$N,""))</f>
        <v/>
      </c>
      <c r="D164" s="285"/>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52" t="str">
        <f>_xlfn.CONCAT(_xlfn.XLOOKUP("[S08_ActivityDataIssuesDetail]["&amp;ROW(B164)-ROW($B$156)&amp;"][NumberOfInstallationsConEst]",Submission!$O:$O,Submission!$H:$N,""))</f>
        <v/>
      </c>
      <c r="I164" s="453"/>
    </row>
    <row r="165" spans="3:9" ht="54" customHeight="1" x14ac:dyDescent="0.3">
      <c r="C165" s="284" t="str">
        <f>_xlfn.CONCAT(_xlfn.XLOOKUP("[S08_ActivityDataIssuesDetail]["&amp;ROW(B165)-ROW($B$156)&amp;"][AnnexIActivity]",Submission!$O:$O,Submission!$H:$N,""))</f>
        <v/>
      </c>
      <c r="D165" s="285"/>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52" t="str">
        <f>_xlfn.CONCAT(_xlfn.XLOOKUP("[S08_ActivityDataIssuesDetail]["&amp;ROW(B165)-ROW($B$156)&amp;"][NumberOfInstallationsConEst]",Submission!$O:$O,Submission!$H:$N,""))</f>
        <v/>
      </c>
      <c r="I165" s="453"/>
    </row>
    <row r="166" spans="3:9" ht="54" customHeight="1" x14ac:dyDescent="0.3">
      <c r="C166" s="284" t="str">
        <f>_xlfn.CONCAT(_xlfn.XLOOKUP("[S08_ActivityDataIssuesDetail]["&amp;ROW(B166)-ROW($B$156)&amp;"][AnnexIActivity]",Submission!$O:$O,Submission!$H:$N,""))</f>
        <v/>
      </c>
      <c r="D166" s="285"/>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52" t="str">
        <f>_xlfn.CONCAT(_xlfn.XLOOKUP("[S08_ActivityDataIssuesDetail]["&amp;ROW(B166)-ROW($B$156)&amp;"][NumberOfInstallationsConEst]",Submission!$O:$O,Submission!$H:$N,""))</f>
        <v/>
      </c>
      <c r="I166" s="453"/>
    </row>
    <row r="167" spans="3:9" ht="54" customHeight="1" x14ac:dyDescent="0.3">
      <c r="C167" s="284" t="str">
        <f>_xlfn.CONCAT(_xlfn.XLOOKUP("[S08_ActivityDataIssuesDetail]["&amp;ROW(B167)-ROW($B$156)&amp;"][AnnexIActivity]",Submission!$O:$O,Submission!$H:$N,""))</f>
        <v/>
      </c>
      <c r="D167" s="285"/>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52" t="str">
        <f>_xlfn.CONCAT(_xlfn.XLOOKUP("[S08_ActivityDataIssuesDetail]["&amp;ROW(B167)-ROW($B$156)&amp;"][NumberOfInstallationsConEst]",Submission!$O:$O,Submission!$H:$N,""))</f>
        <v/>
      </c>
      <c r="I167" s="453"/>
    </row>
    <row r="168" spans="3:9" ht="54" customHeight="1" x14ac:dyDescent="0.3">
      <c r="C168" s="284" t="str">
        <f>_xlfn.CONCAT(_xlfn.XLOOKUP("[S08_ActivityDataIssuesDetail]["&amp;ROW(B168)-ROW($B$156)&amp;"][AnnexIActivity]",Submission!$O:$O,Submission!$H:$N,""))</f>
        <v/>
      </c>
      <c r="D168" s="285"/>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52" t="str">
        <f>_xlfn.CONCAT(_xlfn.XLOOKUP("[S08_ActivityDataIssuesDetail]["&amp;ROW(B168)-ROW($B$156)&amp;"][NumberOfInstallationsConEst]",Submission!$O:$O,Submission!$H:$N,""))</f>
        <v/>
      </c>
      <c r="I168" s="453"/>
    </row>
    <row r="169" spans="3:9" ht="54" customHeight="1" x14ac:dyDescent="0.3">
      <c r="C169" s="284" t="str">
        <f>_xlfn.CONCAT(_xlfn.XLOOKUP("[S08_ActivityDataIssuesDetail]["&amp;ROW(B169)-ROW($B$156)&amp;"][AnnexIActivity]",Submission!$O:$O,Submission!$H:$N,""))</f>
        <v/>
      </c>
      <c r="D169" s="285"/>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52" t="str">
        <f>_xlfn.CONCAT(_xlfn.XLOOKUP("[S08_ActivityDataIssuesDetail]["&amp;ROW(B169)-ROW($B$156)&amp;"][NumberOfInstallationsConEst]",Submission!$O:$O,Submission!$H:$N,""))</f>
        <v/>
      </c>
      <c r="I169" s="453"/>
    </row>
    <row r="170" spans="3:9" ht="54" customHeight="1" x14ac:dyDescent="0.3">
      <c r="C170" s="284" t="str">
        <f>_xlfn.CONCAT(_xlfn.XLOOKUP("[S08_ActivityDataIssuesDetail]["&amp;ROW(B170)-ROW($B$156)&amp;"][AnnexIActivity]",Submission!$O:$O,Submission!$H:$N,""))</f>
        <v/>
      </c>
      <c r="D170" s="285"/>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52" t="str">
        <f>_xlfn.CONCAT(_xlfn.XLOOKUP("[S08_ActivityDataIssuesDetail]["&amp;ROW(B170)-ROW($B$156)&amp;"][NumberOfInstallationsConEst]",Submission!$O:$O,Submission!$H:$N,""))</f>
        <v/>
      </c>
      <c r="I170" s="453"/>
    </row>
    <row r="171" spans="3:9" ht="54" customHeight="1" x14ac:dyDescent="0.3">
      <c r="C171" s="284" t="str">
        <f>_xlfn.CONCAT(_xlfn.XLOOKUP("[S08_ActivityDataIssuesDetail]["&amp;ROW(B171)-ROW($B$156)&amp;"][AnnexIActivity]",Submission!$O:$O,Submission!$H:$N,""))</f>
        <v/>
      </c>
      <c r="D171" s="285"/>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52" t="str">
        <f>_xlfn.CONCAT(_xlfn.XLOOKUP("[S08_ActivityDataIssuesDetail]["&amp;ROW(B171)-ROW($B$156)&amp;"][NumberOfInstallationsConEst]",Submission!$O:$O,Submission!$H:$N,""))</f>
        <v/>
      </c>
      <c r="I171" s="453"/>
    </row>
    <row r="172" spans="3:9" ht="54" hidden="1" customHeight="1" outlineLevel="1" x14ac:dyDescent="0.3">
      <c r="C172" s="284" t="str">
        <f>_xlfn.CONCAT(_xlfn.XLOOKUP("[S08_ActivityDataIssuesDetail]["&amp;ROW(B172)-ROW($B$156)&amp;"][AnnexIActivity]",Submission!$O:$O,Submission!$H:$N,""))</f>
        <v/>
      </c>
      <c r="D172" s="285"/>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52" t="str">
        <f>_xlfn.CONCAT(_xlfn.XLOOKUP("[S08_ActivityDataIssuesDetail]["&amp;ROW(B172)-ROW($B$156)&amp;"][NumberOfInstallationsConEst]",Submission!$O:$O,Submission!$H:$N,""))</f>
        <v/>
      </c>
      <c r="I172" s="453"/>
    </row>
    <row r="173" spans="3:9" ht="54" hidden="1" customHeight="1" outlineLevel="1" x14ac:dyDescent="0.3">
      <c r="C173" s="284" t="str">
        <f>_xlfn.CONCAT(_xlfn.XLOOKUP("[S08_ActivityDataIssuesDetail]["&amp;ROW(B173)-ROW($B$156)&amp;"][AnnexIActivity]",Submission!$O:$O,Submission!$H:$N,""))</f>
        <v/>
      </c>
      <c r="D173" s="285"/>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52" t="str">
        <f>_xlfn.CONCAT(_xlfn.XLOOKUP("[S08_ActivityDataIssuesDetail]["&amp;ROW(B173)-ROW($B$156)&amp;"][NumberOfInstallationsConEst]",Submission!$O:$O,Submission!$H:$N,""))</f>
        <v/>
      </c>
      <c r="I173" s="453"/>
    </row>
    <row r="174" spans="3:9" ht="54" hidden="1" customHeight="1" outlineLevel="1" x14ac:dyDescent="0.3">
      <c r="C174" s="284" t="str">
        <f>_xlfn.CONCAT(_xlfn.XLOOKUP("[S08_ActivityDataIssuesDetail]["&amp;ROW(B174)-ROW($B$156)&amp;"][AnnexIActivity]",Submission!$O:$O,Submission!$H:$N,""))</f>
        <v/>
      </c>
      <c r="D174" s="285"/>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52" t="str">
        <f>_xlfn.CONCAT(_xlfn.XLOOKUP("[S08_ActivityDataIssuesDetail]["&amp;ROW(B174)-ROW($B$156)&amp;"][NumberOfInstallationsConEst]",Submission!$O:$O,Submission!$H:$N,""))</f>
        <v/>
      </c>
      <c r="I174" s="453"/>
    </row>
    <row r="175" spans="3:9" ht="54" hidden="1" customHeight="1" outlineLevel="1" x14ac:dyDescent="0.3">
      <c r="C175" s="284" t="str">
        <f>_xlfn.CONCAT(_xlfn.XLOOKUP("[S08_ActivityDataIssuesDetail]["&amp;ROW(B175)-ROW($B$156)&amp;"][AnnexIActivity]",Submission!$O:$O,Submission!$H:$N,""))</f>
        <v/>
      </c>
      <c r="D175" s="285"/>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52" t="str">
        <f>_xlfn.CONCAT(_xlfn.XLOOKUP("[S08_ActivityDataIssuesDetail]["&amp;ROW(B175)-ROW($B$156)&amp;"][NumberOfInstallationsConEst]",Submission!$O:$O,Submission!$H:$N,""))</f>
        <v/>
      </c>
      <c r="I175" s="453"/>
    </row>
    <row r="176" spans="3:9" ht="54" hidden="1" customHeight="1" outlineLevel="1" x14ac:dyDescent="0.3">
      <c r="C176" s="284" t="str">
        <f>_xlfn.CONCAT(_xlfn.XLOOKUP("[S08_ActivityDataIssuesDetail]["&amp;ROW(B176)-ROW($B$156)&amp;"][AnnexIActivity]",Submission!$O:$O,Submission!$H:$N,""))</f>
        <v/>
      </c>
      <c r="D176" s="285"/>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52" t="str">
        <f>_xlfn.CONCAT(_xlfn.XLOOKUP("[S08_ActivityDataIssuesDetail]["&amp;ROW(B176)-ROW($B$156)&amp;"][NumberOfInstallationsConEst]",Submission!$O:$O,Submission!$H:$N,""))</f>
        <v/>
      </c>
      <c r="I176" s="453"/>
    </row>
    <row r="177" spans="3:9" ht="54" hidden="1" customHeight="1" outlineLevel="1" x14ac:dyDescent="0.3">
      <c r="C177" s="284" t="str">
        <f>_xlfn.CONCAT(_xlfn.XLOOKUP("[S08_ActivityDataIssuesDetail]["&amp;ROW(B177)-ROW($B$156)&amp;"][AnnexIActivity]",Submission!$O:$O,Submission!$H:$N,""))</f>
        <v/>
      </c>
      <c r="D177" s="285"/>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52" t="str">
        <f>_xlfn.CONCAT(_xlfn.XLOOKUP("[S08_ActivityDataIssuesDetail]["&amp;ROW(B177)-ROW($B$156)&amp;"][NumberOfInstallationsConEst]",Submission!$O:$O,Submission!$H:$N,""))</f>
        <v/>
      </c>
      <c r="I177" s="453"/>
    </row>
    <row r="178" spans="3:9" ht="54" hidden="1" customHeight="1" outlineLevel="1" x14ac:dyDescent="0.3">
      <c r="C178" s="284" t="str">
        <f>_xlfn.CONCAT(_xlfn.XLOOKUP("[S08_ActivityDataIssuesDetail]["&amp;ROW(B178)-ROW($B$156)&amp;"][AnnexIActivity]",Submission!$O:$O,Submission!$H:$N,""))</f>
        <v/>
      </c>
      <c r="D178" s="285"/>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52" t="str">
        <f>_xlfn.CONCAT(_xlfn.XLOOKUP("[S08_ActivityDataIssuesDetail]["&amp;ROW(B178)-ROW($B$156)&amp;"][NumberOfInstallationsConEst]",Submission!$O:$O,Submission!$H:$N,""))</f>
        <v/>
      </c>
      <c r="I178" s="453"/>
    </row>
    <row r="179" spans="3:9" ht="54" hidden="1" customHeight="1" outlineLevel="1" x14ac:dyDescent="0.3">
      <c r="C179" s="284" t="str">
        <f>_xlfn.CONCAT(_xlfn.XLOOKUP("[S08_ActivityDataIssuesDetail]["&amp;ROW(B179)-ROW($B$156)&amp;"][AnnexIActivity]",Submission!$O:$O,Submission!$H:$N,""))</f>
        <v/>
      </c>
      <c r="D179" s="285"/>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52" t="str">
        <f>_xlfn.CONCAT(_xlfn.XLOOKUP("[S08_ActivityDataIssuesDetail]["&amp;ROW(B179)-ROW($B$156)&amp;"][NumberOfInstallationsConEst]",Submission!$O:$O,Submission!$H:$N,""))</f>
        <v/>
      </c>
      <c r="I179" s="453"/>
    </row>
    <row r="180" spans="3:9" ht="54" hidden="1" customHeight="1" outlineLevel="1" x14ac:dyDescent="0.3">
      <c r="C180" s="284" t="str">
        <f>_xlfn.CONCAT(_xlfn.XLOOKUP("[S08_ActivityDataIssuesDetail]["&amp;ROW(B180)-ROW($B$156)&amp;"][AnnexIActivity]",Submission!$O:$O,Submission!$H:$N,""))</f>
        <v/>
      </c>
      <c r="D180" s="285"/>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52" t="str">
        <f>_xlfn.CONCAT(_xlfn.XLOOKUP("[S08_ActivityDataIssuesDetail]["&amp;ROW(B180)-ROW($B$156)&amp;"][NumberOfInstallationsConEst]",Submission!$O:$O,Submission!$H:$N,""))</f>
        <v/>
      </c>
      <c r="I180" s="453"/>
    </row>
    <row r="181" spans="3:9" ht="54" hidden="1" customHeight="1" outlineLevel="1" x14ac:dyDescent="0.3">
      <c r="C181" s="284" t="str">
        <f>_xlfn.CONCAT(_xlfn.XLOOKUP("[S08_ActivityDataIssuesDetail]["&amp;ROW(B181)-ROW($B$156)&amp;"][AnnexIActivity]",Submission!$O:$O,Submission!$H:$N,""))</f>
        <v/>
      </c>
      <c r="D181" s="285"/>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52" t="str">
        <f>_xlfn.CONCAT(_xlfn.XLOOKUP("[S08_ActivityDataIssuesDetail]["&amp;ROW(B181)-ROW($B$156)&amp;"][NumberOfInstallationsConEst]",Submission!$O:$O,Submission!$H:$N,""))</f>
        <v/>
      </c>
      <c r="I181" s="453"/>
    </row>
    <row r="182" spans="3:9" ht="54" hidden="1" customHeight="1" outlineLevel="1" x14ac:dyDescent="0.3">
      <c r="C182" s="284" t="str">
        <f>_xlfn.CONCAT(_xlfn.XLOOKUP("[S08_ActivityDataIssuesDetail]["&amp;ROW(B182)-ROW($B$156)&amp;"][AnnexIActivity]",Submission!$O:$O,Submission!$H:$N,""))</f>
        <v/>
      </c>
      <c r="D182" s="285"/>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52" t="str">
        <f>_xlfn.CONCAT(_xlfn.XLOOKUP("[S08_ActivityDataIssuesDetail]["&amp;ROW(B182)-ROW($B$156)&amp;"][NumberOfInstallationsConEst]",Submission!$O:$O,Submission!$H:$N,""))</f>
        <v/>
      </c>
      <c r="I182" s="453"/>
    </row>
    <row r="183" spans="3:9" ht="54" hidden="1" customHeight="1" outlineLevel="1" x14ac:dyDescent="0.3">
      <c r="C183" s="284" t="str">
        <f>_xlfn.CONCAT(_xlfn.XLOOKUP("[S08_ActivityDataIssuesDetail]["&amp;ROW(B183)-ROW($B$156)&amp;"][AnnexIActivity]",Submission!$O:$O,Submission!$H:$N,""))</f>
        <v/>
      </c>
      <c r="D183" s="285"/>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52" t="str">
        <f>_xlfn.CONCAT(_xlfn.XLOOKUP("[S08_ActivityDataIssuesDetail]["&amp;ROW(B183)-ROW($B$156)&amp;"][NumberOfInstallationsConEst]",Submission!$O:$O,Submission!$H:$N,""))</f>
        <v/>
      </c>
      <c r="I183" s="453"/>
    </row>
    <row r="184" spans="3:9" ht="54" hidden="1" customHeight="1" outlineLevel="1" x14ac:dyDescent="0.3">
      <c r="C184" s="284" t="str">
        <f>_xlfn.CONCAT(_xlfn.XLOOKUP("[S08_ActivityDataIssuesDetail]["&amp;ROW(B184)-ROW($B$156)&amp;"][AnnexIActivity]",Submission!$O:$O,Submission!$H:$N,""))</f>
        <v/>
      </c>
      <c r="D184" s="285"/>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52" t="str">
        <f>_xlfn.CONCAT(_xlfn.XLOOKUP("[S08_ActivityDataIssuesDetail]["&amp;ROW(B184)-ROW($B$156)&amp;"][NumberOfInstallationsConEst]",Submission!$O:$O,Submission!$H:$N,""))</f>
        <v/>
      </c>
      <c r="I184" s="453"/>
    </row>
    <row r="185" spans="3:9" ht="54" hidden="1" customHeight="1" outlineLevel="1" x14ac:dyDescent="0.3">
      <c r="C185" s="284" t="str">
        <f>_xlfn.CONCAT(_xlfn.XLOOKUP("[S08_ActivityDataIssuesDetail]["&amp;ROW(B185)-ROW($B$156)&amp;"][AnnexIActivity]",Submission!$O:$O,Submission!$H:$N,""))</f>
        <v/>
      </c>
      <c r="D185" s="285"/>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52" t="str">
        <f>_xlfn.CONCAT(_xlfn.XLOOKUP("[S08_ActivityDataIssuesDetail]["&amp;ROW(B185)-ROW($B$156)&amp;"][NumberOfInstallationsConEst]",Submission!$O:$O,Submission!$H:$N,""))</f>
        <v/>
      </c>
      <c r="I185" s="453"/>
    </row>
    <row r="186" spans="3:9" ht="54" hidden="1" customHeight="1" outlineLevel="1" x14ac:dyDescent="0.3">
      <c r="C186" s="284" t="str">
        <f>_xlfn.CONCAT(_xlfn.XLOOKUP("[S08_ActivityDataIssuesDetail]["&amp;ROW(B186)-ROW($B$156)&amp;"][AnnexIActivity]",Submission!$O:$O,Submission!$H:$N,""))</f>
        <v/>
      </c>
      <c r="D186" s="285"/>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52" t="str">
        <f>_xlfn.CONCAT(_xlfn.XLOOKUP("[S08_ActivityDataIssuesDetail]["&amp;ROW(B186)-ROW($B$156)&amp;"][NumberOfInstallationsConEst]",Submission!$O:$O,Submission!$H:$N,""))</f>
        <v/>
      </c>
      <c r="I186" s="453"/>
    </row>
    <row r="187" spans="3:9" ht="54" hidden="1" customHeight="1" outlineLevel="1" x14ac:dyDescent="0.3">
      <c r="C187" s="284" t="str">
        <f>_xlfn.CONCAT(_xlfn.XLOOKUP("[S08_ActivityDataIssuesDetail]["&amp;ROW(B187)-ROW($B$156)&amp;"][AnnexIActivity]",Submission!$O:$O,Submission!$H:$N,""))</f>
        <v/>
      </c>
      <c r="D187" s="285"/>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52" t="str">
        <f>_xlfn.CONCAT(_xlfn.XLOOKUP("[S08_ActivityDataIssuesDetail]["&amp;ROW(B187)-ROW($B$156)&amp;"][NumberOfInstallationsConEst]",Submission!$O:$O,Submission!$H:$N,""))</f>
        <v/>
      </c>
      <c r="I187" s="453"/>
    </row>
    <row r="188" spans="3:9" ht="54" hidden="1" customHeight="1" outlineLevel="1" x14ac:dyDescent="0.3">
      <c r="C188" s="284" t="str">
        <f>_xlfn.CONCAT(_xlfn.XLOOKUP("[S08_ActivityDataIssuesDetail]["&amp;ROW(B188)-ROW($B$156)&amp;"][AnnexIActivity]",Submission!$O:$O,Submission!$H:$N,""))</f>
        <v/>
      </c>
      <c r="D188" s="285"/>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52" t="str">
        <f>_xlfn.CONCAT(_xlfn.XLOOKUP("[S08_ActivityDataIssuesDetail]["&amp;ROW(B188)-ROW($B$156)&amp;"][NumberOfInstallationsConEst]",Submission!$O:$O,Submission!$H:$N,""))</f>
        <v/>
      </c>
      <c r="I188" s="453"/>
    </row>
    <row r="189" spans="3:9" ht="54" hidden="1" customHeight="1" outlineLevel="1" x14ac:dyDescent="0.3">
      <c r="C189" s="284" t="str">
        <f>_xlfn.CONCAT(_xlfn.XLOOKUP("[S08_ActivityDataIssuesDetail]["&amp;ROW(B189)-ROW($B$156)&amp;"][AnnexIActivity]",Submission!$O:$O,Submission!$H:$N,""))</f>
        <v/>
      </c>
      <c r="D189" s="285"/>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52" t="str">
        <f>_xlfn.CONCAT(_xlfn.XLOOKUP("[S08_ActivityDataIssuesDetail]["&amp;ROW(B189)-ROW($B$156)&amp;"][NumberOfInstallationsConEst]",Submission!$O:$O,Submission!$H:$N,""))</f>
        <v/>
      </c>
      <c r="I189" s="453"/>
    </row>
    <row r="190" spans="3:9" ht="54" hidden="1" customHeight="1" outlineLevel="1" x14ac:dyDescent="0.3">
      <c r="C190" s="284" t="str">
        <f>_xlfn.CONCAT(_xlfn.XLOOKUP("[S08_ActivityDataIssuesDetail]["&amp;ROW(B190)-ROW($B$156)&amp;"][AnnexIActivity]",Submission!$O:$O,Submission!$H:$N,""))</f>
        <v/>
      </c>
      <c r="D190" s="285"/>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52" t="str">
        <f>_xlfn.CONCAT(_xlfn.XLOOKUP("[S08_ActivityDataIssuesDetail]["&amp;ROW(B190)-ROW($B$156)&amp;"][NumberOfInstallationsConEst]",Submission!$O:$O,Submission!$H:$N,""))</f>
        <v/>
      </c>
      <c r="I190" s="453"/>
    </row>
    <row r="191" spans="3:9" ht="54" hidden="1" customHeight="1" outlineLevel="1" x14ac:dyDescent="0.3">
      <c r="C191" s="284" t="str">
        <f>_xlfn.CONCAT(_xlfn.XLOOKUP("[S08_ActivityDataIssuesDetail]["&amp;ROW(B191)-ROW($B$156)&amp;"][AnnexIActivity]",Submission!$O:$O,Submission!$H:$N,""))</f>
        <v/>
      </c>
      <c r="D191" s="285"/>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52" t="str">
        <f>_xlfn.CONCAT(_xlfn.XLOOKUP("[S08_ActivityDataIssuesDetail]["&amp;ROW(B191)-ROW($B$156)&amp;"][NumberOfInstallationsConEst]",Submission!$O:$O,Submission!$H:$N,""))</f>
        <v/>
      </c>
      <c r="I191" s="453"/>
    </row>
    <row r="192" spans="3:9" ht="54" hidden="1" customHeight="1" outlineLevel="1" x14ac:dyDescent="0.3">
      <c r="C192" s="284" t="str">
        <f>_xlfn.CONCAT(_xlfn.XLOOKUP("[S08_ActivityDataIssuesDetail]["&amp;ROW(B192)-ROW($B$156)&amp;"][AnnexIActivity]",Submission!$O:$O,Submission!$H:$N,""))</f>
        <v/>
      </c>
      <c r="D192" s="285"/>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52" t="str">
        <f>_xlfn.CONCAT(_xlfn.XLOOKUP("[S08_ActivityDataIssuesDetail]["&amp;ROW(B192)-ROW($B$156)&amp;"][NumberOfInstallationsConEst]",Submission!$O:$O,Submission!$H:$N,""))</f>
        <v/>
      </c>
      <c r="I192" s="453"/>
    </row>
    <row r="193" spans="3:9" ht="54" hidden="1" customHeight="1" outlineLevel="1" x14ac:dyDescent="0.3">
      <c r="C193" s="284" t="str">
        <f>_xlfn.CONCAT(_xlfn.XLOOKUP("[S08_ActivityDataIssuesDetail]["&amp;ROW(B193)-ROW($B$156)&amp;"][AnnexIActivity]",Submission!$O:$O,Submission!$H:$N,""))</f>
        <v/>
      </c>
      <c r="D193" s="285"/>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52" t="str">
        <f>_xlfn.CONCAT(_xlfn.XLOOKUP("[S08_ActivityDataIssuesDetail]["&amp;ROW(B193)-ROW($B$156)&amp;"][NumberOfInstallationsConEst]",Submission!$O:$O,Submission!$H:$N,""))</f>
        <v/>
      </c>
      <c r="I193" s="453"/>
    </row>
    <row r="194" spans="3:9" ht="54" hidden="1" customHeight="1" outlineLevel="1" x14ac:dyDescent="0.3">
      <c r="C194" s="284" t="str">
        <f>_xlfn.CONCAT(_xlfn.XLOOKUP("[S08_ActivityDataIssuesDetail]["&amp;ROW(B194)-ROW($B$156)&amp;"][AnnexIActivity]",Submission!$O:$O,Submission!$H:$N,""))</f>
        <v/>
      </c>
      <c r="D194" s="285"/>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52" t="str">
        <f>_xlfn.CONCAT(_xlfn.XLOOKUP("[S08_ActivityDataIssuesDetail]["&amp;ROW(B194)-ROW($B$156)&amp;"][NumberOfInstallationsConEst]",Submission!$O:$O,Submission!$H:$N,""))</f>
        <v/>
      </c>
      <c r="I194" s="453"/>
    </row>
    <row r="195" spans="3:9" ht="54" hidden="1" customHeight="1" outlineLevel="1" x14ac:dyDescent="0.3">
      <c r="C195" s="284" t="str">
        <f>_xlfn.CONCAT(_xlfn.XLOOKUP("[S08_ActivityDataIssuesDetail]["&amp;ROW(B195)-ROW($B$156)&amp;"][AnnexIActivity]",Submission!$O:$O,Submission!$H:$N,""))</f>
        <v/>
      </c>
      <c r="D195" s="285"/>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52" t="str">
        <f>_xlfn.CONCAT(_xlfn.XLOOKUP("[S08_ActivityDataIssuesDetail]["&amp;ROW(B195)-ROW($B$156)&amp;"][NumberOfInstallationsConEst]",Submission!$O:$O,Submission!$H:$N,""))</f>
        <v/>
      </c>
      <c r="I195" s="453"/>
    </row>
    <row r="196" spans="3:9" ht="54" hidden="1" customHeight="1" outlineLevel="1" x14ac:dyDescent="0.3">
      <c r="C196" s="284" t="str">
        <f>_xlfn.CONCAT(_xlfn.XLOOKUP("[S08_ActivityDataIssuesDetail]["&amp;ROW(B196)-ROW($B$156)&amp;"][AnnexIActivity]",Submission!$O:$O,Submission!$H:$N,""))</f>
        <v/>
      </c>
      <c r="D196" s="285"/>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52" t="str">
        <f>_xlfn.CONCAT(_xlfn.XLOOKUP("[S08_ActivityDataIssuesDetail]["&amp;ROW(B196)-ROW($B$156)&amp;"][NumberOfInstallationsConEst]",Submission!$O:$O,Submission!$H:$N,""))</f>
        <v/>
      </c>
      <c r="I196" s="453"/>
    </row>
    <row r="197" spans="3:9" ht="54" hidden="1" customHeight="1" outlineLevel="1" x14ac:dyDescent="0.3">
      <c r="C197" s="284" t="str">
        <f>_xlfn.CONCAT(_xlfn.XLOOKUP("[S08_ActivityDataIssuesDetail]["&amp;ROW(B197)-ROW($B$156)&amp;"][AnnexIActivity]",Submission!$O:$O,Submission!$H:$N,""))</f>
        <v/>
      </c>
      <c r="D197" s="285"/>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52" t="str">
        <f>_xlfn.CONCAT(_xlfn.XLOOKUP("[S08_ActivityDataIssuesDetail]["&amp;ROW(B197)-ROW($B$156)&amp;"][NumberOfInstallationsConEst]",Submission!$O:$O,Submission!$H:$N,""))</f>
        <v/>
      </c>
      <c r="I197" s="453"/>
    </row>
    <row r="198" spans="3:9" ht="54" hidden="1" customHeight="1" outlineLevel="1" x14ac:dyDescent="0.3">
      <c r="C198" s="284" t="str">
        <f>_xlfn.CONCAT(_xlfn.XLOOKUP("[S08_ActivityDataIssuesDetail]["&amp;ROW(B198)-ROW($B$156)&amp;"][AnnexIActivity]",Submission!$O:$O,Submission!$H:$N,""))</f>
        <v/>
      </c>
      <c r="D198" s="285"/>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52" t="str">
        <f>_xlfn.CONCAT(_xlfn.XLOOKUP("[S08_ActivityDataIssuesDetail]["&amp;ROW(B198)-ROW($B$156)&amp;"][NumberOfInstallationsConEst]",Submission!$O:$O,Submission!$H:$N,""))</f>
        <v/>
      </c>
      <c r="I198" s="453"/>
    </row>
    <row r="199" spans="3:9" ht="54" hidden="1" customHeight="1" outlineLevel="1" x14ac:dyDescent="0.3">
      <c r="C199" s="284" t="str">
        <f>_xlfn.CONCAT(_xlfn.XLOOKUP("[S08_ActivityDataIssuesDetail]["&amp;ROW(B199)-ROW($B$156)&amp;"][AnnexIActivity]",Submission!$O:$O,Submission!$H:$N,""))</f>
        <v/>
      </c>
      <c r="D199" s="285"/>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52" t="str">
        <f>_xlfn.CONCAT(_xlfn.XLOOKUP("[S08_ActivityDataIssuesDetail]["&amp;ROW(B199)-ROW($B$156)&amp;"][NumberOfInstallationsConEst]",Submission!$O:$O,Submission!$H:$N,""))</f>
        <v/>
      </c>
      <c r="I199" s="453"/>
    </row>
    <row r="200" spans="3:9" ht="54" hidden="1" customHeight="1" outlineLevel="1" x14ac:dyDescent="0.3">
      <c r="C200" s="284" t="str">
        <f>_xlfn.CONCAT(_xlfn.XLOOKUP("[S08_ActivityDataIssuesDetail]["&amp;ROW(B200)-ROW($B$156)&amp;"][AnnexIActivity]",Submission!$O:$O,Submission!$H:$N,""))</f>
        <v/>
      </c>
      <c r="D200" s="285"/>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52" t="str">
        <f>_xlfn.CONCAT(_xlfn.XLOOKUP("[S08_ActivityDataIssuesDetail]["&amp;ROW(B200)-ROW($B$156)&amp;"][NumberOfInstallationsConEst]",Submission!$O:$O,Submission!$H:$N,""))</f>
        <v/>
      </c>
      <c r="I200" s="453"/>
    </row>
    <row r="201" spans="3:9" ht="54" hidden="1" customHeight="1" outlineLevel="1" x14ac:dyDescent="0.3">
      <c r="C201" s="284" t="str">
        <f>_xlfn.CONCAT(_xlfn.XLOOKUP("[S08_ActivityDataIssuesDetail]["&amp;ROW(B201)-ROW($B$156)&amp;"][AnnexIActivity]",Submission!$O:$O,Submission!$H:$N,""))</f>
        <v/>
      </c>
      <c r="D201" s="285"/>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52" t="str">
        <f>_xlfn.CONCAT(_xlfn.XLOOKUP("[S08_ActivityDataIssuesDetail]["&amp;ROW(B201)-ROW($B$156)&amp;"][NumberOfInstallationsConEst]",Submission!$O:$O,Submission!$H:$N,""))</f>
        <v/>
      </c>
      <c r="I201" s="453"/>
    </row>
    <row r="202" spans="3:9" ht="54" hidden="1" customHeight="1" outlineLevel="1" x14ac:dyDescent="0.3">
      <c r="C202" s="284" t="str">
        <f>_xlfn.CONCAT(_xlfn.XLOOKUP("[S08_ActivityDataIssuesDetail]["&amp;ROW(B202)-ROW($B$156)&amp;"][AnnexIActivity]",Submission!$O:$O,Submission!$H:$N,""))</f>
        <v/>
      </c>
      <c r="D202" s="285"/>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52" t="str">
        <f>_xlfn.CONCAT(_xlfn.XLOOKUP("[S08_ActivityDataIssuesDetail]["&amp;ROW(B202)-ROW($B$156)&amp;"][NumberOfInstallationsConEst]",Submission!$O:$O,Submission!$H:$N,""))</f>
        <v/>
      </c>
      <c r="I202" s="453"/>
    </row>
    <row r="203" spans="3:9" ht="54" hidden="1" customHeight="1" outlineLevel="1" x14ac:dyDescent="0.3">
      <c r="C203" s="284" t="str">
        <f>_xlfn.CONCAT(_xlfn.XLOOKUP("[S08_ActivityDataIssuesDetail]["&amp;ROW(B203)-ROW($B$156)&amp;"][AnnexIActivity]",Submission!$O:$O,Submission!$H:$N,""))</f>
        <v/>
      </c>
      <c r="D203" s="285"/>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52" t="str">
        <f>_xlfn.CONCAT(_xlfn.XLOOKUP("[S08_ActivityDataIssuesDetail]["&amp;ROW(B203)-ROW($B$156)&amp;"][NumberOfInstallationsConEst]",Submission!$O:$O,Submission!$H:$N,""))</f>
        <v/>
      </c>
      <c r="I203" s="453"/>
    </row>
    <row r="204" spans="3:9" ht="54" hidden="1" customHeight="1" outlineLevel="1" x14ac:dyDescent="0.3">
      <c r="C204" s="284" t="str">
        <f>_xlfn.CONCAT(_xlfn.XLOOKUP("[S08_ActivityDataIssuesDetail]["&amp;ROW(B204)-ROW($B$156)&amp;"][AnnexIActivity]",Submission!$O:$O,Submission!$H:$N,""))</f>
        <v/>
      </c>
      <c r="D204" s="285"/>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52" t="str">
        <f>_xlfn.CONCAT(_xlfn.XLOOKUP("[S08_ActivityDataIssuesDetail]["&amp;ROW(B204)-ROW($B$156)&amp;"][NumberOfInstallationsConEst]",Submission!$O:$O,Submission!$H:$N,""))</f>
        <v/>
      </c>
      <c r="I204" s="453"/>
    </row>
    <row r="205" spans="3:9" ht="54" hidden="1" customHeight="1" outlineLevel="1" x14ac:dyDescent="0.3">
      <c r="C205" s="284" t="str">
        <f>_xlfn.CONCAT(_xlfn.XLOOKUP("[S08_ActivityDataIssuesDetail]["&amp;ROW(B205)-ROW($B$156)&amp;"][AnnexIActivity]",Submission!$O:$O,Submission!$H:$N,""))</f>
        <v/>
      </c>
      <c r="D205" s="285"/>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52" t="str">
        <f>_xlfn.CONCAT(_xlfn.XLOOKUP("[S08_ActivityDataIssuesDetail]["&amp;ROW(B205)-ROW($B$156)&amp;"][NumberOfInstallationsConEst]",Submission!$O:$O,Submission!$H:$N,""))</f>
        <v/>
      </c>
      <c r="I205" s="453"/>
    </row>
    <row r="206" spans="3:9" ht="54" hidden="1" customHeight="1" outlineLevel="1" x14ac:dyDescent="0.3">
      <c r="C206" s="284" t="str">
        <f>_xlfn.CONCAT(_xlfn.XLOOKUP("[S08_ActivityDataIssuesDetail]["&amp;ROW(B206)-ROW($B$156)&amp;"][AnnexIActivity]",Submission!$O:$O,Submission!$H:$N,""))</f>
        <v/>
      </c>
      <c r="D206" s="285"/>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52" t="str">
        <f>_xlfn.CONCAT(_xlfn.XLOOKUP("[S08_ActivityDataIssuesDetail]["&amp;ROW(B206)-ROW($B$156)&amp;"][NumberOfInstallationsConEst]",Submission!$O:$O,Submission!$H:$N,""))</f>
        <v/>
      </c>
      <c r="I206" s="453"/>
    </row>
    <row r="207" spans="3:9" ht="54" hidden="1" customHeight="1" outlineLevel="1" x14ac:dyDescent="0.3">
      <c r="C207" s="284" t="str">
        <f>_xlfn.CONCAT(_xlfn.XLOOKUP("[S08_ActivityDataIssuesDetail]["&amp;ROW(B207)-ROW($B$156)&amp;"][AnnexIActivity]",Submission!$O:$O,Submission!$H:$N,""))</f>
        <v/>
      </c>
      <c r="D207" s="285"/>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52" t="str">
        <f>_xlfn.CONCAT(_xlfn.XLOOKUP("[S08_ActivityDataIssuesDetail]["&amp;ROW(B207)-ROW($B$156)&amp;"][NumberOfInstallationsConEst]",Submission!$O:$O,Submission!$H:$N,""))</f>
        <v/>
      </c>
      <c r="I207" s="453"/>
    </row>
    <row r="208" spans="3:9" ht="54" hidden="1" customHeight="1" outlineLevel="1" x14ac:dyDescent="0.3">
      <c r="C208" s="284" t="str">
        <f>_xlfn.CONCAT(_xlfn.XLOOKUP("[S08_ActivityDataIssuesDetail]["&amp;ROW(B208)-ROW($B$156)&amp;"][AnnexIActivity]",Submission!$O:$O,Submission!$H:$N,""))</f>
        <v/>
      </c>
      <c r="D208" s="285"/>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52" t="str">
        <f>_xlfn.CONCAT(_xlfn.XLOOKUP("[S08_ActivityDataIssuesDetail]["&amp;ROW(B208)-ROW($B$156)&amp;"][NumberOfInstallationsConEst]",Submission!$O:$O,Submission!$H:$N,""))</f>
        <v/>
      </c>
      <c r="I208" s="453"/>
    </row>
    <row r="209" spans="3:9" ht="54" hidden="1" customHeight="1" outlineLevel="1" x14ac:dyDescent="0.3">
      <c r="C209" s="284" t="str">
        <f>_xlfn.CONCAT(_xlfn.XLOOKUP("[S08_ActivityDataIssuesDetail]["&amp;ROW(B209)-ROW($B$156)&amp;"][AnnexIActivity]",Submission!$O:$O,Submission!$H:$N,""))</f>
        <v/>
      </c>
      <c r="D209" s="285"/>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52" t="str">
        <f>_xlfn.CONCAT(_xlfn.XLOOKUP("[S08_ActivityDataIssuesDetail]["&amp;ROW(B209)-ROW($B$156)&amp;"][NumberOfInstallationsConEst]",Submission!$O:$O,Submission!$H:$N,""))</f>
        <v/>
      </c>
      <c r="I209" s="453"/>
    </row>
    <row r="210" spans="3:9" ht="54" hidden="1" customHeight="1" outlineLevel="1" x14ac:dyDescent="0.3">
      <c r="C210" s="284" t="str">
        <f>_xlfn.CONCAT(_xlfn.XLOOKUP("[S08_ActivityDataIssuesDetail]["&amp;ROW(B210)-ROW($B$156)&amp;"][AnnexIActivity]",Submission!$O:$O,Submission!$H:$N,""))</f>
        <v/>
      </c>
      <c r="D210" s="285"/>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52" t="str">
        <f>_xlfn.CONCAT(_xlfn.XLOOKUP("[S08_ActivityDataIssuesDetail]["&amp;ROW(B210)-ROW($B$156)&amp;"][NumberOfInstallationsConEst]",Submission!$O:$O,Submission!$H:$N,""))</f>
        <v/>
      </c>
      <c r="I210" s="453"/>
    </row>
    <row r="211" spans="3:9" ht="54" hidden="1" customHeight="1" outlineLevel="1" x14ac:dyDescent="0.3">
      <c r="C211" s="284" t="str">
        <f>_xlfn.CONCAT(_xlfn.XLOOKUP("[S08_ActivityDataIssuesDetail]["&amp;ROW(B211)-ROW($B$156)&amp;"][AnnexIActivity]",Submission!$O:$O,Submission!$H:$N,""))</f>
        <v/>
      </c>
      <c r="D211" s="285"/>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52" t="str">
        <f>_xlfn.CONCAT(_xlfn.XLOOKUP("[S08_ActivityDataIssuesDetail]["&amp;ROW(B211)-ROW($B$156)&amp;"][NumberOfInstallationsConEst]",Submission!$O:$O,Submission!$H:$N,""))</f>
        <v/>
      </c>
      <c r="I211" s="453"/>
    </row>
    <row r="212" spans="3:9" ht="54" hidden="1" customHeight="1" outlineLevel="1" x14ac:dyDescent="0.3">
      <c r="C212" s="284" t="str">
        <f>_xlfn.CONCAT(_xlfn.XLOOKUP("[S08_ActivityDataIssuesDetail]["&amp;ROW(B212)-ROW($B$156)&amp;"][AnnexIActivity]",Submission!$O:$O,Submission!$H:$N,""))</f>
        <v/>
      </c>
      <c r="D212" s="285"/>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52" t="str">
        <f>_xlfn.CONCAT(_xlfn.XLOOKUP("[S08_ActivityDataIssuesDetail]["&amp;ROW(B212)-ROW($B$156)&amp;"][NumberOfInstallationsConEst]",Submission!$O:$O,Submission!$H:$N,""))</f>
        <v/>
      </c>
      <c r="I212" s="453"/>
    </row>
    <row r="213" spans="3:9" ht="54" hidden="1" customHeight="1" outlineLevel="1" x14ac:dyDescent="0.3">
      <c r="C213" s="284" t="str">
        <f>_xlfn.CONCAT(_xlfn.XLOOKUP("[S08_ActivityDataIssuesDetail]["&amp;ROW(B213)-ROW($B$156)&amp;"][AnnexIActivity]",Submission!$O:$O,Submission!$H:$N,""))</f>
        <v/>
      </c>
      <c r="D213" s="285"/>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52" t="str">
        <f>_xlfn.CONCAT(_xlfn.XLOOKUP("[S08_ActivityDataIssuesDetail]["&amp;ROW(B213)-ROW($B$156)&amp;"][NumberOfInstallationsConEst]",Submission!$O:$O,Submission!$H:$N,""))</f>
        <v/>
      </c>
      <c r="I213" s="453"/>
    </row>
    <row r="214" spans="3:9" ht="54" hidden="1" customHeight="1" outlineLevel="1" x14ac:dyDescent="0.3">
      <c r="C214" s="284" t="str">
        <f>_xlfn.CONCAT(_xlfn.XLOOKUP("[S08_ActivityDataIssuesDetail]["&amp;ROW(B214)-ROW($B$156)&amp;"][AnnexIActivity]",Submission!$O:$O,Submission!$H:$N,""))</f>
        <v/>
      </c>
      <c r="D214" s="285"/>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52" t="str">
        <f>_xlfn.CONCAT(_xlfn.XLOOKUP("[S08_ActivityDataIssuesDetail]["&amp;ROW(B214)-ROW($B$156)&amp;"][NumberOfInstallationsConEst]",Submission!$O:$O,Submission!$H:$N,""))</f>
        <v/>
      </c>
      <c r="I214" s="453"/>
    </row>
    <row r="215" spans="3:9" ht="54" hidden="1" customHeight="1" outlineLevel="1" x14ac:dyDescent="0.3">
      <c r="C215" s="284" t="str">
        <f>_xlfn.CONCAT(_xlfn.XLOOKUP("[S08_ActivityDataIssuesDetail]["&amp;ROW(B215)-ROW($B$156)&amp;"][AnnexIActivity]",Submission!$O:$O,Submission!$H:$N,""))</f>
        <v/>
      </c>
      <c r="D215" s="285"/>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52" t="str">
        <f>_xlfn.CONCAT(_xlfn.XLOOKUP("[S08_ActivityDataIssuesDetail]["&amp;ROW(B215)-ROW($B$156)&amp;"][NumberOfInstallationsConEst]",Submission!$O:$O,Submission!$H:$N,""))</f>
        <v/>
      </c>
      <c r="I215" s="453"/>
    </row>
    <row r="216" spans="3:9" ht="54" hidden="1" customHeight="1" outlineLevel="1" x14ac:dyDescent="0.3">
      <c r="C216" s="284" t="str">
        <f>_xlfn.CONCAT(_xlfn.XLOOKUP("[S08_ActivityDataIssuesDetail]["&amp;ROW(B216)-ROW($B$156)&amp;"][AnnexIActivity]",Submission!$O:$O,Submission!$H:$N,""))</f>
        <v/>
      </c>
      <c r="D216" s="285"/>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52" t="str">
        <f>_xlfn.CONCAT(_xlfn.XLOOKUP("[S08_ActivityDataIssuesDetail]["&amp;ROW(B216)-ROW($B$156)&amp;"][NumberOfInstallationsConEst]",Submission!$O:$O,Submission!$H:$N,""))</f>
        <v/>
      </c>
      <c r="I216" s="453"/>
    </row>
    <row r="217" spans="3:9" ht="54" hidden="1" customHeight="1" outlineLevel="1" x14ac:dyDescent="0.3">
      <c r="C217" s="284" t="str">
        <f>_xlfn.CONCAT(_xlfn.XLOOKUP("[S08_ActivityDataIssuesDetail]["&amp;ROW(B217)-ROW($B$156)&amp;"][AnnexIActivity]",Submission!$O:$O,Submission!$H:$N,""))</f>
        <v/>
      </c>
      <c r="D217" s="285"/>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52" t="str">
        <f>_xlfn.CONCAT(_xlfn.XLOOKUP("[S08_ActivityDataIssuesDetail]["&amp;ROW(B217)-ROW($B$156)&amp;"][NumberOfInstallationsConEst]",Submission!$O:$O,Submission!$H:$N,""))</f>
        <v/>
      </c>
      <c r="I217" s="453"/>
    </row>
    <row r="218" spans="3:9" ht="54" hidden="1" customHeight="1" outlineLevel="1" x14ac:dyDescent="0.3">
      <c r="C218" s="284" t="str">
        <f>_xlfn.CONCAT(_xlfn.XLOOKUP("[S08_ActivityDataIssuesDetail]["&amp;ROW(B218)-ROW($B$156)&amp;"][AnnexIActivity]",Submission!$O:$O,Submission!$H:$N,""))</f>
        <v/>
      </c>
      <c r="D218" s="285"/>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52" t="str">
        <f>_xlfn.CONCAT(_xlfn.XLOOKUP("[S08_ActivityDataIssuesDetail]["&amp;ROW(B218)-ROW($B$156)&amp;"][NumberOfInstallationsConEst]",Submission!$O:$O,Submission!$H:$N,""))</f>
        <v/>
      </c>
      <c r="I218" s="453"/>
    </row>
    <row r="219" spans="3:9" ht="54" hidden="1" customHeight="1" outlineLevel="1" x14ac:dyDescent="0.3">
      <c r="C219" s="284" t="str">
        <f>_xlfn.CONCAT(_xlfn.XLOOKUP("[S08_ActivityDataIssuesDetail]["&amp;ROW(B219)-ROW($B$156)&amp;"][AnnexIActivity]",Submission!$O:$O,Submission!$H:$N,""))</f>
        <v/>
      </c>
      <c r="D219" s="285"/>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52" t="str">
        <f>_xlfn.CONCAT(_xlfn.XLOOKUP("[S08_ActivityDataIssuesDetail]["&amp;ROW(B219)-ROW($B$156)&amp;"][NumberOfInstallationsConEst]",Submission!$O:$O,Submission!$H:$N,""))</f>
        <v/>
      </c>
      <c r="I219" s="453"/>
    </row>
    <row r="220" spans="3:9" ht="54" hidden="1" customHeight="1" outlineLevel="1" x14ac:dyDescent="0.3">
      <c r="C220" s="284" t="str">
        <f>_xlfn.CONCAT(_xlfn.XLOOKUP("[S08_ActivityDataIssuesDetail]["&amp;ROW(B220)-ROW($B$156)&amp;"][AnnexIActivity]",Submission!$O:$O,Submission!$H:$N,""))</f>
        <v/>
      </c>
      <c r="D220" s="285"/>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52" t="str">
        <f>_xlfn.CONCAT(_xlfn.XLOOKUP("[S08_ActivityDataIssuesDetail]["&amp;ROW(B220)-ROW($B$156)&amp;"][NumberOfInstallationsConEst]",Submission!$O:$O,Submission!$H:$N,""))</f>
        <v/>
      </c>
      <c r="I220" s="453"/>
    </row>
    <row r="221" spans="3:9" ht="54" hidden="1" customHeight="1" outlineLevel="1" x14ac:dyDescent="0.3">
      <c r="C221" s="284" t="str">
        <f>_xlfn.CONCAT(_xlfn.XLOOKUP("[S08_ActivityDataIssuesDetail]["&amp;ROW(B221)-ROW($B$156)&amp;"][AnnexIActivity]",Submission!$O:$O,Submission!$H:$N,""))</f>
        <v/>
      </c>
      <c r="D221" s="285"/>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52" t="str">
        <f>_xlfn.CONCAT(_xlfn.XLOOKUP("[S08_ActivityDataIssuesDetail]["&amp;ROW(B221)-ROW($B$156)&amp;"][NumberOfInstallationsConEst]",Submission!$O:$O,Submission!$H:$N,""))</f>
        <v/>
      </c>
      <c r="I221" s="453"/>
    </row>
    <row r="222" spans="3:9" ht="54" hidden="1" customHeight="1" outlineLevel="1" x14ac:dyDescent="0.3">
      <c r="C222" s="284" t="str">
        <f>_xlfn.CONCAT(_xlfn.XLOOKUP("[S08_ActivityDataIssuesDetail]["&amp;ROW(B222)-ROW($B$156)&amp;"][AnnexIActivity]",Submission!$O:$O,Submission!$H:$N,""))</f>
        <v/>
      </c>
      <c r="D222" s="285"/>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52" t="str">
        <f>_xlfn.CONCAT(_xlfn.XLOOKUP("[S08_ActivityDataIssuesDetail]["&amp;ROW(B222)-ROW($B$156)&amp;"][NumberOfInstallationsConEst]",Submission!$O:$O,Submission!$H:$N,""))</f>
        <v/>
      </c>
      <c r="I222" s="453"/>
    </row>
    <row r="223" spans="3:9" ht="54" hidden="1" customHeight="1" outlineLevel="1" x14ac:dyDescent="0.3">
      <c r="C223" s="284" t="str">
        <f>_xlfn.CONCAT(_xlfn.XLOOKUP("[S08_ActivityDataIssuesDetail]["&amp;ROW(B223)-ROW($B$156)&amp;"][AnnexIActivity]",Submission!$O:$O,Submission!$H:$N,""))</f>
        <v/>
      </c>
      <c r="D223" s="285"/>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52" t="str">
        <f>_xlfn.CONCAT(_xlfn.XLOOKUP("[S08_ActivityDataIssuesDetail]["&amp;ROW(B223)-ROW($B$156)&amp;"][NumberOfInstallationsConEst]",Submission!$O:$O,Submission!$H:$N,""))</f>
        <v/>
      </c>
      <c r="I223" s="453"/>
    </row>
    <row r="224" spans="3:9" ht="54" hidden="1" customHeight="1" outlineLevel="1" x14ac:dyDescent="0.3">
      <c r="C224" s="284" t="str">
        <f>_xlfn.CONCAT(_xlfn.XLOOKUP("[S08_ActivityDataIssuesDetail]["&amp;ROW(B224)-ROW($B$156)&amp;"][AnnexIActivity]",Submission!$O:$O,Submission!$H:$N,""))</f>
        <v/>
      </c>
      <c r="D224" s="285"/>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52" t="str">
        <f>_xlfn.CONCAT(_xlfn.XLOOKUP("[S08_ActivityDataIssuesDetail]["&amp;ROW(B224)-ROW($B$156)&amp;"][NumberOfInstallationsConEst]",Submission!$O:$O,Submission!$H:$N,""))</f>
        <v/>
      </c>
      <c r="I224" s="453"/>
    </row>
    <row r="225" spans="1:9" ht="54" hidden="1" customHeight="1" outlineLevel="1" x14ac:dyDescent="0.3">
      <c r="C225" s="284" t="str">
        <f>_xlfn.CONCAT(_xlfn.XLOOKUP("[S08_ActivityDataIssuesDetail]["&amp;ROW(B225)-ROW($B$156)&amp;"][AnnexIActivity]",Submission!$O:$O,Submission!$H:$N,""))</f>
        <v/>
      </c>
      <c r="D225" s="285"/>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52" t="str">
        <f>_xlfn.CONCAT(_xlfn.XLOOKUP("[S08_ActivityDataIssuesDetail]["&amp;ROW(B225)-ROW($B$156)&amp;"][NumberOfInstallationsConEst]",Submission!$O:$O,Submission!$H:$N,""))</f>
        <v/>
      </c>
      <c r="I225" s="453"/>
    </row>
    <row r="226" spans="1:9" ht="54" hidden="1" customHeight="1" outlineLevel="1" x14ac:dyDescent="0.3">
      <c r="C226" s="284" t="str">
        <f>_xlfn.CONCAT(_xlfn.XLOOKUP("[S08_ActivityDataIssuesDetail]["&amp;ROW(B226)-ROW($B$156)&amp;"][AnnexIActivity]",Submission!$O:$O,Submission!$H:$N,""))</f>
        <v/>
      </c>
      <c r="D226" s="285"/>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52" t="str">
        <f>_xlfn.CONCAT(_xlfn.XLOOKUP("[S08_ActivityDataIssuesDetail]["&amp;ROW(B226)-ROW($B$156)&amp;"][NumberOfInstallationsConEst]",Submission!$O:$O,Submission!$H:$N,""))</f>
        <v/>
      </c>
      <c r="I226" s="453"/>
    </row>
    <row r="227" spans="1:9" ht="54" hidden="1" customHeight="1" outlineLevel="1" x14ac:dyDescent="0.3">
      <c r="C227" s="284" t="str">
        <f>_xlfn.CONCAT(_xlfn.XLOOKUP("[S08_ActivityDataIssuesDetail]["&amp;ROW(B227)-ROW($B$156)&amp;"][AnnexIActivity]",Submission!$O:$O,Submission!$H:$N,""))</f>
        <v/>
      </c>
      <c r="D227" s="285"/>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52" t="str">
        <f>_xlfn.CONCAT(_xlfn.XLOOKUP("[S08_ActivityDataIssuesDetail]["&amp;ROW(B227)-ROW($B$156)&amp;"][NumberOfInstallationsConEst]",Submission!$O:$O,Submission!$H:$N,""))</f>
        <v/>
      </c>
      <c r="I227" s="453"/>
    </row>
    <row r="228" spans="1:9" ht="54" hidden="1" customHeight="1" outlineLevel="1" x14ac:dyDescent="0.3">
      <c r="C228" s="284" t="str">
        <f>_xlfn.CONCAT(_xlfn.XLOOKUP("[S08_ActivityDataIssuesDetail]["&amp;ROW(B228)-ROW($B$156)&amp;"][AnnexIActivity]",Submission!$O:$O,Submission!$H:$N,""))</f>
        <v/>
      </c>
      <c r="D228" s="285"/>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52" t="str">
        <f>_xlfn.CONCAT(_xlfn.XLOOKUP("[S08_ActivityDataIssuesDetail]["&amp;ROW(B228)-ROW($B$156)&amp;"][NumberOfInstallationsConEst]",Submission!$O:$O,Submission!$H:$N,""))</f>
        <v/>
      </c>
      <c r="I228" s="453"/>
    </row>
    <row r="229" spans="1:9" ht="54" hidden="1" customHeight="1" outlineLevel="1" x14ac:dyDescent="0.3">
      <c r="C229" s="284" t="str">
        <f>_xlfn.CONCAT(_xlfn.XLOOKUP("[S08_ActivityDataIssuesDetail]["&amp;ROW(B229)-ROW($B$156)&amp;"][AnnexIActivity]",Submission!$O:$O,Submission!$H:$N,""))</f>
        <v/>
      </c>
      <c r="D229" s="285"/>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52" t="str">
        <f>_xlfn.CONCAT(_xlfn.XLOOKUP("[S08_ActivityDataIssuesDetail]["&amp;ROW(B229)-ROW($B$156)&amp;"][NumberOfInstallationsConEst]",Submission!$O:$O,Submission!$H:$N,""))</f>
        <v/>
      </c>
      <c r="I229" s="453"/>
    </row>
    <row r="230" spans="1:9" ht="54" hidden="1" customHeight="1" outlineLevel="1" x14ac:dyDescent="0.3">
      <c r="C230" s="284" t="str">
        <f>_xlfn.CONCAT(_xlfn.XLOOKUP("[S08_ActivityDataIssuesDetail]["&amp;ROW(B230)-ROW($B$156)&amp;"][AnnexIActivity]",Submission!$O:$O,Submission!$H:$N,""))</f>
        <v/>
      </c>
      <c r="D230" s="285"/>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52" t="str">
        <f>_xlfn.CONCAT(_xlfn.XLOOKUP("[S08_ActivityDataIssuesDetail]["&amp;ROW(B230)-ROW($B$156)&amp;"][NumberOfInstallationsConEst]",Submission!$O:$O,Submission!$H:$N,""))</f>
        <v/>
      </c>
      <c r="I230" s="453"/>
    </row>
    <row r="231" spans="1:9" ht="54" hidden="1" customHeight="1" outlineLevel="1" x14ac:dyDescent="0.3">
      <c r="C231" s="284" t="str">
        <f>_xlfn.CONCAT(_xlfn.XLOOKUP("[S08_ActivityDataIssuesDetail]["&amp;ROW(B231)-ROW($B$156)&amp;"][AnnexIActivity]",Submission!$O:$O,Submission!$H:$N,""))</f>
        <v/>
      </c>
      <c r="D231" s="285"/>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52" t="str">
        <f>_xlfn.CONCAT(_xlfn.XLOOKUP("[S08_ActivityDataIssuesDetail]["&amp;ROW(B231)-ROW($B$156)&amp;"][NumberOfInstallationsConEst]",Submission!$O:$O,Submission!$H:$N,""))</f>
        <v/>
      </c>
      <c r="I231" s="453"/>
    </row>
    <row r="232" spans="1:9" ht="54" hidden="1" customHeight="1" outlineLevel="1" x14ac:dyDescent="0.3">
      <c r="C232" s="284" t="str">
        <f>_xlfn.CONCAT(_xlfn.XLOOKUP("[S08_ActivityDataIssuesDetail]["&amp;ROW(B232)-ROW($B$156)&amp;"][AnnexIActivity]",Submission!$O:$O,Submission!$H:$N,""))</f>
        <v/>
      </c>
      <c r="D232" s="285"/>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52" t="str">
        <f>_xlfn.CONCAT(_xlfn.XLOOKUP("[S08_ActivityDataIssuesDetail]["&amp;ROW(B232)-ROW($B$156)&amp;"][NumberOfInstallationsConEst]",Submission!$O:$O,Submission!$H:$N,""))</f>
        <v/>
      </c>
      <c r="I232" s="453"/>
    </row>
    <row r="233" spans="1:9" ht="54" hidden="1" customHeight="1" outlineLevel="1" x14ac:dyDescent="0.3">
      <c r="C233" s="284" t="str">
        <f>_xlfn.CONCAT(_xlfn.XLOOKUP("[S08_ActivityDataIssuesDetail]["&amp;ROW(B233)-ROW($B$156)&amp;"][AnnexIActivity]",Submission!$O:$O,Submission!$H:$N,""))</f>
        <v/>
      </c>
      <c r="D233" s="285"/>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52" t="str">
        <f>_xlfn.CONCAT(_xlfn.XLOOKUP("[S08_ActivityDataIssuesDetail]["&amp;ROW(B233)-ROW($B$156)&amp;"][NumberOfInstallationsConEst]",Submission!$O:$O,Submission!$H:$N,""))</f>
        <v/>
      </c>
      <c r="I233" s="453"/>
    </row>
    <row r="234" spans="1:9" ht="54" hidden="1" customHeight="1" outlineLevel="1" x14ac:dyDescent="0.3">
      <c r="C234" s="284" t="str">
        <f>_xlfn.CONCAT(_xlfn.XLOOKUP("[S08_ActivityDataIssuesDetail]["&amp;ROW(B234)-ROW($B$156)&amp;"][AnnexIActivity]",Submission!$O:$O,Submission!$H:$N,""))</f>
        <v/>
      </c>
      <c r="D234" s="285"/>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52" t="str">
        <f>_xlfn.CONCAT(_xlfn.XLOOKUP("[S08_ActivityDataIssuesDetail]["&amp;ROW(B234)-ROW($B$156)&amp;"][NumberOfInstallationsConEst]",Submission!$O:$O,Submission!$H:$N,""))</f>
        <v/>
      </c>
      <c r="I234" s="453"/>
    </row>
    <row r="235" spans="1:9" ht="54" hidden="1" customHeight="1" outlineLevel="1" x14ac:dyDescent="0.3">
      <c r="C235" s="284" t="str">
        <f>_xlfn.CONCAT(_xlfn.XLOOKUP("[S08_ActivityDataIssuesDetail]["&amp;ROW(B235)-ROW($B$156)&amp;"][AnnexIActivity]",Submission!$O:$O,Submission!$H:$N,""))</f>
        <v/>
      </c>
      <c r="D235" s="285"/>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52" t="str">
        <f>_xlfn.CONCAT(_xlfn.XLOOKUP("[S08_ActivityDataIssuesDetail]["&amp;ROW(B235)-ROW($B$156)&amp;"][NumberOfInstallationsConEst]",Submission!$O:$O,Submission!$H:$N,""))</f>
        <v/>
      </c>
      <c r="I235" s="453"/>
    </row>
    <row r="236" spans="1:9" ht="54" hidden="1" customHeight="1" outlineLevel="1" x14ac:dyDescent="0.3">
      <c r="C236" s="284" t="str">
        <f>_xlfn.CONCAT(_xlfn.XLOOKUP("[S08_ActivityDataIssuesDetail]["&amp;ROW(B236)-ROW($B$156)&amp;"][AnnexIActivity]",Submission!$O:$O,Submission!$H:$N,""))</f>
        <v/>
      </c>
      <c r="D236" s="285"/>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52" t="str">
        <f>_xlfn.CONCAT(_xlfn.XLOOKUP("[S08_ActivityDataIssuesDetail]["&amp;ROW(B236)-ROW($B$156)&amp;"][NumberOfInstallationsConEst]",Submission!$O:$O,Submission!$H:$N,""))</f>
        <v/>
      </c>
      <c r="I236" s="453"/>
    </row>
    <row r="237" spans="1:9" collapsed="1" x14ac:dyDescent="0.3">
      <c r="B237" s="26" t="s">
        <v>1000</v>
      </c>
    </row>
    <row r="238" spans="1:9" ht="27.6" customHeight="1" x14ac:dyDescent="0.3">
      <c r="C238" s="464" t="s">
        <v>1205</v>
      </c>
      <c r="D238" s="464"/>
      <c r="E238" s="464"/>
      <c r="F238" s="464"/>
      <c r="G238" s="464"/>
      <c r="H238" s="464"/>
      <c r="I238" s="464"/>
    </row>
    <row r="240" spans="1:9" ht="18" customHeight="1" x14ac:dyDescent="0.3">
      <c r="A240" s="12" t="s">
        <v>518</v>
      </c>
      <c r="B240" s="293" t="s">
        <v>1206</v>
      </c>
      <c r="C240" s="294"/>
      <c r="D240" s="294"/>
      <c r="E240" s="294"/>
      <c r="F240" s="294"/>
      <c r="G240" s="294"/>
      <c r="H240" s="295"/>
      <c r="I240" s="41" t="str">
        <f>_xlfn.CONCAT(_xlfn.XLOOKUP("[ActivityReportRejected][0][ActivityReportRejected]",Submission!$O:$O,Submission!$H:$N,""))</f>
        <v/>
      </c>
    </row>
    <row r="241" spans="1:9" ht="17.399999999999999" customHeight="1" x14ac:dyDescent="0.3">
      <c r="B241" s="465" t="s">
        <v>1207</v>
      </c>
      <c r="C241" s="465"/>
      <c r="D241" s="465"/>
      <c r="E241" s="465"/>
      <c r="F241" s="465"/>
      <c r="G241" s="465"/>
      <c r="H241" s="465"/>
      <c r="I241" s="465"/>
    </row>
    <row r="242" spans="1:9" x14ac:dyDescent="0.3">
      <c r="C242" s="489" t="s">
        <v>519</v>
      </c>
      <c r="D242" s="490"/>
      <c r="E242" s="490"/>
      <c r="F242" s="490"/>
      <c r="G242" s="490"/>
      <c r="H242" s="490"/>
      <c r="I242" s="491"/>
    </row>
    <row r="243" spans="1:9" s="58" customFormat="1" ht="48" customHeight="1" x14ac:dyDescent="0.3">
      <c r="A243" s="75"/>
      <c r="C243" s="246" t="s">
        <v>1208</v>
      </c>
      <c r="D243" s="263"/>
      <c r="E243" s="264"/>
      <c r="F243" s="341" t="str">
        <f>_xlfn.CONCAT(_xlfn.XLOOKUP("[S08_ActivityReportRejectedDetail][1][NumberActivityReportRejected]",Submission!$O:$O,Submission!$H:$N,""))</f>
        <v/>
      </c>
      <c r="G243" s="356"/>
      <c r="H243" s="496"/>
      <c r="I243" s="497"/>
    </row>
    <row r="244" spans="1:9" s="58" customFormat="1" ht="48" customHeight="1" x14ac:dyDescent="0.3">
      <c r="A244" s="75"/>
      <c r="C244" s="246" t="s">
        <v>1209</v>
      </c>
      <c r="D244" s="263"/>
      <c r="E244" s="264"/>
      <c r="F244" s="341" t="str">
        <f>_xlfn.CONCAT(_xlfn.XLOOKUP("[S08_ActivityReportRejectedDetail][2][NumberActivityReportRejected]",Submission!$O:$O,Submission!$H:$N,""))</f>
        <v/>
      </c>
      <c r="G244" s="356"/>
      <c r="H244" s="341" t="str">
        <f>_xlfn.CONCAT(_xlfn.XLOOKUP("[S08_ActivityReportRejectedDetail][2][ReasonForRejection]",Submission!$O:$O,Submission!$H:$N,""))</f>
        <v/>
      </c>
      <c r="I244" s="356"/>
    </row>
    <row r="245" spans="1:9" s="58" customFormat="1" ht="48" customHeight="1" x14ac:dyDescent="0.3">
      <c r="A245" s="75"/>
      <c r="C245" s="246" t="s">
        <v>1210</v>
      </c>
      <c r="D245" s="263"/>
      <c r="E245" s="264"/>
      <c r="F245" s="284" t="str">
        <f>_xlfn.CONCAT(_xlfn.XLOOKUP("[S08_ActivityReportRejectedDetail][3][ActionsTaken]",Submission!$O:$O,Submission!$H:$N,""))</f>
        <v/>
      </c>
      <c r="G245" s="348"/>
      <c r="H245" s="348"/>
      <c r="I245" s="285"/>
    </row>
    <row r="246" spans="1:9" s="58" customFormat="1" ht="48" customHeight="1" x14ac:dyDescent="0.3">
      <c r="A246" s="75"/>
      <c r="C246" s="246" t="s">
        <v>1211</v>
      </c>
      <c r="D246" s="263"/>
      <c r="E246" s="264"/>
      <c r="F246" s="284" t="str">
        <f>_xlfn.CONCAT(_xlfn.XLOOKUP("[S08_ActivityReportRejectedDetail][4][ActionsTaken]",Submission!$O:$O,Submission!$H:$N,""))</f>
        <v/>
      </c>
      <c r="G246" s="348"/>
      <c r="H246" s="348"/>
      <c r="I246" s="285"/>
    </row>
    <row r="248" spans="1:9" ht="17.399999999999999" customHeight="1" x14ac:dyDescent="0.3">
      <c r="A248" s="12" t="s">
        <v>521</v>
      </c>
      <c r="B248" s="293" t="s">
        <v>1212</v>
      </c>
      <c r="C248" s="294"/>
      <c r="D248" s="294"/>
      <c r="E248" s="294"/>
      <c r="F248" s="294"/>
      <c r="G248" s="294"/>
      <c r="H248" s="295"/>
      <c r="I248" s="41" t="str">
        <f>_xlfn.CONCAT(_xlfn.XLOOKUP("[ActivityLevelVisitsWaived][0][ActivityLevelVisitsWaived]",Submission!$O:$O,Submission!$H:$N,""))</f>
        <v/>
      </c>
    </row>
    <row r="249" spans="1:9" ht="16.95" customHeight="1" x14ac:dyDescent="0.3">
      <c r="B249" s="465" t="s">
        <v>1213</v>
      </c>
      <c r="C249" s="465"/>
      <c r="D249" s="465"/>
      <c r="E249" s="465"/>
      <c r="F249" s="465"/>
      <c r="G249" s="465"/>
      <c r="H249" s="465"/>
      <c r="I249" s="465"/>
    </row>
    <row r="250" spans="1:9" x14ac:dyDescent="0.3">
      <c r="C250" s="444" t="s">
        <v>1214</v>
      </c>
      <c r="D250" s="445"/>
      <c r="E250" s="445"/>
      <c r="F250" s="446"/>
      <c r="G250" s="444" t="s">
        <v>1045</v>
      </c>
      <c r="H250" s="445"/>
      <c r="I250" s="446"/>
    </row>
    <row r="251" spans="1:9" s="58" customFormat="1" ht="20.399999999999999" customHeight="1" x14ac:dyDescent="0.3">
      <c r="A251" s="75"/>
      <c r="C251" s="461" t="s">
        <v>1744</v>
      </c>
      <c r="D251" s="462"/>
      <c r="E251" s="462"/>
      <c r="F251" s="463"/>
      <c r="G251" s="452" t="str">
        <f>_xlfn.CONCAT(_xlfn.XLOOKUP("[S08_ActivityLevelVisitsWaivedDetail][1][NumberOfInstallations]",Submission!$O:$O,Submission!$H:$N,""))</f>
        <v/>
      </c>
      <c r="H251" s="509"/>
      <c r="I251" s="453"/>
    </row>
    <row r="252" spans="1:9" s="58" customFormat="1" ht="20.399999999999999" customHeight="1" x14ac:dyDescent="0.3">
      <c r="A252" s="75"/>
      <c r="C252" s="461" t="s">
        <v>1745</v>
      </c>
      <c r="D252" s="462"/>
      <c r="E252" s="462"/>
      <c r="F252" s="463"/>
      <c r="G252" s="452" t="str">
        <f>_xlfn.CONCAT(_xlfn.XLOOKUP("[S08_ActivityLevelVisitsWaivedDetail][2][NumberOfInstallations]",Submission!$O:$O,Submission!$H:$N,""))</f>
        <v/>
      </c>
      <c r="H252" s="509"/>
      <c r="I252" s="453"/>
    </row>
    <row r="253" spans="1:9" s="58" customFormat="1" ht="20.399999999999999" customHeight="1" x14ac:dyDescent="0.3">
      <c r="A253" s="75"/>
      <c r="C253" s="461" t="s">
        <v>1746</v>
      </c>
      <c r="D253" s="462"/>
      <c r="E253" s="462"/>
      <c r="F253" s="463"/>
      <c r="G253" s="452" t="str">
        <f>_xlfn.CONCAT(_xlfn.XLOOKUP("[S08_ActivityLevelVisitsWaivedDetail][3][NumberOfInstallations]",Submission!$O:$O,Submission!$H:$N,""))</f>
        <v/>
      </c>
      <c r="H253" s="509"/>
      <c r="I253" s="453"/>
    </row>
    <row r="254" spans="1:9" s="58" customFormat="1" ht="20.399999999999999" customHeight="1" x14ac:dyDescent="0.3">
      <c r="A254" s="75"/>
      <c r="C254" s="461" t="s">
        <v>1747</v>
      </c>
      <c r="D254" s="462"/>
      <c r="E254" s="462"/>
      <c r="F254" s="463"/>
      <c r="G254" s="452" t="str">
        <f>_xlfn.CONCAT(_xlfn.XLOOKUP("[S08_ActivityLevelVisitsWaivedDetail][4][NumberOfInstallations]",Submission!$O:$O,Submission!$H:$N,""))</f>
        <v/>
      </c>
      <c r="H254" s="509"/>
      <c r="I254" s="453"/>
    </row>
    <row r="255" spans="1:9" s="58" customFormat="1" ht="20.399999999999999" customHeight="1" x14ac:dyDescent="0.3">
      <c r="A255" s="75"/>
      <c r="C255" s="461" t="s">
        <v>1748</v>
      </c>
      <c r="D255" s="462"/>
      <c r="E255" s="462"/>
      <c r="F255" s="463"/>
      <c r="G255" s="452" t="str">
        <f>_xlfn.CONCAT(_xlfn.XLOOKUP("[S08_ActivityLevelVisitsWaivedDetail][5][NumberOfInstallations]",Submission!$O:$O,Submission!$H:$N,""))</f>
        <v/>
      </c>
      <c r="H255" s="509"/>
      <c r="I255" s="453"/>
    </row>
    <row r="256" spans="1:9" x14ac:dyDescent="0.3">
      <c r="C256" s="464" t="s">
        <v>1215</v>
      </c>
      <c r="D256" s="464"/>
      <c r="E256" s="464"/>
      <c r="F256" s="464"/>
      <c r="G256" s="464"/>
      <c r="H256" s="464"/>
      <c r="I256" s="464"/>
    </row>
    <row r="258" spans="1:9" ht="31.2" customHeight="1" x14ac:dyDescent="0.3">
      <c r="A258" s="12" t="s">
        <v>528</v>
      </c>
      <c r="B258" s="293" t="s">
        <v>1216</v>
      </c>
      <c r="C258" s="294"/>
      <c r="D258" s="294"/>
      <c r="E258" s="294"/>
      <c r="F258" s="294"/>
      <c r="G258" s="294"/>
      <c r="H258" s="295"/>
      <c r="I258" s="41" t="str">
        <f>_xlfn.CONCAT(_xlfn.XLOOKUP("[VirtualVisitsActivityLevel][0][VirtualVisitsActivityLevel]",Submission!$O:$O,Submission!$H:$N,""))</f>
        <v/>
      </c>
    </row>
    <row r="259" spans="1:9" ht="15.9" customHeight="1" x14ac:dyDescent="0.3">
      <c r="B259" s="293" t="s">
        <v>1070</v>
      </c>
      <c r="C259" s="294"/>
      <c r="D259" s="294"/>
      <c r="E259" s="294"/>
      <c r="F259" s="294"/>
      <c r="G259" s="294"/>
      <c r="H259" s="294"/>
      <c r="I259" s="294"/>
    </row>
    <row r="260" spans="1:9" ht="15.9" customHeight="1" x14ac:dyDescent="0.3">
      <c r="B260" s="15" t="s">
        <v>8</v>
      </c>
      <c r="C260" s="310" t="s">
        <v>1217</v>
      </c>
      <c r="D260" s="310"/>
      <c r="E260" s="310"/>
      <c r="F260" s="310"/>
      <c r="G260" s="310"/>
      <c r="H260" s="310"/>
      <c r="I260" s="310"/>
    </row>
    <row r="261" spans="1:9" ht="15.9" customHeight="1" x14ac:dyDescent="0.3">
      <c r="B261" s="15" t="s">
        <v>8</v>
      </c>
      <c r="C261" s="310" t="s">
        <v>1218</v>
      </c>
      <c r="D261" s="310"/>
      <c r="E261" s="310"/>
      <c r="F261" s="310"/>
      <c r="G261" s="310"/>
      <c r="H261" s="310"/>
      <c r="I261" s="310"/>
    </row>
    <row r="262" spans="1:9" ht="15.9" customHeight="1" x14ac:dyDescent="0.3">
      <c r="B262" s="15" t="s">
        <v>8</v>
      </c>
      <c r="C262" s="314" t="s">
        <v>1073</v>
      </c>
      <c r="D262" s="314"/>
      <c r="E262" s="314"/>
      <c r="F262" s="314"/>
      <c r="G262" s="314"/>
      <c r="H262" s="314"/>
      <c r="I262" s="314"/>
    </row>
    <row r="263" spans="1:9" ht="28.95" customHeight="1" x14ac:dyDescent="0.3">
      <c r="B263" s="11"/>
      <c r="C263" s="42" t="s">
        <v>1074</v>
      </c>
      <c r="D263" s="303" t="s">
        <v>1075</v>
      </c>
      <c r="E263" s="305"/>
      <c r="F263" s="303" t="s">
        <v>1219</v>
      </c>
      <c r="G263" s="305"/>
      <c r="H263" s="303" t="s">
        <v>1220</v>
      </c>
      <c r="I263" s="305"/>
    </row>
    <row r="264" spans="1:9" ht="27.6" customHeight="1" x14ac:dyDescent="0.3">
      <c r="B264" s="11"/>
      <c r="C264" s="91" t="str">
        <f>_xlfn.CONCAT(_xlfn.XLOOKUP("[S08_VirtualVisitsActivityLevelDetail][1][TypeForceMajeur]",Submission!$O:$O,Submission!$H:$N,""))</f>
        <v/>
      </c>
      <c r="D264" s="322" t="str">
        <f>_xlfn.CONCAT(_xlfn.XLOOKUP("[S08_VirtualVisitsActivityLevelDetail][1][NumberOfInstallationsVV]",Submission!$O:$O,Submission!$H:$N,""))</f>
        <v/>
      </c>
      <c r="E264" s="324"/>
      <c r="F264" s="412" t="str">
        <f>_xlfn.CONCAT(_xlfn.XLOOKUP("[S08_VirtualVisitsActivityLevelDetail][1][AuthorityApproval]",Submission!$O:$O,Submission!$H:$N,""))</f>
        <v/>
      </c>
      <c r="G264" s="414"/>
      <c r="H264" s="412" t="str">
        <f>_xlfn.CONCAT(_xlfn.XLOOKUP("[S08_VirtualVisitsActivityLevelDetail][1][ConfirmationConditionsMet]",Submission!$O:$O,Submission!$H:$N,""))</f>
        <v/>
      </c>
      <c r="I264" s="414"/>
    </row>
    <row r="265" spans="1:9" ht="27.6" customHeight="1" x14ac:dyDescent="0.3">
      <c r="B265" s="11"/>
      <c r="C265" s="91" t="str">
        <f>_xlfn.CONCAT(_xlfn.XLOOKUP("[S08_VirtualVisitsActivityLevelDetail][2][TypeForceMajeur]",Submission!$O:$O,Submission!$H:$N,""))</f>
        <v/>
      </c>
      <c r="D265" s="322" t="str">
        <f>_xlfn.CONCAT(_xlfn.XLOOKUP("[S08_VirtualVisitsActivityLevelDetail][2][NumberOfInstallationsVV]",Submission!$O:$O,Submission!$H:$N,""))</f>
        <v/>
      </c>
      <c r="E265" s="324"/>
      <c r="F265" s="412" t="str">
        <f>_xlfn.CONCAT(_xlfn.XLOOKUP("[S08_VirtualVisitsActivityLevelDetail][2][AuthorityApproval]",Submission!$O:$O,Submission!$H:$N,""))</f>
        <v/>
      </c>
      <c r="G265" s="414"/>
      <c r="H265" s="412" t="str">
        <f>_xlfn.CONCAT(_xlfn.XLOOKUP("[S08_VirtualVisitsActivityLevelDetail][2][ConfirmationConditionsMet]",Submission!$O:$O,Submission!$H:$N,""))</f>
        <v/>
      </c>
      <c r="I265" s="414"/>
    </row>
    <row r="266" spans="1:9" ht="27.6" customHeight="1" x14ac:dyDescent="0.3">
      <c r="B266" s="11"/>
      <c r="C266" s="91" t="str">
        <f>_xlfn.CONCAT(_xlfn.XLOOKUP("[S08_VirtualVisitsActivityLevelDetail][3][TypeForceMajeur]",Submission!$O:$O,Submission!$H:$N,""))</f>
        <v/>
      </c>
      <c r="D266" s="322" t="str">
        <f>_xlfn.CONCAT(_xlfn.XLOOKUP("[S08_VirtualVisitsActivityLevelDetail][3][NumberOfInstallationsVV]",Submission!$O:$O,Submission!$H:$N,""))</f>
        <v/>
      </c>
      <c r="E266" s="324"/>
      <c r="F266" s="412" t="str">
        <f>_xlfn.CONCAT(_xlfn.XLOOKUP("[S08_VirtualVisitsActivityLevelDetail][3][AuthorityApproval]",Submission!$O:$O,Submission!$H:$N,""))</f>
        <v/>
      </c>
      <c r="G266" s="414"/>
      <c r="H266" s="412" t="str">
        <f>_xlfn.CONCAT(_xlfn.XLOOKUP("[S08_VirtualVisitsActivityLevelDetail][3][ConfirmationConditionsMet]",Submission!$O:$O,Submission!$H:$N,""))</f>
        <v/>
      </c>
      <c r="I266" s="414"/>
    </row>
    <row r="267" spans="1:9" ht="27.6" customHeight="1" x14ac:dyDescent="0.3">
      <c r="B267" s="11"/>
      <c r="C267" s="91" t="str">
        <f>_xlfn.CONCAT(_xlfn.XLOOKUP("[S08_VirtualVisitsActivityLevelDetail][4][TypeForceMajeur]",Submission!$O:$O,Submission!$H:$N,""))</f>
        <v/>
      </c>
      <c r="D267" s="322" t="str">
        <f>_xlfn.CONCAT(_xlfn.XLOOKUP("[S08_VirtualVisitsActivityLevelDetail][4][NumberOfInstallationsVV]",Submission!$O:$O,Submission!$H:$N,""))</f>
        <v/>
      </c>
      <c r="E267" s="324"/>
      <c r="F267" s="412" t="str">
        <f>_xlfn.CONCAT(_xlfn.XLOOKUP("[S08_VirtualVisitsActivityLevelDetail][4][AuthorityApproval]",Submission!$O:$O,Submission!$H:$N,""))</f>
        <v/>
      </c>
      <c r="G267" s="414"/>
      <c r="H267" s="412" t="str">
        <f>_xlfn.CONCAT(_xlfn.XLOOKUP("[S08_VirtualVisitsActivityLevelDetail][4][ConfirmationConditionsMet]",Submission!$O:$O,Submission!$H:$N,""))</f>
        <v/>
      </c>
      <c r="I267" s="414"/>
    </row>
    <row r="268" spans="1:9" ht="27.6" hidden="1" customHeight="1" outlineLevel="1" x14ac:dyDescent="0.3">
      <c r="B268" s="11"/>
      <c r="C268" s="91" t="str">
        <f>_xlfn.CONCAT(_xlfn.XLOOKUP("[S08_VirtualVisitsActivityLevelDetail][5][TypeForceMajeur]",Submission!$O:$O,Submission!$H:$N,""))</f>
        <v/>
      </c>
      <c r="D268" s="322" t="str">
        <f>_xlfn.CONCAT(_xlfn.XLOOKUP("[S08_VirtualVisitsActivityLevelDetail][5][NumberOfInstallationsVV]",Submission!$O:$O,Submission!$H:$N,""))</f>
        <v/>
      </c>
      <c r="E268" s="324"/>
      <c r="F268" s="412" t="str">
        <f>_xlfn.CONCAT(_xlfn.XLOOKUP("[S08_VirtualVisitsActivityLevelDetail][5][AuthorityApproval]",Submission!$O:$O,Submission!$H:$N,""))</f>
        <v/>
      </c>
      <c r="G268" s="414"/>
      <c r="H268" s="412" t="str">
        <f>_xlfn.CONCAT(_xlfn.XLOOKUP("[S08_VirtualVisitsActivityLevelDetail][5][ConfirmationConditionsMet]",Submission!$O:$O,Submission!$H:$N,""))</f>
        <v/>
      </c>
      <c r="I268" s="414"/>
    </row>
    <row r="269" spans="1:9" ht="27.6" hidden="1" customHeight="1" outlineLevel="1" x14ac:dyDescent="0.3">
      <c r="B269" s="11"/>
      <c r="C269" s="91" t="str">
        <f>_xlfn.CONCAT(_xlfn.XLOOKUP("[S08_VirtualVisitsActivityLevelDetail][6][TypeForceMajeur]",Submission!$O:$O,Submission!$H:$N,""))</f>
        <v/>
      </c>
      <c r="D269" s="322" t="str">
        <f>_xlfn.CONCAT(_xlfn.XLOOKUP("[S08_VirtualVisitsActivityLevelDetail][6][NumberOfInstallationsVV]",Submission!$O:$O,Submission!$H:$N,""))</f>
        <v/>
      </c>
      <c r="E269" s="324"/>
      <c r="F269" s="412" t="str">
        <f>_xlfn.CONCAT(_xlfn.XLOOKUP("[S08_VirtualVisitsActivityLevelDetail][6][AuthorityApproval]",Submission!$O:$O,Submission!$H:$N,""))</f>
        <v/>
      </c>
      <c r="G269" s="414"/>
      <c r="H269" s="412" t="str">
        <f>_xlfn.CONCAT(_xlfn.XLOOKUP("[S08_VirtualVisitsActivityLevelDetail][6][ConfirmationConditionsMet]",Submission!$O:$O,Submission!$H:$N,""))</f>
        <v/>
      </c>
      <c r="I269" s="414"/>
    </row>
    <row r="270" spans="1:9" ht="27.6" hidden="1" customHeight="1" outlineLevel="1" x14ac:dyDescent="0.3">
      <c r="B270" s="11"/>
      <c r="C270" s="91" t="str">
        <f>_xlfn.CONCAT(_xlfn.XLOOKUP("[S08_VirtualVisitsActivityLevelDetail][7][TypeForceMajeur]",Submission!$O:$O,Submission!$H:$N,""))</f>
        <v/>
      </c>
      <c r="D270" s="322" t="str">
        <f>_xlfn.CONCAT(_xlfn.XLOOKUP("[S08_VirtualVisitsActivityLevelDetail][7][NumberOfInstallationsVV]",Submission!$O:$O,Submission!$H:$N,""))</f>
        <v/>
      </c>
      <c r="E270" s="324"/>
      <c r="F270" s="412" t="str">
        <f>_xlfn.CONCAT(_xlfn.XLOOKUP("[S08_VirtualVisitsActivityLevelDetail][7][AuthorityApproval]",Submission!$O:$O,Submission!$H:$N,""))</f>
        <v/>
      </c>
      <c r="G270" s="414"/>
      <c r="H270" s="412" t="str">
        <f>_xlfn.CONCAT(_xlfn.XLOOKUP("[S08_VirtualVisitsActivityLevelDetail][7][ConfirmationConditionsMet]",Submission!$O:$O,Submission!$H:$N,""))</f>
        <v/>
      </c>
      <c r="I270" s="414"/>
    </row>
    <row r="271" spans="1:9" ht="27.6" hidden="1" customHeight="1" outlineLevel="1" x14ac:dyDescent="0.3">
      <c r="B271" s="11"/>
      <c r="C271" s="91" t="str">
        <f>_xlfn.CONCAT(_xlfn.XLOOKUP("[S08_VirtualVisitsActivityLevelDetail][8][TypeForceMajeur]",Submission!$O:$O,Submission!$H:$N,""))</f>
        <v/>
      </c>
      <c r="D271" s="322" t="str">
        <f>_xlfn.CONCAT(_xlfn.XLOOKUP("[S08_VirtualVisitsActivityLevelDetail][8][NumberOfInstallationsVV]",Submission!$O:$O,Submission!$H:$N,""))</f>
        <v/>
      </c>
      <c r="E271" s="324"/>
      <c r="F271" s="412" t="str">
        <f>_xlfn.CONCAT(_xlfn.XLOOKUP("[S08_VirtualVisitsActivityLevelDetail][8][AuthorityApproval]",Submission!$O:$O,Submission!$H:$N,""))</f>
        <v/>
      </c>
      <c r="G271" s="414"/>
      <c r="H271" s="412" t="str">
        <f>_xlfn.CONCAT(_xlfn.XLOOKUP("[S08_VirtualVisitsActivityLevelDetail][8][ConfirmationConditionsMet]",Submission!$O:$O,Submission!$H:$N,""))</f>
        <v/>
      </c>
      <c r="I271" s="414"/>
    </row>
    <row r="272" spans="1:9" ht="27.6" hidden="1" customHeight="1" outlineLevel="1" x14ac:dyDescent="0.3">
      <c r="B272" s="11"/>
      <c r="C272" s="91" t="str">
        <f>_xlfn.CONCAT(_xlfn.XLOOKUP("[S08_VirtualVisitsActivityLevelDetail][9][TypeForceMajeur]",Submission!$O:$O,Submission!$H:$N,""))</f>
        <v/>
      </c>
      <c r="D272" s="322" t="str">
        <f>_xlfn.CONCAT(_xlfn.XLOOKUP("[S08_VirtualVisitsActivityLevelDetail][9][NumberOfInstallationsVV]",Submission!$O:$O,Submission!$H:$N,""))</f>
        <v/>
      </c>
      <c r="E272" s="324"/>
      <c r="F272" s="412" t="str">
        <f>_xlfn.CONCAT(_xlfn.XLOOKUP("[S08_VirtualVisitsActivityLevelDetail][9][AuthorityApproval]",Submission!$O:$O,Submission!$H:$N,""))</f>
        <v/>
      </c>
      <c r="G272" s="414"/>
      <c r="H272" s="412" t="str">
        <f>_xlfn.CONCAT(_xlfn.XLOOKUP("[S08_VirtualVisitsActivityLevelDetail][9][ConfirmationConditionsMet]",Submission!$O:$O,Submission!$H:$N,""))</f>
        <v/>
      </c>
      <c r="I272" s="414"/>
    </row>
    <row r="273" spans="1:10" ht="27.6" hidden="1" customHeight="1" outlineLevel="1" x14ac:dyDescent="0.3">
      <c r="B273" s="11"/>
      <c r="C273" s="91" t="str">
        <f>_xlfn.CONCAT(_xlfn.XLOOKUP("[S08_VirtualVisitsActivityLevelDetail][10][TypeForceMajeur]",Submission!$O:$O,Submission!$H:$N,""))</f>
        <v/>
      </c>
      <c r="D273" s="322" t="str">
        <f>_xlfn.CONCAT(_xlfn.XLOOKUP("[S08_VirtualVisitsActivityLevelDetail][10][NumberOfInstallationsVV]",Submission!$O:$O,Submission!$H:$N,""))</f>
        <v/>
      </c>
      <c r="E273" s="324"/>
      <c r="F273" s="412" t="str">
        <f>_xlfn.CONCAT(_xlfn.XLOOKUP("[S08_VirtualVisitsActivityLevelDetail][10][AuthorityApproval]",Submission!$O:$O,Submission!$H:$N,""))</f>
        <v/>
      </c>
      <c r="G273" s="414"/>
      <c r="H273" s="412" t="str">
        <f>_xlfn.CONCAT(_xlfn.XLOOKUP("[S08_VirtualVisitsActivityLevelDetail][10][ConfirmationConditionsMet]",Submission!$O:$O,Submission!$H:$N,""))</f>
        <v/>
      </c>
      <c r="I273" s="414"/>
    </row>
    <row r="274" spans="1:10" ht="27.6" hidden="1" customHeight="1" outlineLevel="1" x14ac:dyDescent="0.3">
      <c r="B274" s="11"/>
      <c r="C274" s="91" t="str">
        <f>_xlfn.CONCAT(_xlfn.XLOOKUP("[S08_VirtualVisitsActivityLevelDetail][11][TypeForceMajeur]",Submission!$O:$O,Submission!$H:$N,""))</f>
        <v/>
      </c>
      <c r="D274" s="322" t="str">
        <f>_xlfn.CONCAT(_xlfn.XLOOKUP("[S08_VirtualVisitsActivityLevelDetail][11][NumberOfInstallationsVV]",Submission!$O:$O,Submission!$H:$N,""))</f>
        <v/>
      </c>
      <c r="E274" s="324"/>
      <c r="F274" s="412" t="str">
        <f>_xlfn.CONCAT(_xlfn.XLOOKUP("[S08_VirtualVisitsActivityLevelDetail][11][AuthorityApproval]",Submission!$O:$O,Submission!$H:$N,""))</f>
        <v/>
      </c>
      <c r="G274" s="414"/>
      <c r="H274" s="412" t="str">
        <f>_xlfn.CONCAT(_xlfn.XLOOKUP("[S08_VirtualVisitsActivityLevelDetail][11][ConfirmationConditionsMet]",Submission!$O:$O,Submission!$H:$N,""))</f>
        <v/>
      </c>
      <c r="I274" s="414"/>
    </row>
    <row r="275" spans="1:10" ht="27.6" hidden="1" customHeight="1" outlineLevel="1" x14ac:dyDescent="0.3">
      <c r="B275" s="11"/>
      <c r="C275" s="91" t="str">
        <f>_xlfn.CONCAT(_xlfn.XLOOKUP("[S08_VirtualVisitsActivityLevelDetail][12][TypeForceMajeur]",Submission!$O:$O,Submission!$H:$N,""))</f>
        <v/>
      </c>
      <c r="D275" s="322" t="str">
        <f>_xlfn.CONCAT(_xlfn.XLOOKUP("[S08_VirtualVisitsActivityLevelDetail][12][NumberOfInstallationsVV]",Submission!$O:$O,Submission!$H:$N,""))</f>
        <v/>
      </c>
      <c r="E275" s="324"/>
      <c r="F275" s="412" t="str">
        <f>_xlfn.CONCAT(_xlfn.XLOOKUP("[S08_VirtualVisitsActivityLevelDetail][12][AuthorityApproval]",Submission!$O:$O,Submission!$H:$N,""))</f>
        <v/>
      </c>
      <c r="G275" s="414"/>
      <c r="H275" s="412" t="str">
        <f>_xlfn.CONCAT(_xlfn.XLOOKUP("[S08_VirtualVisitsActivityLevelDetail][12][ConfirmationConditionsMet]",Submission!$O:$O,Submission!$H:$N,""))</f>
        <v/>
      </c>
      <c r="I275" s="414"/>
    </row>
    <row r="276" spans="1:10" collapsed="1" x14ac:dyDescent="0.3">
      <c r="B276" s="26" t="s">
        <v>1000</v>
      </c>
      <c r="C276" s="16"/>
      <c r="D276" s="19"/>
      <c r="E276" s="11"/>
      <c r="F276" s="11"/>
      <c r="G276" s="11"/>
      <c r="H276" s="11"/>
      <c r="I276" s="11"/>
    </row>
    <row r="277" spans="1:10" x14ac:dyDescent="0.3">
      <c r="C277" s="449" t="s">
        <v>1221</v>
      </c>
      <c r="D277" s="498"/>
      <c r="E277" s="498"/>
      <c r="F277" s="498"/>
      <c r="G277" s="498"/>
      <c r="H277" s="498"/>
      <c r="I277" s="498"/>
      <c r="J277" s="498"/>
    </row>
    <row r="278" spans="1:10" x14ac:dyDescent="0.3">
      <c r="C278" s="26"/>
      <c r="D278" s="16"/>
      <c r="E278" s="16"/>
      <c r="F278" s="16"/>
      <c r="G278" s="16"/>
      <c r="H278" s="16"/>
      <c r="I278" s="16"/>
      <c r="J278" s="16"/>
    </row>
    <row r="279" spans="1:10" x14ac:dyDescent="0.3">
      <c r="A279" s="12" t="s">
        <v>533</v>
      </c>
      <c r="B279" s="454" t="s">
        <v>1222</v>
      </c>
      <c r="C279" s="454"/>
      <c r="D279" s="454"/>
      <c r="E279" s="454"/>
      <c r="F279" s="454"/>
      <c r="G279" s="454"/>
      <c r="H279" s="454"/>
      <c r="I279" s="454"/>
    </row>
    <row r="280" spans="1:10" ht="31.2" customHeight="1" x14ac:dyDescent="0.3">
      <c r="A280" s="12"/>
      <c r="B280" s="293" t="s">
        <v>1223</v>
      </c>
      <c r="C280" s="294"/>
      <c r="D280" s="294"/>
      <c r="E280" s="294"/>
      <c r="F280" s="294"/>
      <c r="G280" s="294"/>
      <c r="H280" s="294"/>
      <c r="I280" s="294"/>
    </row>
    <row r="281" spans="1:10" x14ac:dyDescent="0.3">
      <c r="C281" s="501" t="s">
        <v>1224</v>
      </c>
      <c r="D281" s="502"/>
      <c r="E281" s="505" t="s">
        <v>1225</v>
      </c>
      <c r="F281" s="506"/>
      <c r="G281" s="505" t="s">
        <v>1226</v>
      </c>
      <c r="H281" s="506"/>
      <c r="I281" s="510" t="s">
        <v>1227</v>
      </c>
    </row>
    <row r="282" spans="1:10" x14ac:dyDescent="0.3">
      <c r="C282" s="351"/>
      <c r="D282" s="353"/>
      <c r="E282" s="52" t="s">
        <v>1228</v>
      </c>
      <c r="F282" s="52" t="s">
        <v>1229</v>
      </c>
      <c r="G282" s="52" t="s">
        <v>1228</v>
      </c>
      <c r="H282" s="52" t="s">
        <v>1229</v>
      </c>
      <c r="I282" s="511"/>
    </row>
    <row r="283" spans="1:10" ht="37.950000000000003" customHeight="1" x14ac:dyDescent="0.3">
      <c r="C283" s="246" t="s">
        <v>1230</v>
      </c>
      <c r="D283" s="264"/>
      <c r="E283" s="105" t="str">
        <f>_xlfn.CONCAT(_xlfn.XLOOKUP("[S08_PenaltiesAllocation][1][MinFine]",Submission!$O:$O,Submission!$H:$N,""))</f>
        <v/>
      </c>
      <c r="F283" s="105" t="str">
        <f>_xlfn.CONCAT(_xlfn.XLOOKUP("[S08_PenaltiesAllocation][1][MaxFine]",Submission!$O:$O,Submission!$H:$N,""))</f>
        <v/>
      </c>
      <c r="G283" s="105" t="str">
        <f>_xlfn.CONCAT(_xlfn.XLOOKUP("[S08_PenaltiesAllocation][1][PrisonMin]",Submission!$O:$O,Submission!$H:$N,""))</f>
        <v/>
      </c>
      <c r="H283" s="105" t="str">
        <f>_xlfn.CONCAT(_xlfn.XLOOKUP("[S08_PenaltiesAllocation][1][PrisonMax]",Submission!$O:$O,Submission!$H:$N,""))</f>
        <v/>
      </c>
      <c r="I283" s="72" t="str">
        <f>_xlfn.CONCAT(_xlfn.XLOOKUP("[S08_PenaltiesAllocation][1][OtherPenalty]",Submission!$O:$O,Submission!$H:$N,""))</f>
        <v/>
      </c>
    </row>
    <row r="284" spans="1:10" ht="58.2" customHeight="1" x14ac:dyDescent="0.3">
      <c r="C284" s="246" t="s">
        <v>1231</v>
      </c>
      <c r="D284" s="264"/>
      <c r="E284" s="105" t="str">
        <f>_xlfn.CONCAT(_xlfn.XLOOKUP("[S08_PenaltiesAllocation][2][MinFine]",Submission!$O:$O,Submission!$H:$N,""))</f>
        <v/>
      </c>
      <c r="F284" s="105" t="str">
        <f>_xlfn.CONCAT(_xlfn.XLOOKUP("[S08_PenaltiesAllocation][2][MaxFine]",Submission!$O:$O,Submission!$H:$N,""))</f>
        <v/>
      </c>
      <c r="G284" s="105" t="str">
        <f>_xlfn.CONCAT(_xlfn.XLOOKUP("[S08_PenaltiesAllocation][2][PrisonMin]",Submission!$O:$O,Submission!$H:$N,""))</f>
        <v/>
      </c>
      <c r="H284" s="105" t="str">
        <f>_xlfn.CONCAT(_xlfn.XLOOKUP("[S08_PenaltiesAllocation][2][PrisonMax]",Submission!$O:$O,Submission!$H:$N,""))</f>
        <v/>
      </c>
      <c r="I284" s="72" t="str">
        <f>_xlfn.CONCAT(_xlfn.XLOOKUP("[S08_PenaltiesAllocation][2][OtherPenalty]",Submission!$O:$O,Submission!$H:$N,""))</f>
        <v/>
      </c>
    </row>
    <row r="285" spans="1:10" ht="58.2" customHeight="1" x14ac:dyDescent="0.3">
      <c r="C285" s="246" t="s">
        <v>1232</v>
      </c>
      <c r="D285" s="264"/>
      <c r="E285" s="105" t="str">
        <f>_xlfn.CONCAT(_xlfn.XLOOKUP("[S08_PenaltiesAllocation][3][MinFine]",Submission!$O:$O,Submission!$H:$N,""))</f>
        <v/>
      </c>
      <c r="F285" s="105" t="str">
        <f>_xlfn.CONCAT(_xlfn.XLOOKUP("[S08_PenaltiesAllocation][3][MaxFine]",Submission!$O:$O,Submission!$H:$N,""))</f>
        <v/>
      </c>
      <c r="G285" s="105" t="str">
        <f>_xlfn.CONCAT(_xlfn.XLOOKUP("[S08_PenaltiesAllocation][3][PrisonMin]",Submission!$O:$O,Submission!$H:$N,""))</f>
        <v/>
      </c>
      <c r="H285" s="105" t="str">
        <f>_xlfn.CONCAT(_xlfn.XLOOKUP("[S08_PenaltiesAllocation][3][PrisonMax]",Submission!$O:$O,Submission!$H:$N,""))</f>
        <v/>
      </c>
      <c r="I285" s="72" t="str">
        <f>_xlfn.CONCAT(_xlfn.XLOOKUP("[S08_PenaltiesAllocation][3][OtherPenalty]",Submission!$O:$O,Submission!$H:$N,""))</f>
        <v/>
      </c>
    </row>
    <row r="286" spans="1:10" ht="36" customHeight="1" x14ac:dyDescent="0.3">
      <c r="C286" s="503" t="s">
        <v>1233</v>
      </c>
      <c r="D286" s="504"/>
      <c r="E286" s="105" t="str">
        <f>_xlfn.CONCAT(_xlfn.XLOOKUP("[S08_PenaltiesAllocation][4][MinFine]",Submission!$O:$O,Submission!$H:$N,""))</f>
        <v/>
      </c>
      <c r="F286" s="105" t="str">
        <f>_xlfn.CONCAT(_xlfn.XLOOKUP("[S08_PenaltiesAllocation][4][MaxFine]",Submission!$O:$O,Submission!$H:$N,""))</f>
        <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293" t="s">
        <v>1238</v>
      </c>
      <c r="C293" s="294"/>
      <c r="D293" s="294"/>
      <c r="E293" s="294"/>
      <c r="F293" s="294"/>
      <c r="G293" s="294"/>
      <c r="H293" s="294"/>
      <c r="I293" s="294"/>
    </row>
    <row r="294" spans="1:9" x14ac:dyDescent="0.3">
      <c r="C294" s="501" t="s">
        <v>1239</v>
      </c>
      <c r="D294" s="502"/>
      <c r="E294" s="303" t="s">
        <v>1240</v>
      </c>
      <c r="F294" s="304"/>
      <c r="G294" s="305"/>
      <c r="H294" s="499" t="s">
        <v>1241</v>
      </c>
      <c r="I294" s="499" t="s">
        <v>1242</v>
      </c>
    </row>
    <row r="295" spans="1:9" ht="41.4" customHeight="1" x14ac:dyDescent="0.3">
      <c r="C295" s="351"/>
      <c r="D295" s="353"/>
      <c r="E295" s="53" t="s">
        <v>1225</v>
      </c>
      <c r="F295" s="53" t="s">
        <v>1226</v>
      </c>
      <c r="G295" s="53" t="s">
        <v>1227</v>
      </c>
      <c r="H295" s="500"/>
      <c r="I295" s="500"/>
    </row>
    <row r="296" spans="1:9" ht="39.6" customHeight="1" x14ac:dyDescent="0.3">
      <c r="C296" s="284" t="str">
        <f>_xlfn.CONCAT(_xlfn.XLOOKUP("[S08_InfringementsIncurredAllocation][1][InfringementType]",Submission!$O:$O,Submission!$H:$N,""))</f>
        <v/>
      </c>
      <c r="D296" s="285"/>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84" t="str">
        <f>_xlfn.CONCAT(_xlfn.XLOOKUP("[S08_InfringementsIncurredAllocation][2][InfringementType]",Submission!$O:$O,Submission!$H:$N,""))</f>
        <v/>
      </c>
      <c r="D297" s="285"/>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84" t="str">
        <f>_xlfn.CONCAT(_xlfn.XLOOKUP("[S08_InfringementsIncurredAllocation][3][InfringementType]",Submission!$O:$O,Submission!$H:$N,""))</f>
        <v/>
      </c>
      <c r="D298" s="285"/>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84" t="str">
        <f>_xlfn.CONCAT(_xlfn.XLOOKUP("[S08_InfringementsIncurredAllocation][4][InfringementType]",Submission!$O:$O,Submission!$H:$N,""))</f>
        <v/>
      </c>
      <c r="D299" s="285"/>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84" t="str">
        <f>_xlfn.CONCAT(_xlfn.XLOOKUP("[S08_InfringementsIncurredAllocation][5][InfringementType]",Submission!$O:$O,Submission!$H:$N,""))</f>
        <v/>
      </c>
      <c r="D300" s="285"/>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84" t="str">
        <f>_xlfn.CONCAT(_xlfn.XLOOKUP("[S08_InfringementsIncurredAllocation][6][InfringementType]",Submission!$O:$O,Submission!$H:$N,""))</f>
        <v/>
      </c>
      <c r="D301" s="285"/>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84" t="str">
        <f>_xlfn.CONCAT(_xlfn.XLOOKUP("[S08_InfringementsIncurredAllocation][7][InfringementType]",Submission!$O:$O,Submission!$H:$N,""))</f>
        <v/>
      </c>
      <c r="D302" s="285"/>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84" t="str">
        <f>_xlfn.CONCAT(_xlfn.XLOOKUP("[S08_InfringementsIncurredAllocation][8][InfringementType]",Submission!$O:$O,Submission!$H:$N,""))</f>
        <v/>
      </c>
      <c r="D303" s="285"/>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84" t="str">
        <f>_xlfn.CONCAT(_xlfn.XLOOKUP("[S08_InfringementsIncurredAllocation][9][InfringementType]",Submission!$O:$O,Submission!$H:$N,""))</f>
        <v/>
      </c>
      <c r="D304" s="285"/>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84" t="str">
        <f>_xlfn.CONCAT(_xlfn.XLOOKUP("[S08_InfringementsIncurredAllocation][10][InfringementType]",Submission!$O:$O,Submission!$H:$N,""))</f>
        <v/>
      </c>
      <c r="D305" s="285"/>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84" t="str">
        <f>_xlfn.CONCAT(_xlfn.XLOOKUP("[S08_InfringementsIncurredAllocation][11][InfringementType]",Submission!$O:$O,Submission!$H:$N,""))</f>
        <v/>
      </c>
      <c r="D306" s="285"/>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84" t="str">
        <f>_xlfn.CONCAT(_xlfn.XLOOKUP("[S08_InfringementsIncurredAllocation][12][InfringementType]",Submission!$O:$O,Submission!$H:$N,""))</f>
        <v/>
      </c>
      <c r="D307" s="285"/>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84" t="str">
        <f>_xlfn.CONCAT(_xlfn.XLOOKUP("[S08_InfringementsIncurredAllocation][13][InfringementType]",Submission!$O:$O,Submission!$H:$N,""))</f>
        <v/>
      </c>
      <c r="D308" s="285"/>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84" t="str">
        <f>_xlfn.CONCAT(_xlfn.XLOOKUP("[S08_InfringementsIncurredAllocation][14][InfringementType]",Submission!$O:$O,Submission!$H:$N,""))</f>
        <v/>
      </c>
      <c r="D309" s="285"/>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84" t="str">
        <f>_xlfn.CONCAT(_xlfn.XLOOKUP("[S08_InfringementsIncurredAllocation][15][InfringementType]",Submission!$O:$O,Submission!$H:$N,""))</f>
        <v/>
      </c>
      <c r="D310" s="285"/>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84" t="str">
        <f>_xlfn.CONCAT(_xlfn.XLOOKUP("[S08_InfringementsIncurredAllocation][16][InfringementType]",Submission!$O:$O,Submission!$H:$N,""))</f>
        <v/>
      </c>
      <c r="D311" s="285"/>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84" t="str">
        <f>_xlfn.CONCAT(_xlfn.XLOOKUP("[S08_InfringementsIncurredAllocation][17][InfringementType]",Submission!$O:$O,Submission!$H:$N,""))</f>
        <v/>
      </c>
      <c r="D312" s="285"/>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84" t="str">
        <f>_xlfn.CONCAT(_xlfn.XLOOKUP("[S08_InfringementsIncurredAllocation][18][InfringementType]",Submission!$O:$O,Submission!$H:$N,""))</f>
        <v/>
      </c>
      <c r="D313" s="285"/>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84" t="str">
        <f>_xlfn.CONCAT(_xlfn.XLOOKUP("[S08_InfringementsIncurredAllocation][19][InfringementType]",Submission!$O:$O,Submission!$H:$N,""))</f>
        <v/>
      </c>
      <c r="D314" s="285"/>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84" t="str">
        <f>_xlfn.CONCAT(_xlfn.XLOOKUP("[S08_InfringementsIncurredAllocation][20][InfringementType]",Submission!$O:$O,Submission!$H:$N,""))</f>
        <v/>
      </c>
      <c r="D315" s="285"/>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84" t="str">
        <f>_xlfn.CONCAT(_xlfn.XLOOKUP("[S08_InfringementsIncurredAllocation][21][InfringementType]",Submission!$O:$O,Submission!$H:$N,""))</f>
        <v/>
      </c>
      <c r="D316" s="285"/>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84" t="str">
        <f>_xlfn.CONCAT(_xlfn.XLOOKUP("[S08_InfringementsIncurredAllocation][22][InfringementType]",Submission!$O:$O,Submission!$H:$N,""))</f>
        <v/>
      </c>
      <c r="D317" s="285"/>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49" t="s">
        <v>1243</v>
      </c>
      <c r="D319" s="498"/>
      <c r="E319" s="498"/>
      <c r="F319" s="498"/>
      <c r="G319" s="498"/>
      <c r="H319" s="498"/>
      <c r="I319" s="498"/>
      <c r="J319" s="498"/>
    </row>
    <row r="321" spans="2:9" ht="15.6" customHeight="1" x14ac:dyDescent="0.3">
      <c r="B321" s="507" t="s">
        <v>1244</v>
      </c>
      <c r="C321" s="507"/>
      <c r="D321" s="507"/>
      <c r="E321" s="507"/>
      <c r="F321" s="507"/>
      <c r="G321" s="507"/>
      <c r="H321" s="508"/>
      <c r="I321" s="41" t="str">
        <f>_xlfn.CONCAT(_xlfn.XLOOKUP("[PriorPenaltiesEnforced][0][PriorPenaltiesEnforced]",Submission!$O:$O,Submission!$H:$N,""))</f>
        <v/>
      </c>
    </row>
    <row r="322" spans="2:9" ht="16.2" customHeight="1" x14ac:dyDescent="0.3">
      <c r="B322" s="293" t="s">
        <v>1245</v>
      </c>
      <c r="C322" s="294"/>
      <c r="D322" s="294"/>
      <c r="E322" s="294"/>
      <c r="F322" s="294"/>
      <c r="G322" s="294"/>
      <c r="H322" s="294"/>
      <c r="I322" s="294"/>
    </row>
    <row r="323" spans="2:9" x14ac:dyDescent="0.3">
      <c r="C323" s="444" t="s">
        <v>1224</v>
      </c>
      <c r="D323" s="445"/>
      <c r="E323" s="446"/>
      <c r="F323" s="444" t="s">
        <v>1246</v>
      </c>
      <c r="G323" s="446"/>
      <c r="H323" s="444" t="s">
        <v>1247</v>
      </c>
      <c r="I323" s="446"/>
    </row>
    <row r="324" spans="2:9" x14ac:dyDescent="0.3">
      <c r="C324" s="251" t="str">
        <f>_xlfn.CONCAT(_xlfn.XLOOKUP("[S08_PriorPenaltiesEnforcedDetail][1][TypeInfringement]",Submission!$O:$O,Submission!$H:$N,""))</f>
        <v/>
      </c>
      <c r="D324" s="468"/>
      <c r="E324" s="252"/>
      <c r="F324" s="251" t="str">
        <f>_xlfn.CONCAT(_xlfn.XLOOKUP("[S08_PriorPenaltiesEnforcedDetail][1][TypePenalty]",Submission!$O:$O,Submission!$H:$N,""))</f>
        <v/>
      </c>
      <c r="G324" s="252"/>
      <c r="H324" s="466" t="str">
        <f>_xlfn.CONCAT(_xlfn.XLOOKUP("[S08_PriorPenaltiesEnforcedDetail][1][ReportinYear]",Submission!$O:$O,Submission!$H:$N,""))</f>
        <v/>
      </c>
      <c r="I324" s="467"/>
    </row>
    <row r="325" spans="2:9" x14ac:dyDescent="0.3">
      <c r="C325" s="251" t="str">
        <f>_xlfn.CONCAT(_xlfn.XLOOKUP("[S08_PriorPenaltiesEnforcedDetail][2][TypeInfringement]",Submission!$O:$O,Submission!$H:$N,""))</f>
        <v/>
      </c>
      <c r="D325" s="468"/>
      <c r="E325" s="252"/>
      <c r="F325" s="251" t="str">
        <f>_xlfn.CONCAT(_xlfn.XLOOKUP("[S08_PriorPenaltiesEnforcedDetail][2][TypePenalty]",Submission!$O:$O,Submission!$H:$N,""))</f>
        <v/>
      </c>
      <c r="G325" s="252"/>
      <c r="H325" s="466" t="str">
        <f>_xlfn.CONCAT(_xlfn.XLOOKUP("[S08_PriorPenaltiesEnforcedDetail][2][ReportinYear]",Submission!$O:$O,Submission!$H:$N,""))</f>
        <v/>
      </c>
      <c r="I325" s="467"/>
    </row>
    <row r="326" spans="2:9" x14ac:dyDescent="0.3">
      <c r="C326" s="251" t="str">
        <f>_xlfn.CONCAT(_xlfn.XLOOKUP("[S08_PriorPenaltiesEnforcedDetail][3][TypeInfringement]",Submission!$O:$O,Submission!$H:$N,""))</f>
        <v/>
      </c>
      <c r="D326" s="468"/>
      <c r="E326" s="252"/>
      <c r="F326" s="251" t="str">
        <f>_xlfn.CONCAT(_xlfn.XLOOKUP("[S08_PriorPenaltiesEnforcedDetail][3][TypePenalty]",Submission!$O:$O,Submission!$H:$N,""))</f>
        <v/>
      </c>
      <c r="G326" s="252"/>
      <c r="H326" s="466" t="str">
        <f>_xlfn.CONCAT(_xlfn.XLOOKUP("[S08_PriorPenaltiesEnforcedDetail][3][ReportinYear]",Submission!$O:$O,Submission!$H:$N,""))</f>
        <v/>
      </c>
      <c r="I326" s="467"/>
    </row>
    <row r="327" spans="2:9" x14ac:dyDescent="0.3">
      <c r="C327" s="251" t="str">
        <f>_xlfn.CONCAT(_xlfn.XLOOKUP("[S08_PriorPenaltiesEnforcedDetail][4][TypeInfringement]",Submission!$O:$O,Submission!$H:$N,""))</f>
        <v/>
      </c>
      <c r="D327" s="468"/>
      <c r="E327" s="252"/>
      <c r="F327" s="251" t="str">
        <f>_xlfn.CONCAT(_xlfn.XLOOKUP("[S08_PriorPenaltiesEnforcedDetail][4][TypePenalty]",Submission!$O:$O,Submission!$H:$N,""))</f>
        <v/>
      </c>
      <c r="G327" s="252"/>
      <c r="H327" s="466" t="str">
        <f>_xlfn.CONCAT(_xlfn.XLOOKUP("[S08_PriorPenaltiesEnforcedDetail][4][ReportinYear]",Submission!$O:$O,Submission!$H:$N,""))</f>
        <v/>
      </c>
      <c r="I327" s="467"/>
    </row>
    <row r="328" spans="2:9" x14ac:dyDescent="0.3">
      <c r="C328" s="251" t="str">
        <f>_xlfn.CONCAT(_xlfn.XLOOKUP("[S08_PriorPenaltiesEnforcedDetail][5][TypeInfringement]",Submission!$O:$O,Submission!$H:$N,""))</f>
        <v/>
      </c>
      <c r="D328" s="468"/>
      <c r="E328" s="252"/>
      <c r="F328" s="251" t="str">
        <f>_xlfn.CONCAT(_xlfn.XLOOKUP("[S08_PriorPenaltiesEnforcedDetail][5][TypePenalty]",Submission!$O:$O,Submission!$H:$N,""))</f>
        <v/>
      </c>
      <c r="G328" s="252"/>
      <c r="H328" s="466" t="str">
        <f>_xlfn.CONCAT(_xlfn.XLOOKUP("[S08_PriorPenaltiesEnforcedDetail][5][ReportinYear]",Submission!$O:$O,Submission!$H:$N,""))</f>
        <v/>
      </c>
      <c r="I328" s="467"/>
    </row>
    <row r="329" spans="2:9" hidden="1" outlineLevel="1" x14ac:dyDescent="0.3">
      <c r="C329" s="251" t="str">
        <f>_xlfn.CONCAT(_xlfn.XLOOKUP("[S08_PriorPenaltiesEnforcedDetail][6][TypeInfringement]",Submission!$O:$O,Submission!$H:$N,""))</f>
        <v/>
      </c>
      <c r="D329" s="468"/>
      <c r="E329" s="252"/>
      <c r="F329" s="251" t="str">
        <f>_xlfn.CONCAT(_xlfn.XLOOKUP("[S08_PriorPenaltiesEnforcedDetail][6][TypePenalty]",Submission!$O:$O,Submission!$H:$N,""))</f>
        <v/>
      </c>
      <c r="G329" s="252"/>
      <c r="H329" s="466" t="str">
        <f>_xlfn.CONCAT(_xlfn.XLOOKUP("[S08_PriorPenaltiesEnforcedDetail][6][ReportinYear]",Submission!$O:$O,Submission!$H:$N,""))</f>
        <v/>
      </c>
      <c r="I329" s="467"/>
    </row>
    <row r="330" spans="2:9" hidden="1" outlineLevel="1" x14ac:dyDescent="0.3">
      <c r="C330" s="251" t="str">
        <f>_xlfn.CONCAT(_xlfn.XLOOKUP("[S08_PriorPenaltiesEnforcedDetail][7][TypeInfringement]",Submission!$O:$O,Submission!$H:$N,""))</f>
        <v/>
      </c>
      <c r="D330" s="468"/>
      <c r="E330" s="252"/>
      <c r="F330" s="251" t="str">
        <f>_xlfn.CONCAT(_xlfn.XLOOKUP("[S08_PriorPenaltiesEnforcedDetail][7][TypePenalty]",Submission!$O:$O,Submission!$H:$N,""))</f>
        <v/>
      </c>
      <c r="G330" s="252"/>
      <c r="H330" s="466" t="str">
        <f>_xlfn.CONCAT(_xlfn.XLOOKUP("[S08_PriorPenaltiesEnforcedDetail][7][ReportinYear]",Submission!$O:$O,Submission!$H:$N,""))</f>
        <v/>
      </c>
      <c r="I330" s="467"/>
    </row>
    <row r="331" spans="2:9" hidden="1" outlineLevel="1" x14ac:dyDescent="0.3">
      <c r="C331" s="251" t="str">
        <f>_xlfn.CONCAT(_xlfn.XLOOKUP("[S08_PriorPenaltiesEnforcedDetail][8][TypeInfringement]",Submission!$O:$O,Submission!$H:$N,""))</f>
        <v/>
      </c>
      <c r="D331" s="468"/>
      <c r="E331" s="252"/>
      <c r="F331" s="251" t="str">
        <f>_xlfn.CONCAT(_xlfn.XLOOKUP("[S08_PriorPenaltiesEnforcedDetail][8][TypePenalty]",Submission!$O:$O,Submission!$H:$N,""))</f>
        <v/>
      </c>
      <c r="G331" s="252"/>
      <c r="H331" s="466" t="str">
        <f>_xlfn.CONCAT(_xlfn.XLOOKUP("[S08_PriorPenaltiesEnforcedDetail][8][ReportinYear]",Submission!$O:$O,Submission!$H:$N,""))</f>
        <v/>
      </c>
      <c r="I331" s="467"/>
    </row>
    <row r="332" spans="2:9" hidden="1" outlineLevel="1" x14ac:dyDescent="0.3">
      <c r="C332" s="251" t="str">
        <f>_xlfn.CONCAT(_xlfn.XLOOKUP("[S08_PriorPenaltiesEnforcedDetail][9][TypeInfringement]",Submission!$O:$O,Submission!$H:$N,""))</f>
        <v/>
      </c>
      <c r="D332" s="468"/>
      <c r="E332" s="252"/>
      <c r="F332" s="251" t="str">
        <f>_xlfn.CONCAT(_xlfn.XLOOKUP("[S08_PriorPenaltiesEnforcedDetail][9][TypePenalty]",Submission!$O:$O,Submission!$H:$N,""))</f>
        <v/>
      </c>
      <c r="G332" s="252"/>
      <c r="H332" s="466" t="str">
        <f>_xlfn.CONCAT(_xlfn.XLOOKUP("[S08_PriorPenaltiesEnforcedDetail][9][ReportinYear]",Submission!$O:$O,Submission!$H:$N,""))</f>
        <v/>
      </c>
      <c r="I332" s="467"/>
    </row>
    <row r="333" spans="2:9" hidden="1" outlineLevel="1" x14ac:dyDescent="0.3">
      <c r="C333" s="251" t="str">
        <f>_xlfn.CONCAT(_xlfn.XLOOKUP("[S08_PriorPenaltiesEnforcedDetail][10][TypeInfringement]",Submission!$O:$O,Submission!$H:$N,""))</f>
        <v/>
      </c>
      <c r="D333" s="468"/>
      <c r="E333" s="252"/>
      <c r="F333" s="251" t="str">
        <f>_xlfn.CONCAT(_xlfn.XLOOKUP("[S08_PriorPenaltiesEnforcedDetail][10][TypePenalty]",Submission!$O:$O,Submission!$H:$N,""))</f>
        <v/>
      </c>
      <c r="G333" s="252"/>
      <c r="H333" s="466" t="str">
        <f>_xlfn.CONCAT(_xlfn.XLOOKUP("[S08_PriorPenaltiesEnforcedDetail][10][ReportinYear]",Submission!$O:$O,Submission!$H:$N,""))</f>
        <v/>
      </c>
      <c r="I333" s="467"/>
    </row>
    <row r="334" spans="2:9" hidden="1" outlineLevel="1" x14ac:dyDescent="0.3">
      <c r="C334" s="251" t="str">
        <f>_xlfn.CONCAT(_xlfn.XLOOKUP("[S08_PriorPenaltiesEnforcedDetail][11][TypeInfringement]",Submission!$O:$O,Submission!$H:$N,""))</f>
        <v/>
      </c>
      <c r="D334" s="468"/>
      <c r="E334" s="252"/>
      <c r="F334" s="251" t="str">
        <f>_xlfn.CONCAT(_xlfn.XLOOKUP("[S08_PriorPenaltiesEnforcedDetail][11][TypePenalty]",Submission!$O:$O,Submission!$H:$N,""))</f>
        <v/>
      </c>
      <c r="G334" s="252"/>
      <c r="H334" s="466" t="str">
        <f>_xlfn.CONCAT(_xlfn.XLOOKUP("[S08_PriorPenaltiesEnforcedDetail][11][ReportinYear]",Submission!$O:$O,Submission!$H:$N,""))</f>
        <v/>
      </c>
      <c r="I334" s="467"/>
    </row>
    <row r="335" spans="2:9" hidden="1" outlineLevel="1" x14ac:dyDescent="0.3">
      <c r="C335" s="251" t="str">
        <f>_xlfn.CONCAT(_xlfn.XLOOKUP("[S08_PriorPenaltiesEnforcedDetail][12][TypeInfringement]",Submission!$O:$O,Submission!$H:$N,""))</f>
        <v/>
      </c>
      <c r="D335" s="468"/>
      <c r="E335" s="252"/>
      <c r="F335" s="251" t="str">
        <f>_xlfn.CONCAT(_xlfn.XLOOKUP("[S08_PriorPenaltiesEnforcedDetail][12][TypePenalty]",Submission!$O:$O,Submission!$H:$N,""))</f>
        <v/>
      </c>
      <c r="G335" s="252"/>
      <c r="H335" s="466" t="str">
        <f>_xlfn.CONCAT(_xlfn.XLOOKUP("[S08_PriorPenaltiesEnforcedDetail][12][ReportinYear]",Submission!$O:$O,Submission!$H:$N,""))</f>
        <v/>
      </c>
      <c r="I335" s="467"/>
    </row>
    <row r="336" spans="2:9" hidden="1" outlineLevel="1" x14ac:dyDescent="0.3">
      <c r="C336" s="251" t="str">
        <f>_xlfn.CONCAT(_xlfn.XLOOKUP("[S08_PriorPenaltiesEnforcedDetail][13][TypeInfringement]",Submission!$O:$O,Submission!$H:$N,""))</f>
        <v/>
      </c>
      <c r="D336" s="468"/>
      <c r="E336" s="252"/>
      <c r="F336" s="251" t="str">
        <f>_xlfn.CONCAT(_xlfn.XLOOKUP("[S08_PriorPenaltiesEnforcedDetail][13][TypePenalty]",Submission!$O:$O,Submission!$H:$N,""))</f>
        <v/>
      </c>
      <c r="G336" s="252"/>
      <c r="H336" s="466" t="str">
        <f>_xlfn.CONCAT(_xlfn.XLOOKUP("[S08_PriorPenaltiesEnforcedDetail][13][ReportinYear]",Submission!$O:$O,Submission!$H:$N,""))</f>
        <v/>
      </c>
      <c r="I336" s="467"/>
    </row>
    <row r="337" spans="2:10" hidden="1" outlineLevel="1" x14ac:dyDescent="0.3">
      <c r="C337" s="251" t="str">
        <f>_xlfn.CONCAT(_xlfn.XLOOKUP("[S08_PriorPenaltiesEnforcedDetail][14][TypeInfringement]",Submission!$O:$O,Submission!$H:$N,""))</f>
        <v/>
      </c>
      <c r="D337" s="468"/>
      <c r="E337" s="252"/>
      <c r="F337" s="251" t="str">
        <f>_xlfn.CONCAT(_xlfn.XLOOKUP("[S08_PriorPenaltiesEnforcedDetail][14][TypePenalty]",Submission!$O:$O,Submission!$H:$N,""))</f>
        <v/>
      </c>
      <c r="G337" s="252"/>
      <c r="H337" s="466" t="str">
        <f>_xlfn.CONCAT(_xlfn.XLOOKUP("[S08_PriorPenaltiesEnforcedDetail][14][ReportinYear]",Submission!$O:$O,Submission!$H:$N,""))</f>
        <v/>
      </c>
      <c r="I337" s="467"/>
    </row>
    <row r="338" spans="2:10" hidden="1" outlineLevel="1" x14ac:dyDescent="0.3">
      <c r="C338" s="251" t="str">
        <f>_xlfn.CONCAT(_xlfn.XLOOKUP("[S08_PriorPenaltiesEnforcedDetail][15][TypeInfringement]",Submission!$O:$O,Submission!$H:$N,""))</f>
        <v/>
      </c>
      <c r="D338" s="468"/>
      <c r="E338" s="252"/>
      <c r="F338" s="251" t="str">
        <f>_xlfn.CONCAT(_xlfn.XLOOKUP("[S08_PriorPenaltiesEnforcedDetail][15][TypePenalty]",Submission!$O:$O,Submission!$H:$N,""))</f>
        <v/>
      </c>
      <c r="G338" s="252"/>
      <c r="H338" s="466" t="str">
        <f>_xlfn.CONCAT(_xlfn.XLOOKUP("[S08_PriorPenaltiesEnforcedDetail][15][ReportinYear]",Submission!$O:$O,Submission!$H:$N,""))</f>
        <v/>
      </c>
      <c r="I338" s="467"/>
    </row>
    <row r="339" spans="2:10" hidden="1" outlineLevel="1" x14ac:dyDescent="0.3">
      <c r="C339" s="251" t="str">
        <f>_xlfn.CONCAT(_xlfn.XLOOKUP("[S08_PriorPenaltiesEnforcedDetail][16][TypeInfringement]",Submission!$O:$O,Submission!$H:$N,""))</f>
        <v/>
      </c>
      <c r="D339" s="468"/>
      <c r="E339" s="252"/>
      <c r="F339" s="251" t="str">
        <f>_xlfn.CONCAT(_xlfn.XLOOKUP("[S08_PriorPenaltiesEnforcedDetail][16][TypePenalty]",Submission!$O:$O,Submission!$H:$N,""))</f>
        <v/>
      </c>
      <c r="G339" s="252"/>
      <c r="H339" s="466" t="str">
        <f>_xlfn.CONCAT(_xlfn.XLOOKUP("[S08_PriorPenaltiesEnforcedDetail][16][ReportinYear]",Submission!$O:$O,Submission!$H:$N,""))</f>
        <v/>
      </c>
      <c r="I339" s="467"/>
    </row>
    <row r="340" spans="2:10" hidden="1" outlineLevel="1" x14ac:dyDescent="0.3">
      <c r="C340" s="251" t="str">
        <f>_xlfn.CONCAT(_xlfn.XLOOKUP("[S08_PriorPenaltiesEnforcedDetail][17][TypeInfringement]",Submission!$O:$O,Submission!$H:$N,""))</f>
        <v/>
      </c>
      <c r="D340" s="468"/>
      <c r="E340" s="252"/>
      <c r="F340" s="251" t="str">
        <f>_xlfn.CONCAT(_xlfn.XLOOKUP("[S08_PriorPenaltiesEnforcedDetail][17][TypePenalty]",Submission!$O:$O,Submission!$H:$N,""))</f>
        <v/>
      </c>
      <c r="G340" s="252"/>
      <c r="H340" s="466" t="str">
        <f>_xlfn.CONCAT(_xlfn.XLOOKUP("[S08_PriorPenaltiesEnforcedDetail][17][ReportinYear]",Submission!$O:$O,Submission!$H:$N,""))</f>
        <v/>
      </c>
      <c r="I340" s="467"/>
    </row>
    <row r="341" spans="2:10" collapsed="1" x14ac:dyDescent="0.3">
      <c r="B341" s="26" t="s">
        <v>1000</v>
      </c>
      <c r="C341" s="16"/>
      <c r="D341" s="19"/>
      <c r="E341" s="11"/>
      <c r="F341" s="11"/>
      <c r="G341" s="11"/>
      <c r="H341" s="11"/>
      <c r="I341" s="11"/>
    </row>
    <row r="342" spans="2:10" x14ac:dyDescent="0.3">
      <c r="C342" s="449" t="s">
        <v>1248</v>
      </c>
      <c r="D342" s="498"/>
      <c r="E342" s="498"/>
      <c r="F342" s="498"/>
      <c r="G342" s="498"/>
      <c r="H342" s="498"/>
      <c r="I342" s="498"/>
      <c r="J342" s="498"/>
    </row>
  </sheetData>
  <mergeCells count="583">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C193:D193"/>
    <mergeCell ref="H193:I193"/>
    <mergeCell ref="C194:D194"/>
    <mergeCell ref="H194:I194"/>
    <mergeCell ref="C195:D195"/>
    <mergeCell ref="H195:I195"/>
    <mergeCell ref="C196:D196"/>
    <mergeCell ref="H196:I196"/>
    <mergeCell ref="C197:D197"/>
    <mergeCell ref="H197:I197"/>
    <mergeCell ref="C188:D188"/>
    <mergeCell ref="H188:I188"/>
    <mergeCell ref="C189:D189"/>
    <mergeCell ref="H189:I189"/>
    <mergeCell ref="C190:D190"/>
    <mergeCell ref="H190:I190"/>
    <mergeCell ref="C191:D191"/>
    <mergeCell ref="H191:I191"/>
    <mergeCell ref="C192:D192"/>
    <mergeCell ref="H192:I192"/>
    <mergeCell ref="C183:D183"/>
    <mergeCell ref="H183:I183"/>
    <mergeCell ref="C184:D184"/>
    <mergeCell ref="H184:I184"/>
    <mergeCell ref="C185:D185"/>
    <mergeCell ref="H185:I185"/>
    <mergeCell ref="C186:D186"/>
    <mergeCell ref="H186:I186"/>
    <mergeCell ref="C187:D187"/>
    <mergeCell ref="H187:I187"/>
    <mergeCell ref="C178:D178"/>
    <mergeCell ref="H178:I178"/>
    <mergeCell ref="C179:D179"/>
    <mergeCell ref="H179:I179"/>
    <mergeCell ref="C180:D180"/>
    <mergeCell ref="H180:I180"/>
    <mergeCell ref="C181:D181"/>
    <mergeCell ref="H181:I181"/>
    <mergeCell ref="C182:D182"/>
    <mergeCell ref="H182:I182"/>
    <mergeCell ref="H173:I173"/>
    <mergeCell ref="C174:D174"/>
    <mergeCell ref="H174:I174"/>
    <mergeCell ref="C175:D175"/>
    <mergeCell ref="H175:I175"/>
    <mergeCell ref="C176:D176"/>
    <mergeCell ref="H176:I176"/>
    <mergeCell ref="C177:D177"/>
    <mergeCell ref="H177:I177"/>
    <mergeCell ref="C173:D173"/>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C83:D83"/>
    <mergeCell ref="H83:I83"/>
    <mergeCell ref="C84:D84"/>
    <mergeCell ref="H84:I84"/>
    <mergeCell ref="C85:D85"/>
    <mergeCell ref="H85:I85"/>
    <mergeCell ref="C86:D86"/>
    <mergeCell ref="H86:I86"/>
    <mergeCell ref="C87:D87"/>
    <mergeCell ref="H87:I87"/>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G54:I54"/>
    <mergeCell ref="B47:H47"/>
    <mergeCell ref="B48:I48"/>
    <mergeCell ref="C49:F49"/>
    <mergeCell ref="G49:I49"/>
    <mergeCell ref="C50:F50"/>
    <mergeCell ref="G50:I50"/>
    <mergeCell ref="B42:H42"/>
    <mergeCell ref="B43:I43"/>
    <mergeCell ref="C44:F44"/>
    <mergeCell ref="G44:I44"/>
    <mergeCell ref="C45:F45"/>
    <mergeCell ref="G45:I45"/>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B136:I136"/>
    <mergeCell ref="B138:H138"/>
    <mergeCell ref="B139:I139"/>
    <mergeCell ref="C140:F140"/>
    <mergeCell ref="G140:I140"/>
    <mergeCell ref="B147:I147"/>
    <mergeCell ref="C148:E148"/>
    <mergeCell ref="F148:G148"/>
    <mergeCell ref="H148:I148"/>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208:I208"/>
    <mergeCell ref="C209:D209"/>
    <mergeCell ref="H209:I209"/>
    <mergeCell ref="C210:D210"/>
    <mergeCell ref="H210:I210"/>
    <mergeCell ref="C211:D211"/>
    <mergeCell ref="H211:I211"/>
    <mergeCell ref="C212:D212"/>
    <mergeCell ref="H212:I212"/>
    <mergeCell ref="C213:D213"/>
    <mergeCell ref="H213:I213"/>
    <mergeCell ref="C214:D214"/>
    <mergeCell ref="H214:I214"/>
    <mergeCell ref="C215:D215"/>
    <mergeCell ref="H215:I215"/>
    <mergeCell ref="C216:D216"/>
    <mergeCell ref="H216:I216"/>
    <mergeCell ref="C217:D217"/>
    <mergeCell ref="H217:I217"/>
    <mergeCell ref="C218:D218"/>
    <mergeCell ref="H218:I218"/>
    <mergeCell ref="C219:D219"/>
    <mergeCell ref="H219:I219"/>
    <mergeCell ref="C220:D220"/>
    <mergeCell ref="H220:I220"/>
    <mergeCell ref="C221:D221"/>
    <mergeCell ref="H221:I221"/>
    <mergeCell ref="C222:D222"/>
    <mergeCell ref="H222:I222"/>
    <mergeCell ref="C223:D223"/>
    <mergeCell ref="H223:I223"/>
    <mergeCell ref="C224:D224"/>
    <mergeCell ref="H224:I224"/>
    <mergeCell ref="C225:D225"/>
    <mergeCell ref="H225:I225"/>
    <mergeCell ref="C226:D226"/>
    <mergeCell ref="H226:I226"/>
    <mergeCell ref="C227:D227"/>
    <mergeCell ref="H227:I227"/>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9</v>
      </c>
      <c r="B3" s="327" t="s">
        <v>545</v>
      </c>
      <c r="C3" s="327"/>
      <c r="D3" s="327"/>
      <c r="E3" s="327"/>
      <c r="F3" s="327"/>
      <c r="G3" s="327"/>
      <c r="H3" s="327"/>
      <c r="I3" s="327"/>
    </row>
    <row r="4" spans="1:9" s="7" customFormat="1" ht="18.899999999999999" customHeight="1" x14ac:dyDescent="0.35">
      <c r="A4" s="107" t="s">
        <v>546</v>
      </c>
      <c r="B4" s="512" t="s">
        <v>74</v>
      </c>
      <c r="C4" s="512"/>
      <c r="D4" s="512"/>
      <c r="E4" s="512"/>
      <c r="F4" s="512"/>
      <c r="G4" s="512"/>
      <c r="H4" s="512"/>
      <c r="I4" s="513"/>
    </row>
    <row r="5" spans="1:9" ht="15.9" customHeight="1" x14ac:dyDescent="0.25">
      <c r="A5" s="55" t="s">
        <v>547</v>
      </c>
      <c r="B5" s="377" t="s">
        <v>1249</v>
      </c>
      <c r="C5" s="403"/>
      <c r="D5" s="403"/>
      <c r="E5" s="403"/>
      <c r="F5" s="403"/>
      <c r="G5" s="403"/>
      <c r="H5" s="403"/>
      <c r="I5" s="403"/>
    </row>
    <row r="6" spans="1:9" ht="16.95" customHeight="1" x14ac:dyDescent="0.3">
      <c r="B6" s="293" t="s">
        <v>1250</v>
      </c>
      <c r="C6" s="294"/>
      <c r="D6" s="294"/>
      <c r="E6" s="294"/>
      <c r="F6" s="294"/>
      <c r="G6" s="294"/>
      <c r="H6" s="295"/>
      <c r="I6" s="41" t="str">
        <f>_xlfn.CONCAT(_xlfn.XLOOKUP("[InstallationOperatorFees][0][InstallationOperatorFees]",Submission!$O:$O,Submission!$H:$N,""))</f>
        <v>No</v>
      </c>
    </row>
    <row r="7" spans="1:9" ht="16.95" customHeight="1" x14ac:dyDescent="0.3">
      <c r="B7" s="340" t="s">
        <v>1251</v>
      </c>
      <c r="C7" s="465"/>
      <c r="D7" s="465"/>
      <c r="E7" s="465"/>
      <c r="F7" s="465"/>
      <c r="G7" s="465"/>
      <c r="H7" s="465"/>
      <c r="I7" s="465"/>
    </row>
    <row r="8" spans="1:9" x14ac:dyDescent="0.3">
      <c r="C8" s="444" t="s">
        <v>1145</v>
      </c>
      <c r="D8" s="445"/>
      <c r="E8" s="445"/>
      <c r="F8" s="446"/>
      <c r="G8" s="444" t="s">
        <v>1146</v>
      </c>
      <c r="H8" s="445"/>
      <c r="I8" s="446"/>
    </row>
    <row r="9" spans="1:9" x14ac:dyDescent="0.3">
      <c r="C9" s="461" t="s">
        <v>1252</v>
      </c>
      <c r="D9" s="462"/>
      <c r="E9" s="462"/>
      <c r="F9" s="463"/>
      <c r="G9" s="452" t="str">
        <f>_xlfn.CONCAT(_xlfn.XLOOKUP("[S09_InstallationOperatorFeesPermits][1][FeesAmount]",Submission!$O:$O,Submission!$H:$N,""))</f>
        <v/>
      </c>
      <c r="H9" s="509"/>
      <c r="I9" s="453"/>
    </row>
    <row r="10" spans="1:9" x14ac:dyDescent="0.3">
      <c r="C10" s="461" t="s">
        <v>1253</v>
      </c>
      <c r="D10" s="462"/>
      <c r="E10" s="462"/>
      <c r="F10" s="463"/>
      <c r="G10" s="452" t="str">
        <f>_xlfn.CONCAT(_xlfn.XLOOKUP("[S09_InstallationOperatorFeesPermits][2][FeesAmount]",Submission!$O:$O,Submission!$H:$N,""))</f>
        <v/>
      </c>
      <c r="H10" s="509"/>
      <c r="I10" s="453"/>
    </row>
    <row r="11" spans="1:9" x14ac:dyDescent="0.3">
      <c r="C11" s="461" t="s">
        <v>1254</v>
      </c>
      <c r="D11" s="462"/>
      <c r="E11" s="462"/>
      <c r="F11" s="463"/>
      <c r="G11" s="452" t="str">
        <f>_xlfn.CONCAT(_xlfn.XLOOKUP("[S09_InstallationOperatorFeesPermits][3][FeesAmount]",Submission!$O:$O,Submission!$H:$N,""))</f>
        <v/>
      </c>
      <c r="H11" s="509"/>
      <c r="I11" s="453"/>
    </row>
    <row r="12" spans="1:9" x14ac:dyDescent="0.3">
      <c r="C12" s="461" t="s">
        <v>1255</v>
      </c>
      <c r="D12" s="462"/>
      <c r="E12" s="462"/>
      <c r="F12" s="463"/>
      <c r="G12" s="452" t="str">
        <f>_xlfn.CONCAT(_xlfn.XLOOKUP("[S09_InstallationOperatorFeesPermits][4][FeesAmount]",Submission!$O:$O,Submission!$H:$N,""))</f>
        <v/>
      </c>
      <c r="H12" s="509"/>
      <c r="I12" s="453"/>
    </row>
    <row r="13" spans="1:9" x14ac:dyDescent="0.3">
      <c r="C13" s="461" t="s">
        <v>1256</v>
      </c>
      <c r="D13" s="462"/>
      <c r="E13" s="462"/>
      <c r="F13" s="463"/>
      <c r="G13" s="452" t="str">
        <f>_xlfn.CONCAT(_xlfn.XLOOKUP("[S09_InstallationOperatorFeesPermits][5][FeesAmount]",Submission!$O:$O,Submission!$H:$N,""))</f>
        <v/>
      </c>
      <c r="H13" s="509"/>
      <c r="I13" s="453"/>
    </row>
    <row r="14" spans="1:9" x14ac:dyDescent="0.3">
      <c r="C14" s="93" t="s">
        <v>697</v>
      </c>
      <c r="D14" s="514" t="str">
        <f>_xlfn.CONCAT(_xlfn.XLOOKUP("[S09_InstallationOperatorFeesPermits][6][FeesOther]",Submission!$O:$O,Submission!$H:$N,""))</f>
        <v/>
      </c>
      <c r="E14" s="515"/>
      <c r="F14" s="516"/>
      <c r="G14" s="341" t="str">
        <f>_xlfn.CONCAT(_xlfn.XLOOKUP("[S09_InstallationOperatorFeesPermits][6][FeesAmount]",Submission!$O:$O,Submission!$H:$N,""))</f>
        <v/>
      </c>
      <c r="H14" s="355"/>
      <c r="I14" s="356"/>
    </row>
    <row r="15" spans="1:9" hidden="1" outlineLevel="1" x14ac:dyDescent="0.3">
      <c r="C15" s="93" t="s">
        <v>1257</v>
      </c>
      <c r="D15" s="514" t="str">
        <f>_xlfn.CONCAT(_xlfn.XLOOKUP("[S09_InstallationOperatorFeesPermits][7][FeesOther]",Submission!$O:$O,Submission!$H:$N,""))</f>
        <v/>
      </c>
      <c r="E15" s="515"/>
      <c r="F15" s="516"/>
      <c r="G15" s="341" t="str">
        <f>_xlfn.CONCAT(_xlfn.XLOOKUP("[S09_InstallationOperatorFeesPermits][7][FeesAmount]",Submission!$O:$O,Submission!$H:$N,""))</f>
        <v/>
      </c>
      <c r="H15" s="355"/>
      <c r="I15" s="356"/>
    </row>
    <row r="16" spans="1:9" hidden="1" outlineLevel="1" x14ac:dyDescent="0.3">
      <c r="C16" s="93" t="s">
        <v>1258</v>
      </c>
      <c r="D16" s="514" t="str">
        <f>_xlfn.CONCAT(_xlfn.XLOOKUP("[S09_InstallationOperatorFeesPermits][8][FeesOther]",Submission!$O:$O,Submission!$H:$N,""))</f>
        <v/>
      </c>
      <c r="E16" s="515"/>
      <c r="F16" s="516"/>
      <c r="G16" s="341" t="str">
        <f>_xlfn.CONCAT(_xlfn.XLOOKUP("[S09_InstallationOperatorFeesPermits][8][FeesAmount]",Submission!$O:$O,Submission!$H:$N,""))</f>
        <v/>
      </c>
      <c r="H16" s="355"/>
      <c r="I16" s="356"/>
    </row>
    <row r="17" spans="1:9" hidden="1" outlineLevel="1" x14ac:dyDescent="0.3">
      <c r="C17" s="93" t="s">
        <v>1259</v>
      </c>
      <c r="D17" s="514" t="str">
        <f>_xlfn.CONCAT(_xlfn.XLOOKUP("[S09_InstallationOperatorFeesPermits][9][FeesOther]",Submission!$O:$O,Submission!$H:$N,""))</f>
        <v/>
      </c>
      <c r="E17" s="515"/>
      <c r="F17" s="516"/>
      <c r="G17" s="341" t="str">
        <f>_xlfn.CONCAT(_xlfn.XLOOKUP("[S09_InstallationOperatorFeesPermits][9][FeesAmount]",Submission!$O:$O,Submission!$H:$N,""))</f>
        <v/>
      </c>
      <c r="H17" s="355"/>
      <c r="I17" s="356"/>
    </row>
    <row r="18" spans="1:9" collapsed="1" x14ac:dyDescent="0.3">
      <c r="B18" s="26" t="s">
        <v>1000</v>
      </c>
      <c r="C18" s="16"/>
      <c r="D18" s="19"/>
      <c r="E18" s="11"/>
      <c r="F18" s="11"/>
      <c r="G18" s="11"/>
      <c r="H18" s="11"/>
      <c r="I18" s="11"/>
    </row>
    <row r="20" spans="1:9" x14ac:dyDescent="0.3">
      <c r="B20" s="465" t="s">
        <v>1260</v>
      </c>
      <c r="C20" s="465"/>
      <c r="D20" s="465"/>
      <c r="E20" s="465"/>
      <c r="F20" s="465"/>
      <c r="G20" s="465"/>
      <c r="H20" s="465"/>
      <c r="I20" s="465"/>
    </row>
    <row r="21" spans="1:9" x14ac:dyDescent="0.3">
      <c r="C21" s="365" t="s">
        <v>1145</v>
      </c>
      <c r="D21" s="365"/>
      <c r="E21" s="365"/>
      <c r="F21" s="365"/>
      <c r="G21" s="422" t="s">
        <v>1146</v>
      </c>
      <c r="H21" s="365"/>
      <c r="I21" s="365"/>
    </row>
    <row r="22" spans="1:9" x14ac:dyDescent="0.3">
      <c r="C22" s="366" t="s">
        <v>1261</v>
      </c>
      <c r="D22" s="366"/>
      <c r="E22" s="366"/>
      <c r="F22" s="366"/>
      <c r="G22" s="452" t="str">
        <f>_xlfn.CONCAT(_xlfn.XLOOKUP("[S09_InstallationOperatorFeesSubsistence][1][FeesAmount]",Submission!$O:$O,Submission!$H:$N,""))</f>
        <v/>
      </c>
      <c r="H22" s="509"/>
      <c r="I22" s="453"/>
    </row>
    <row r="23" spans="1:9" x14ac:dyDescent="0.3">
      <c r="C23" s="96" t="s">
        <v>1234</v>
      </c>
      <c r="D23" s="284" t="str">
        <f>_xlfn.CONCAT(_xlfn.XLOOKUP("[S09_InstallationOperatorFeesSubsistence][2][FeesOther]",Submission!$O:$O,Submission!$H:$N,""))</f>
        <v/>
      </c>
      <c r="E23" s="348"/>
      <c r="F23" s="285"/>
      <c r="G23" s="452" t="str">
        <f>_xlfn.CONCAT(_xlfn.XLOOKUP("[S09_InstallationOperatorFeesSubsistence][2][FeesAmount]",Submission!$O:$O,Submission!$H:$N,""))</f>
        <v/>
      </c>
      <c r="H23" s="509"/>
      <c r="I23" s="453"/>
    </row>
    <row r="24" spans="1:9" hidden="1" outlineLevel="1" x14ac:dyDescent="0.3">
      <c r="C24" s="93" t="s">
        <v>1257</v>
      </c>
      <c r="D24" s="514" t="str">
        <f>_xlfn.CONCAT(_xlfn.XLOOKUP("[S09_InstallationOperatorFeesSubsistence][3][FeesOther]",Submission!$O:$O,Submission!$H:$N,""))</f>
        <v/>
      </c>
      <c r="E24" s="515"/>
      <c r="F24" s="516"/>
      <c r="G24" s="341" t="str">
        <f>_xlfn.CONCAT(_xlfn.XLOOKUP("[S09_InstallationOperatorFeesSubsistence][3][FeesAmount]",Submission!$O:$O,Submission!$H:$N,""))</f>
        <v/>
      </c>
      <c r="H24" s="355"/>
      <c r="I24" s="356"/>
    </row>
    <row r="25" spans="1:9" hidden="1" outlineLevel="1" x14ac:dyDescent="0.3">
      <c r="C25" s="93" t="s">
        <v>1258</v>
      </c>
      <c r="D25" s="514" t="str">
        <f>_xlfn.CONCAT(_xlfn.XLOOKUP("[S09_InstallationOperatorFeesSubsistence][4][FeesOther]",Submission!$O:$O,Submission!$H:$N,""))</f>
        <v/>
      </c>
      <c r="E25" s="515"/>
      <c r="F25" s="516"/>
      <c r="G25" s="341" t="str">
        <f>_xlfn.CONCAT(_xlfn.XLOOKUP("[S09_InstallationOperatorFeesSubsistence][4][FeesAmount]",Submission!$O:$O,Submission!$H:$N,""))</f>
        <v/>
      </c>
      <c r="H25" s="355"/>
      <c r="I25" s="356"/>
    </row>
    <row r="26" spans="1:9" hidden="1" outlineLevel="1" x14ac:dyDescent="0.3">
      <c r="C26" s="93" t="s">
        <v>1259</v>
      </c>
      <c r="D26" s="514" t="str">
        <f>_xlfn.CONCAT(_xlfn.XLOOKUP("[S09_InstallationOperatorFeesSubsistence][5][FeesOther]",Submission!$O:$O,Submission!$H:$N,""))</f>
        <v/>
      </c>
      <c r="E26" s="515"/>
      <c r="F26" s="516"/>
      <c r="G26" s="341" t="str">
        <f>_xlfn.CONCAT(_xlfn.XLOOKUP("[S09_InstallationOperatorFeesSubsistence][5][FeesAmount]",Submission!$O:$O,Submission!$H:$N,""))</f>
        <v/>
      </c>
      <c r="H26" s="355"/>
      <c r="I26" s="356"/>
    </row>
    <row r="27" spans="1:9" collapsed="1" x14ac:dyDescent="0.3">
      <c r="B27" s="26" t="s">
        <v>1000</v>
      </c>
      <c r="C27" s="16"/>
      <c r="D27" s="19"/>
      <c r="E27" s="11"/>
      <c r="F27" s="11"/>
      <c r="G27" s="11"/>
      <c r="H27" s="11"/>
      <c r="I27" s="11"/>
    </row>
    <row r="29" spans="1:9" s="11" customFormat="1" ht="18.899999999999999" customHeight="1" x14ac:dyDescent="0.35">
      <c r="A29" s="107" t="s">
        <v>552</v>
      </c>
      <c r="B29" s="512" t="s">
        <v>97</v>
      </c>
      <c r="C29" s="512"/>
      <c r="D29" s="512"/>
      <c r="E29" s="512"/>
      <c r="F29" s="512"/>
      <c r="G29" s="512"/>
      <c r="H29" s="512"/>
      <c r="I29" s="513"/>
    </row>
    <row r="30" spans="1:9" ht="15.9" customHeight="1" x14ac:dyDescent="0.25">
      <c r="A30" s="55" t="s">
        <v>553</v>
      </c>
      <c r="B30" s="377" t="s">
        <v>1262</v>
      </c>
      <c r="C30" s="403"/>
      <c r="D30" s="403"/>
      <c r="E30" s="403"/>
      <c r="F30" s="403"/>
      <c r="G30" s="403"/>
      <c r="H30" s="403"/>
      <c r="I30" s="403"/>
    </row>
    <row r="31" spans="1:9" ht="16.95" customHeight="1" x14ac:dyDescent="0.3">
      <c r="B31" s="293" t="s">
        <v>1263</v>
      </c>
      <c r="C31" s="294"/>
      <c r="D31" s="294"/>
      <c r="E31" s="294"/>
      <c r="F31" s="294"/>
      <c r="G31" s="294"/>
      <c r="H31" s="295"/>
      <c r="I31" s="41" t="str">
        <f>_xlfn.CONCAT(_xlfn.XLOOKUP("[AircraftOperatorFees][0][AircraftOperatorFees]",Submission!$O:$O,Submission!$H:$N,""))</f>
        <v>No</v>
      </c>
    </row>
    <row r="32" spans="1:9" ht="16.95" customHeight="1" x14ac:dyDescent="0.3">
      <c r="B32" s="340" t="s">
        <v>1264</v>
      </c>
      <c r="C32" s="465"/>
      <c r="D32" s="465"/>
      <c r="E32" s="465"/>
      <c r="F32" s="465"/>
      <c r="G32" s="465"/>
      <c r="H32" s="465"/>
      <c r="I32" s="465"/>
    </row>
    <row r="33" spans="2:9" x14ac:dyDescent="0.3">
      <c r="C33" s="444" t="s">
        <v>1145</v>
      </c>
      <c r="D33" s="445"/>
      <c r="E33" s="445"/>
      <c r="F33" s="446"/>
      <c r="G33" s="444" t="s">
        <v>1146</v>
      </c>
      <c r="H33" s="445"/>
      <c r="I33" s="446"/>
    </row>
    <row r="34" spans="2:9" x14ac:dyDescent="0.3">
      <c r="C34" s="461" t="s">
        <v>1265</v>
      </c>
      <c r="D34" s="462"/>
      <c r="E34" s="462"/>
      <c r="F34" s="463"/>
      <c r="G34" s="452" t="str">
        <f>_xlfn.CONCAT(_xlfn.XLOOKUP("[S09_AircraftOperatorFeesMonitoringPlans][1][FeesAmount]",Submission!$O:$O,Submission!$H:$N,""))</f>
        <v/>
      </c>
      <c r="H34" s="509"/>
      <c r="I34" s="453"/>
    </row>
    <row r="35" spans="2:9" x14ac:dyDescent="0.3">
      <c r="C35" s="461" t="s">
        <v>1266</v>
      </c>
      <c r="D35" s="462"/>
      <c r="E35" s="462"/>
      <c r="F35" s="463"/>
      <c r="G35" s="452" t="str">
        <f>_xlfn.CONCAT(_xlfn.XLOOKUP("[S09_AircraftOperatorFeesMonitoringPlans][2][FeesAmount]",Submission!$O:$O,Submission!$H:$N,""))</f>
        <v/>
      </c>
      <c r="H35" s="509"/>
      <c r="I35" s="453"/>
    </row>
    <row r="36" spans="2:9" x14ac:dyDescent="0.3">
      <c r="C36" s="461" t="s">
        <v>1267</v>
      </c>
      <c r="D36" s="462"/>
      <c r="E36" s="462"/>
      <c r="F36" s="463"/>
      <c r="G36" s="452" t="str">
        <f>_xlfn.CONCAT(_xlfn.XLOOKUP("[S09_AircraftOperatorFeesMonitoringPlans][3][FeesAmount]",Submission!$O:$O,Submission!$H:$N,""))</f>
        <v/>
      </c>
      <c r="H36" s="509"/>
      <c r="I36" s="453"/>
    </row>
    <row r="37" spans="2:9" x14ac:dyDescent="0.3">
      <c r="C37" s="461" t="s">
        <v>1268</v>
      </c>
      <c r="D37" s="462"/>
      <c r="E37" s="462"/>
      <c r="F37" s="463"/>
      <c r="G37" s="452" t="str">
        <f>_xlfn.CONCAT(_xlfn.XLOOKUP("[S09_AircraftOperatorFeesMonitoringPlans][4][FeesAmount]",Submission!$O:$O,Submission!$H:$N,""))</f>
        <v/>
      </c>
      <c r="H37" s="509"/>
      <c r="I37" s="453"/>
    </row>
    <row r="38" spans="2:9" x14ac:dyDescent="0.3">
      <c r="C38" s="461" t="s">
        <v>1269</v>
      </c>
      <c r="D38" s="462"/>
      <c r="E38" s="462"/>
      <c r="F38" s="463"/>
      <c r="G38" s="452" t="str">
        <f>_xlfn.CONCAT(_xlfn.XLOOKUP("[S09_AircraftOperatorFeesMonitoringPlans][5][FeesAmount]",Submission!$O:$O,Submission!$H:$N,""))</f>
        <v/>
      </c>
      <c r="H38" s="509"/>
      <c r="I38" s="453"/>
    </row>
    <row r="39" spans="2:9" x14ac:dyDescent="0.3">
      <c r="C39" s="461" t="s">
        <v>1270</v>
      </c>
      <c r="D39" s="462"/>
      <c r="E39" s="462"/>
      <c r="F39" s="463"/>
      <c r="G39" s="452" t="str">
        <f>_xlfn.CONCAT(_xlfn.XLOOKUP("[S09_AircraftOperatorFeesMonitoringPlans][6][FeesAmount]",Submission!$O:$O,Submission!$H:$N,""))</f>
        <v/>
      </c>
      <c r="H39" s="509"/>
      <c r="I39" s="453"/>
    </row>
    <row r="40" spans="2:9" x14ac:dyDescent="0.3">
      <c r="C40" s="93" t="s">
        <v>1234</v>
      </c>
      <c r="D40" s="514" t="str">
        <f>_xlfn.CONCAT(_xlfn.XLOOKUP("[S09_AircraftOperatorFeesMonitoringPlans][7][FeesOther]",Submission!$O:$O,Submission!$H:$N,""))</f>
        <v/>
      </c>
      <c r="E40" s="515"/>
      <c r="F40" s="516"/>
      <c r="G40" s="452" t="str">
        <f>_xlfn.CONCAT(_xlfn.XLOOKUP("[S09_AircraftOperatorFeesMonitoringPlans][7][FeesAmount]",Submission!$O:$O,Submission!$H:$N,""))</f>
        <v/>
      </c>
      <c r="H40" s="509"/>
      <c r="I40" s="453"/>
    </row>
    <row r="41" spans="2:9" hidden="1" outlineLevel="1" x14ac:dyDescent="0.3">
      <c r="C41" s="93" t="s">
        <v>1257</v>
      </c>
      <c r="D41" s="514" t="str">
        <f>_xlfn.CONCAT(_xlfn.XLOOKUP("[S09_AircraftOperatorFeesMonitoringPlans][8][FeesOther]",Submission!$O:$O,Submission!$H:$N,""))</f>
        <v/>
      </c>
      <c r="E41" s="515"/>
      <c r="F41" s="516"/>
      <c r="G41" s="341" t="str">
        <f>_xlfn.CONCAT(_xlfn.XLOOKUP("[S09_AircraftOperatorFeesMonitoringPlans][8][FeesAmount]",Submission!$O:$O,Submission!$H:$N,""))</f>
        <v/>
      </c>
      <c r="H41" s="355"/>
      <c r="I41" s="356"/>
    </row>
    <row r="42" spans="2:9" hidden="1" outlineLevel="1" x14ac:dyDescent="0.3">
      <c r="C42" s="93" t="s">
        <v>1258</v>
      </c>
      <c r="D42" s="514" t="str">
        <f>_xlfn.CONCAT(_xlfn.XLOOKUP("[S09_AircraftOperatorFeesMonitoringPlans][9][FeesOther]",Submission!$O:$O,Submission!$H:$N,""))</f>
        <v/>
      </c>
      <c r="E42" s="515"/>
      <c r="F42" s="516"/>
      <c r="G42" s="341" t="str">
        <f>_xlfn.CONCAT(_xlfn.XLOOKUP("[S09_AircraftOperatorFeesMonitoringPlans][9][FeesAmount]",Submission!$O:$O,Submission!$H:$N,""))</f>
        <v/>
      </c>
      <c r="H42" s="355"/>
      <c r="I42" s="356"/>
    </row>
    <row r="43" spans="2:9" hidden="1" outlineLevel="1" x14ac:dyDescent="0.3">
      <c r="C43" s="93" t="s">
        <v>1259</v>
      </c>
      <c r="D43" s="514" t="str">
        <f>_xlfn.CONCAT(_xlfn.XLOOKUP("[S09_AircraftOperatorFeesMonitoringPlans][10][FeesOther]",Submission!$O:$O,Submission!$H:$N,""))</f>
        <v/>
      </c>
      <c r="E43" s="515"/>
      <c r="F43" s="516"/>
      <c r="G43" s="341" t="str">
        <f>_xlfn.CONCAT(_xlfn.XLOOKUP("[S09_AircraftOperatorFeesMonitoringPlans][10][FeesAmount]",Submission!$O:$O,Submission!$H:$N,""))</f>
        <v/>
      </c>
      <c r="H43" s="355"/>
      <c r="I43" s="356"/>
    </row>
    <row r="44" spans="2:9" collapsed="1" x14ac:dyDescent="0.3">
      <c r="B44" s="26" t="s">
        <v>1000</v>
      </c>
      <c r="C44" s="16"/>
      <c r="D44" s="19"/>
      <c r="E44" s="11"/>
      <c r="F44" s="11"/>
      <c r="G44" s="11"/>
      <c r="H44" s="11"/>
      <c r="I44" s="11"/>
    </row>
    <row r="46" spans="2:9" x14ac:dyDescent="0.3">
      <c r="B46" s="465" t="s">
        <v>1271</v>
      </c>
      <c r="C46" s="465"/>
      <c r="D46" s="465"/>
      <c r="E46" s="465"/>
      <c r="F46" s="465"/>
      <c r="G46" s="465"/>
      <c r="H46" s="465"/>
      <c r="I46" s="465"/>
    </row>
    <row r="47" spans="2:9" x14ac:dyDescent="0.3">
      <c r="C47" s="365" t="s">
        <v>1145</v>
      </c>
      <c r="D47" s="365"/>
      <c r="E47" s="365"/>
      <c r="F47" s="365"/>
      <c r="G47" s="422" t="s">
        <v>1146</v>
      </c>
      <c r="H47" s="365"/>
      <c r="I47" s="365"/>
    </row>
    <row r="48" spans="2:9" x14ac:dyDescent="0.3">
      <c r="C48" s="366" t="s">
        <v>1261</v>
      </c>
      <c r="D48" s="366"/>
      <c r="E48" s="366"/>
      <c r="F48" s="366"/>
      <c r="G48" s="452" t="str">
        <f>_xlfn.CONCAT(_xlfn.XLOOKUP("[S09_AircraftOperatorFeesSubsistence][1][FeesAmount]",Submission!$O:$O,Submission!$H:$N,""))</f>
        <v/>
      </c>
      <c r="H48" s="509"/>
      <c r="I48" s="453"/>
    </row>
    <row r="49" spans="1:9" x14ac:dyDescent="0.3">
      <c r="C49" s="93" t="s">
        <v>1234</v>
      </c>
      <c r="D49" s="517" t="str">
        <f>_xlfn.CONCAT(_xlfn.XLOOKUP("[S09_AircraftOperatorFeesSubsistence][2][FeesOther]",Submission!$O:$O,Submission!$H:$N,""))</f>
        <v/>
      </c>
      <c r="E49" s="349"/>
      <c r="F49" s="282"/>
      <c r="G49" s="452" t="str">
        <f>_xlfn.CONCAT(_xlfn.XLOOKUP("[S09_AircraftOperatorFeesSubsistence][2][FeesAmount]",Submission!$O:$O,Submission!$H:$N,""))</f>
        <v/>
      </c>
      <c r="H49" s="509"/>
      <c r="I49" s="453"/>
    </row>
    <row r="50" spans="1:9" hidden="1" outlineLevel="1" x14ac:dyDescent="0.3">
      <c r="C50" s="93" t="s">
        <v>1257</v>
      </c>
      <c r="D50" s="514" t="str">
        <f>_xlfn.CONCAT(_xlfn.XLOOKUP("[S09_AircraftOperatorFeesSubsistence][3][FeesOther]",Submission!$O:$O,Submission!$H:$N,""))</f>
        <v/>
      </c>
      <c r="E50" s="515"/>
      <c r="F50" s="516"/>
      <c r="G50" s="341" t="str">
        <f>_xlfn.CONCAT(_xlfn.XLOOKUP("[S09_AircraftOperatorFeesSubsistence][3][FeesAmount]",Submission!$O:$O,Submission!$H:$N,""))</f>
        <v/>
      </c>
      <c r="H50" s="355"/>
      <c r="I50" s="356"/>
    </row>
    <row r="51" spans="1:9" hidden="1" outlineLevel="1" x14ac:dyDescent="0.3">
      <c r="C51" s="93" t="s">
        <v>1258</v>
      </c>
      <c r="D51" s="514" t="str">
        <f>_xlfn.CONCAT(_xlfn.XLOOKUP("[S09_AircraftOperatorFeesSubsistence][4][FeesOther]",Submission!$O:$O,Submission!$H:$N,""))</f>
        <v/>
      </c>
      <c r="E51" s="515"/>
      <c r="F51" s="516"/>
      <c r="G51" s="341" t="str">
        <f>_xlfn.CONCAT(_xlfn.XLOOKUP("[S09_AircraftOperatorFeesSubsistence][4][FeesAmount]",Submission!$O:$O,Submission!$H:$N,""))</f>
        <v/>
      </c>
      <c r="H51" s="355"/>
      <c r="I51" s="356"/>
    </row>
    <row r="52" spans="1:9" hidden="1" outlineLevel="1" x14ac:dyDescent="0.3">
      <c r="C52" s="93" t="s">
        <v>1259</v>
      </c>
      <c r="D52" s="514" t="str">
        <f>_xlfn.CONCAT(_xlfn.XLOOKUP("[S09_AircraftOperatorFeesSubsistence][5][FeesOther]",Submission!$O:$O,Submission!$H:$N,""))</f>
        <v/>
      </c>
      <c r="E52" s="515"/>
      <c r="F52" s="516"/>
      <c r="G52" s="341" t="str">
        <f>_xlfn.CONCAT(_xlfn.XLOOKUP("[S09_AircraftOperatorFeesSubsistence][5][FeesAmount]",Submission!$O:$O,Submission!$H:$N,""))</f>
        <v/>
      </c>
      <c r="H52" s="355"/>
      <c r="I52" s="356"/>
    </row>
    <row r="53" spans="1:9" collapsed="1" x14ac:dyDescent="0.3">
      <c r="B53" s="26" t="s">
        <v>1000</v>
      </c>
      <c r="C53" s="16"/>
      <c r="D53" s="19"/>
      <c r="E53" s="11"/>
      <c r="F53" s="11"/>
      <c r="G53" s="11"/>
      <c r="H53" s="11"/>
      <c r="I53" s="11"/>
    </row>
    <row r="55" spans="1:9" s="11" customFormat="1" ht="18.899999999999999" customHeight="1" x14ac:dyDescent="0.35">
      <c r="A55" s="107" t="s">
        <v>557</v>
      </c>
      <c r="B55" s="512" t="s">
        <v>558</v>
      </c>
      <c r="C55" s="512"/>
      <c r="D55" s="512"/>
      <c r="E55" s="512"/>
      <c r="F55" s="512"/>
      <c r="G55" s="512"/>
      <c r="H55" s="512"/>
      <c r="I55" s="513"/>
    </row>
    <row r="56" spans="1:9" ht="15.9" customHeight="1" x14ac:dyDescent="0.25">
      <c r="A56" s="55" t="s">
        <v>559</v>
      </c>
      <c r="B56" s="377" t="s">
        <v>1272</v>
      </c>
      <c r="C56" s="403"/>
      <c r="D56" s="403"/>
      <c r="E56" s="403"/>
      <c r="F56" s="403"/>
      <c r="G56" s="403"/>
      <c r="H56" s="403"/>
      <c r="I56" s="403"/>
    </row>
    <row r="57" spans="1:9" x14ac:dyDescent="0.3">
      <c r="B57" s="465" t="s">
        <v>1273</v>
      </c>
      <c r="C57" s="465"/>
      <c r="D57" s="465"/>
      <c r="E57" s="465"/>
      <c r="F57" s="465"/>
      <c r="G57" s="465"/>
      <c r="H57" s="465"/>
      <c r="I57" s="465"/>
    </row>
    <row r="58" spans="1:9" ht="15.6" customHeight="1" x14ac:dyDescent="0.3">
      <c r="B58" s="25"/>
      <c r="C58" s="518" t="s">
        <v>1274</v>
      </c>
      <c r="D58" s="518"/>
      <c r="E58" s="518"/>
      <c r="F58" s="518"/>
      <c r="G58" s="518"/>
      <c r="H58" s="518"/>
      <c r="I58" s="518"/>
    </row>
    <row r="59" spans="1:9" x14ac:dyDescent="0.3">
      <c r="C59" s="365" t="s">
        <v>1145</v>
      </c>
      <c r="D59" s="365"/>
      <c r="E59" s="365"/>
      <c r="F59" s="365"/>
      <c r="G59" s="422" t="s">
        <v>1146</v>
      </c>
      <c r="H59" s="365"/>
      <c r="I59" s="365"/>
    </row>
    <row r="60" spans="1:9" x14ac:dyDescent="0.3">
      <c r="C60" s="251" t="str">
        <f>_xlfn.CONCAT(_xlfn.XLOOKUP("[S09_RegistryAccountOneOffFees][1][OneOffFeeReason]",Submission!$O:$O,Submission!$H:$N,""))</f>
        <v/>
      </c>
      <c r="D60" s="468"/>
      <c r="E60" s="468"/>
      <c r="F60" s="252"/>
      <c r="G60" s="452" t="str">
        <f>_xlfn.CONCAT(_xlfn.XLOOKUP("[S09_RegistryAccountOneOffFees][1][OneOffFeeAmount]",Submission!$O:$O,Submission!$H:$N,""))</f>
        <v/>
      </c>
      <c r="H60" s="509"/>
      <c r="I60" s="453"/>
    </row>
    <row r="61" spans="1:9" x14ac:dyDescent="0.3">
      <c r="C61" s="251" t="str">
        <f>_xlfn.CONCAT(_xlfn.XLOOKUP("[S09_RegistryAccountOneOffFees][2][OneOffFeeReason]",Submission!$O:$O,Submission!$H:$N,""))</f>
        <v/>
      </c>
      <c r="D61" s="468"/>
      <c r="E61" s="468"/>
      <c r="F61" s="252"/>
      <c r="G61" s="452" t="str">
        <f>_xlfn.CONCAT(_xlfn.XLOOKUP("[S09_RegistryAccountOneOffFees][2][OneOffFeeAmount]",Submission!$O:$O,Submission!$H:$N,""))</f>
        <v/>
      </c>
      <c r="H61" s="509"/>
      <c r="I61" s="453"/>
    </row>
    <row r="62" spans="1:9" x14ac:dyDescent="0.3">
      <c r="C62" s="251" t="str">
        <f>_xlfn.CONCAT(_xlfn.XLOOKUP("[S09_RegistryAccountOneOffFees][3][OneOffFeeReason]",Submission!$O:$O,Submission!$H:$N,""))</f>
        <v/>
      </c>
      <c r="D62" s="468"/>
      <c r="E62" s="468"/>
      <c r="F62" s="252"/>
      <c r="G62" s="452" t="str">
        <f>_xlfn.CONCAT(_xlfn.XLOOKUP("[S09_RegistryAccountOneOffFees][3][OneOffFeeAmount]",Submission!$O:$O,Submission!$H:$N,""))</f>
        <v/>
      </c>
      <c r="H62" s="509"/>
      <c r="I62" s="453"/>
    </row>
    <row r="63" spans="1:9" x14ac:dyDescent="0.3">
      <c r="C63" s="251" t="str">
        <f>_xlfn.CONCAT(_xlfn.XLOOKUP("[S09_RegistryAccountOneOffFees][4][OneOffFeeReason]",Submission!$O:$O,Submission!$H:$N,""))</f>
        <v/>
      </c>
      <c r="D63" s="468"/>
      <c r="E63" s="468"/>
      <c r="F63" s="252"/>
      <c r="G63" s="452" t="str">
        <f>_xlfn.CONCAT(_xlfn.XLOOKUP("[S09_RegistryAccountOneOffFees][4][OneOffFeeAmount]",Submission!$O:$O,Submission!$H:$N,""))</f>
        <v/>
      </c>
      <c r="H63" s="509"/>
      <c r="I63" s="453"/>
    </row>
    <row r="64" spans="1:9" x14ac:dyDescent="0.3">
      <c r="C64" s="251" t="str">
        <f>_xlfn.CONCAT(_xlfn.XLOOKUP("[S09_RegistryAccountOneOffFees][5][OneOffFeeReason]",Submission!$O:$O,Submission!$H:$N,""))</f>
        <v/>
      </c>
      <c r="D64" s="468"/>
      <c r="E64" s="468"/>
      <c r="F64" s="252"/>
      <c r="G64" s="452" t="str">
        <f>_xlfn.CONCAT(_xlfn.XLOOKUP("[S09_RegistryAccountOneOffFees][5][OneOffFeeAmount]",Submission!$O:$O,Submission!$H:$N,""))</f>
        <v/>
      </c>
      <c r="H64" s="509"/>
      <c r="I64" s="453"/>
    </row>
    <row r="65" spans="2:9" hidden="1" outlineLevel="1" x14ac:dyDescent="0.3">
      <c r="C65" s="251" t="str">
        <f>_xlfn.CONCAT(_xlfn.XLOOKUP("[S09_RegistryAccountOneOffFees][6][OneOffFeeReason]",Submission!$O:$O,Submission!$H:$N,""))</f>
        <v/>
      </c>
      <c r="D65" s="468"/>
      <c r="E65" s="468"/>
      <c r="F65" s="252"/>
      <c r="G65" s="452" t="str">
        <f>_xlfn.CONCAT(_xlfn.XLOOKUP("[S09_RegistryAccountOneOffFees][6][OneOffFeeAmount]",Submission!$O:$O,Submission!$H:$N,""))</f>
        <v/>
      </c>
      <c r="H65" s="509"/>
      <c r="I65" s="453"/>
    </row>
    <row r="66" spans="2:9" hidden="1" outlineLevel="1" x14ac:dyDescent="0.3">
      <c r="C66" s="251" t="str">
        <f>_xlfn.CONCAT(_xlfn.XLOOKUP("[S09_RegistryAccountOneOffFees][7][OneOffFeeReason]",Submission!$O:$O,Submission!$H:$N,""))</f>
        <v/>
      </c>
      <c r="D66" s="468"/>
      <c r="E66" s="468"/>
      <c r="F66" s="252"/>
      <c r="G66" s="452" t="str">
        <f>_xlfn.CONCAT(_xlfn.XLOOKUP("[S09_RegistryAccountOneOffFees][7][OneOffFeeAmount]",Submission!$O:$O,Submission!$H:$N,""))</f>
        <v/>
      </c>
      <c r="H66" s="509"/>
      <c r="I66" s="453"/>
    </row>
    <row r="67" spans="2:9" hidden="1" outlineLevel="1" x14ac:dyDescent="0.3">
      <c r="C67" s="251" t="str">
        <f>_xlfn.CONCAT(_xlfn.XLOOKUP("[S09_RegistryAccountOneOffFees][8][OneOffFeeReason]",Submission!$O:$O,Submission!$H:$N,""))</f>
        <v/>
      </c>
      <c r="D67" s="468"/>
      <c r="E67" s="468"/>
      <c r="F67" s="252"/>
      <c r="G67" s="452" t="str">
        <f>_xlfn.CONCAT(_xlfn.XLOOKUP("[S09_RegistryAccountOneOffFees][8][OneOffFeeAmount]",Submission!$O:$O,Submission!$H:$N,""))</f>
        <v/>
      </c>
      <c r="H67" s="509"/>
      <c r="I67" s="453"/>
    </row>
    <row r="68" spans="2:9" hidden="1" outlineLevel="1" x14ac:dyDescent="0.3">
      <c r="C68" s="251" t="str">
        <f>_xlfn.CONCAT(_xlfn.XLOOKUP("[S09_RegistryAccountOneOffFees][9][OneOffFeeReason]",Submission!$O:$O,Submission!$H:$N,""))</f>
        <v/>
      </c>
      <c r="D68" s="468"/>
      <c r="E68" s="468"/>
      <c r="F68" s="252"/>
      <c r="G68" s="452" t="str">
        <f>_xlfn.CONCAT(_xlfn.XLOOKUP("[S09_RegistryAccountOneOffFees][9][OneOffFeeAmount]",Submission!$O:$O,Submission!$H:$N,""))</f>
        <v/>
      </c>
      <c r="H68" s="509"/>
      <c r="I68" s="453"/>
    </row>
    <row r="69" spans="2:9" hidden="1" outlineLevel="1" x14ac:dyDescent="0.3">
      <c r="C69" s="251" t="str">
        <f>_xlfn.CONCAT(_xlfn.XLOOKUP("[S09_RegistryAccountOneOffFees][10][OneOffFeeReason]",Submission!$O:$O,Submission!$H:$N,""))</f>
        <v/>
      </c>
      <c r="D69" s="468"/>
      <c r="E69" s="468"/>
      <c r="F69" s="252"/>
      <c r="G69" s="452" t="str">
        <f>_xlfn.CONCAT(_xlfn.XLOOKUP("[S09_RegistryAccountOneOffFees][10][OneOffFeeAmount]",Submission!$O:$O,Submission!$H:$N,""))</f>
        <v/>
      </c>
      <c r="H69" s="509"/>
      <c r="I69" s="453"/>
    </row>
    <row r="70" spans="2:9" collapsed="1" x14ac:dyDescent="0.3">
      <c r="B70" s="26" t="s">
        <v>1000</v>
      </c>
    </row>
    <row r="72" spans="2:9" x14ac:dyDescent="0.3">
      <c r="B72" s="25"/>
      <c r="C72" s="519" t="s">
        <v>1275</v>
      </c>
      <c r="D72" s="519"/>
      <c r="E72" s="519"/>
      <c r="F72" s="519"/>
      <c r="G72" s="519"/>
      <c r="H72" s="519"/>
      <c r="I72" s="519"/>
    </row>
    <row r="73" spans="2:9" x14ac:dyDescent="0.3">
      <c r="C73" s="365" t="s">
        <v>1145</v>
      </c>
      <c r="D73" s="365"/>
      <c r="E73" s="365"/>
      <c r="F73" s="365"/>
      <c r="G73" s="422" t="s">
        <v>1146</v>
      </c>
      <c r="H73" s="365"/>
      <c r="I73" s="365"/>
    </row>
    <row r="74" spans="2:9" x14ac:dyDescent="0.3">
      <c r="C74" s="251" t="str">
        <f>_xlfn.CONCAT(_xlfn.XLOOKUP("[S09_RegistryAccountAnnualFees][1][AnnualFeeReason]",Submission!$O:$O,Submission!$H:$N,""))</f>
        <v/>
      </c>
      <c r="D74" s="468"/>
      <c r="E74" s="468"/>
      <c r="F74" s="252"/>
      <c r="G74" s="452" t="str">
        <f>_xlfn.CONCAT(_xlfn.XLOOKUP("[S09_RegistryAccountAnnualFees][1][AnnualFeeAmount]",Submission!$O:$O,Submission!$H:$N,""))</f>
        <v/>
      </c>
      <c r="H74" s="509"/>
      <c r="I74" s="453"/>
    </row>
    <row r="75" spans="2:9" x14ac:dyDescent="0.3">
      <c r="C75" s="251" t="str">
        <f>_xlfn.CONCAT(_xlfn.XLOOKUP("[S09_RegistryAccountAnnualFees][2][AnnualFeeReason]",Submission!$O:$O,Submission!$H:$N,""))</f>
        <v/>
      </c>
      <c r="D75" s="468"/>
      <c r="E75" s="468"/>
      <c r="F75" s="252"/>
      <c r="G75" s="452" t="str">
        <f>_xlfn.CONCAT(_xlfn.XLOOKUP("[S09_RegistryAccountAnnualFees][2][AnnualFeeAmount]",Submission!$O:$O,Submission!$H:$N,""))</f>
        <v/>
      </c>
      <c r="H75" s="509"/>
      <c r="I75" s="453"/>
    </row>
    <row r="76" spans="2:9" x14ac:dyDescent="0.3">
      <c r="C76" s="251" t="str">
        <f>_xlfn.CONCAT(_xlfn.XLOOKUP("[S09_RegistryAccountAnnualFees][3][AnnualFeeReason]",Submission!$O:$O,Submission!$H:$N,""))</f>
        <v/>
      </c>
      <c r="D76" s="468"/>
      <c r="E76" s="468"/>
      <c r="F76" s="252"/>
      <c r="G76" s="452" t="str">
        <f>_xlfn.CONCAT(_xlfn.XLOOKUP("[S09_RegistryAccountAnnualFees][3][AnnualFeeAmount]",Submission!$O:$O,Submission!$H:$N,""))</f>
        <v/>
      </c>
      <c r="H76" s="509"/>
      <c r="I76" s="453"/>
    </row>
    <row r="77" spans="2:9" x14ac:dyDescent="0.3">
      <c r="C77" s="251" t="str">
        <f>_xlfn.CONCAT(_xlfn.XLOOKUP("[S09_RegistryAccountAnnualFees][4][AnnualFeeReason]",Submission!$O:$O,Submission!$H:$N,""))</f>
        <v/>
      </c>
      <c r="D77" s="468"/>
      <c r="E77" s="468"/>
      <c r="F77" s="252"/>
      <c r="G77" s="452" t="str">
        <f>_xlfn.CONCAT(_xlfn.XLOOKUP("[S09_RegistryAccountAnnualFees][4][AnnualFeeAmount]",Submission!$O:$O,Submission!$H:$N,""))</f>
        <v/>
      </c>
      <c r="H77" s="509"/>
      <c r="I77" s="453"/>
    </row>
    <row r="78" spans="2:9" x14ac:dyDescent="0.3">
      <c r="C78" s="251" t="str">
        <f>_xlfn.CONCAT(_xlfn.XLOOKUP("[S09_RegistryAccountAnnualFees][5][AnnualFeeReason]",Submission!$O:$O,Submission!$H:$N,""))</f>
        <v/>
      </c>
      <c r="D78" s="468"/>
      <c r="E78" s="468"/>
      <c r="F78" s="252"/>
      <c r="G78" s="452" t="str">
        <f>_xlfn.CONCAT(_xlfn.XLOOKUP("[S09_RegistryAccountAnnualFees][5][AnnualFeeAmount]",Submission!$O:$O,Submission!$H:$N,""))</f>
        <v/>
      </c>
      <c r="H78" s="509"/>
      <c r="I78" s="453"/>
    </row>
    <row r="79" spans="2:9" hidden="1" outlineLevel="1" x14ac:dyDescent="0.3">
      <c r="C79" s="251" t="str">
        <f>_xlfn.CONCAT(_xlfn.XLOOKUP("[S09_RegistryAccountAnnualFees][6][AnnualFeeReason]",Submission!$O:$O,Submission!$H:$N,""))</f>
        <v/>
      </c>
      <c r="D79" s="468"/>
      <c r="E79" s="468"/>
      <c r="F79" s="252"/>
      <c r="G79" s="452" t="str">
        <f>_xlfn.CONCAT(_xlfn.XLOOKUP("[S09_RegistryAccountAnnualFees][6][AnnualFeeAmount]",Submission!$O:$O,Submission!$H:$N,""))</f>
        <v/>
      </c>
      <c r="H79" s="509"/>
      <c r="I79" s="453"/>
    </row>
    <row r="80" spans="2:9" hidden="1" outlineLevel="1" x14ac:dyDescent="0.3">
      <c r="C80" s="251" t="str">
        <f>_xlfn.CONCAT(_xlfn.XLOOKUP("[S09_RegistryAccountAnnualFees][7][AnnualFeeReason]",Submission!$O:$O,Submission!$H:$N,""))</f>
        <v/>
      </c>
      <c r="D80" s="468"/>
      <c r="E80" s="468"/>
      <c r="F80" s="252"/>
      <c r="G80" s="452" t="str">
        <f>_xlfn.CONCAT(_xlfn.XLOOKUP("[S09_RegistryAccountAnnualFees][7][AnnualFeeAmount]",Submission!$O:$O,Submission!$H:$N,""))</f>
        <v/>
      </c>
      <c r="H80" s="509"/>
      <c r="I80" s="453"/>
    </row>
    <row r="81" spans="2:9" hidden="1" outlineLevel="1" x14ac:dyDescent="0.3">
      <c r="C81" s="251" t="str">
        <f>_xlfn.CONCAT(_xlfn.XLOOKUP("[S09_RegistryAccountAnnualFees][8][AnnualFeeReason]",Submission!$O:$O,Submission!$H:$N,""))</f>
        <v/>
      </c>
      <c r="D81" s="468"/>
      <c r="E81" s="468"/>
      <c r="F81" s="252"/>
      <c r="G81" s="452" t="str">
        <f>_xlfn.CONCAT(_xlfn.XLOOKUP("[S09_RegistryAccountAnnualFees][8][AnnualFeeAmount]",Submission!$O:$O,Submission!$H:$N,""))</f>
        <v/>
      </c>
      <c r="H81" s="509"/>
      <c r="I81" s="453"/>
    </row>
    <row r="82" spans="2:9" hidden="1" outlineLevel="1" x14ac:dyDescent="0.3">
      <c r="C82" s="251" t="str">
        <f>_xlfn.CONCAT(_xlfn.XLOOKUP("[S09_RegistryAccountAnnualFees][9][AnnualFeeReason]",Submission!$O:$O,Submission!$H:$N,""))</f>
        <v/>
      </c>
      <c r="D82" s="468"/>
      <c r="E82" s="468"/>
      <c r="F82" s="252"/>
      <c r="G82" s="452" t="str">
        <f>_xlfn.CONCAT(_xlfn.XLOOKUP("[S09_RegistryAccountAnnualFees][9][AnnualFeeAmount]",Submission!$O:$O,Submission!$H:$N,""))</f>
        <v/>
      </c>
      <c r="H82" s="509"/>
      <c r="I82" s="453"/>
    </row>
    <row r="83" spans="2:9" hidden="1" outlineLevel="1" x14ac:dyDescent="0.3">
      <c r="C83" s="251" t="str">
        <f>_xlfn.CONCAT(_xlfn.XLOOKUP("[S09_RegistryAccountAnnualFees][10][AnnualFeeReason]",Submission!$O:$O,Submission!$H:$N,""))</f>
        <v/>
      </c>
      <c r="D83" s="468"/>
      <c r="E83" s="468"/>
      <c r="F83" s="252"/>
      <c r="G83" s="452" t="str">
        <f>_xlfn.CONCAT(_xlfn.XLOOKUP("[S09_RegistryAccountAnnualFees][10][AnnualFeeAmount]",Submission!$O:$O,Submission!$H:$N,""))</f>
        <v/>
      </c>
      <c r="H83" s="509"/>
      <c r="I83" s="453"/>
    </row>
    <row r="84" spans="2:9" collapsed="1" x14ac:dyDescent="0.3">
      <c r="B84" s="26" t="s">
        <v>1000</v>
      </c>
    </row>
  </sheetData>
  <mergeCells count="127">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 ref="C75:F75"/>
    <mergeCell ref="C66:F66"/>
    <mergeCell ref="C67:F67"/>
    <mergeCell ref="C68:F68"/>
    <mergeCell ref="C76:F76"/>
    <mergeCell ref="C77:F77"/>
    <mergeCell ref="C78:F78"/>
    <mergeCell ref="G65:I65"/>
    <mergeCell ref="C65:F65"/>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37:F37"/>
    <mergeCell ref="G37:I37"/>
    <mergeCell ref="C38:F38"/>
    <mergeCell ref="G38:I38"/>
    <mergeCell ref="C39:F39"/>
    <mergeCell ref="G39:I39"/>
    <mergeCell ref="C34:F34"/>
    <mergeCell ref="G34:I34"/>
    <mergeCell ref="C35:F35"/>
    <mergeCell ref="G35:I35"/>
    <mergeCell ref="C36:F36"/>
    <mergeCell ref="G36:I36"/>
    <mergeCell ref="B31:H31"/>
    <mergeCell ref="D23:F23"/>
    <mergeCell ref="B32:I32"/>
    <mergeCell ref="C33:F33"/>
    <mergeCell ref="G33:I33"/>
    <mergeCell ref="D24:F24"/>
    <mergeCell ref="G24:I24"/>
    <mergeCell ref="D25:F25"/>
    <mergeCell ref="G25:I25"/>
    <mergeCell ref="D26:F26"/>
    <mergeCell ref="G26:I26"/>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10</v>
      </c>
      <c r="B3" s="327" t="s">
        <v>1276</v>
      </c>
      <c r="C3" s="327"/>
      <c r="D3" s="327"/>
      <c r="E3" s="327"/>
      <c r="F3" s="327"/>
      <c r="G3" s="327"/>
      <c r="H3" s="327"/>
      <c r="I3" s="327"/>
    </row>
    <row r="4" spans="1:9" s="7" customFormat="1" ht="18.899999999999999" customHeight="1" x14ac:dyDescent="0.35">
      <c r="A4" s="48" t="s">
        <v>1277</v>
      </c>
      <c r="B4" s="325" t="s">
        <v>74</v>
      </c>
      <c r="C4" s="325"/>
      <c r="D4" s="325"/>
      <c r="E4" s="325"/>
      <c r="F4" s="325"/>
      <c r="G4" s="325"/>
      <c r="H4" s="325"/>
      <c r="I4" s="326"/>
    </row>
    <row r="5" spans="1:9" ht="32.1" customHeight="1" x14ac:dyDescent="0.3">
      <c r="A5" s="17" t="s">
        <v>567</v>
      </c>
      <c r="B5" s="271" t="s">
        <v>1278</v>
      </c>
      <c r="C5" s="272"/>
      <c r="D5" s="272"/>
      <c r="E5" s="272"/>
      <c r="F5" s="272"/>
      <c r="G5" s="272"/>
      <c r="H5" s="272"/>
      <c r="I5" s="272"/>
    </row>
    <row r="6" spans="1:9" ht="15.9" customHeight="1" x14ac:dyDescent="0.3">
      <c r="C6" s="315" t="s">
        <v>1279</v>
      </c>
      <c r="D6" s="379"/>
      <c r="E6" s="379"/>
      <c r="F6" s="379"/>
      <c r="G6" s="336"/>
      <c r="H6" s="53" t="s">
        <v>709</v>
      </c>
      <c r="I6" s="54" t="s">
        <v>1280</v>
      </c>
    </row>
    <row r="7" spans="1:9" s="58" customFormat="1" ht="25.2" customHeight="1" x14ac:dyDescent="0.3">
      <c r="A7" s="75"/>
      <c r="C7" s="246" t="s">
        <v>1281</v>
      </c>
      <c r="D7" s="263"/>
      <c r="E7" s="263"/>
      <c r="F7" s="263"/>
      <c r="G7" s="264"/>
      <c r="H7" s="47" t="str">
        <f>_xlfn.CONCAT(_xlfn.XLOOKUP("[S10_InstallationsComplianceMeasures][1][ComplianceMeasuresYesNo]",Submission!$O:$O,Submission!$H:$N,""))</f>
        <v>No</v>
      </c>
      <c r="I7" s="72" t="str">
        <f>_xlfn.CONCAT(_xlfn.XLOOKUP("[S10_InstallationsComplianceMeasures][1][ComplianceMeasuresComment]",Submission!$O:$O,Submission!$H:$N,""))</f>
        <v/>
      </c>
    </row>
    <row r="8" spans="1:9" s="58" customFormat="1" ht="25.2" customHeight="1" x14ac:dyDescent="0.3">
      <c r="A8" s="75"/>
      <c r="C8" s="246" t="s">
        <v>1282</v>
      </c>
      <c r="D8" s="263"/>
      <c r="E8" s="263"/>
      <c r="F8" s="263"/>
      <c r="G8" s="264"/>
      <c r="H8" s="47" t="str">
        <f>_xlfn.CONCAT(_xlfn.XLOOKUP("[S10_InstallationsComplianceMeasures][2][ComplianceMeasuresYesNo]",Submission!$O:$O,Submission!$H:$N,""))</f>
        <v>No</v>
      </c>
      <c r="I8" s="72" t="str">
        <f>_xlfn.CONCAT(_xlfn.XLOOKUP("[S10_InstallationsComplianceMeasures][2][ComplianceMeasuresComment]",Submission!$O:$O,Submission!$H:$N,""))</f>
        <v>Not applicable.</v>
      </c>
    </row>
    <row r="9" spans="1:9" s="58" customFormat="1" ht="25.2" customHeight="1" x14ac:dyDescent="0.3">
      <c r="A9" s="75"/>
      <c r="C9" s="246" t="s">
        <v>1283</v>
      </c>
      <c r="D9" s="263"/>
      <c r="E9" s="263"/>
      <c r="F9" s="263"/>
      <c r="G9" s="264"/>
      <c r="H9" s="47" t="str">
        <f>_xlfn.CONCAT(_xlfn.XLOOKUP("[S10_InstallationsComplianceMeasures][3][ComplianceMeasuresYesNo]",Submission!$O:$O,Submission!$H:$N,""))</f>
        <v>No</v>
      </c>
      <c r="I9" s="72" t="str">
        <f>_xlfn.CONCAT(_xlfn.XLOOKUP("[S10_InstallationsComplianceMeasures][3][ComplianceMeasuresComment]",Submission!$O:$O,Submission!$H:$N,""))</f>
        <v>Not applicable.</v>
      </c>
    </row>
    <row r="10" spans="1:9" s="58" customFormat="1" ht="25.2" customHeight="1" x14ac:dyDescent="0.3">
      <c r="A10" s="75"/>
      <c r="C10" s="246" t="s">
        <v>1284</v>
      </c>
      <c r="D10" s="263"/>
      <c r="E10" s="263"/>
      <c r="F10" s="263"/>
      <c r="G10" s="264"/>
      <c r="H10" s="47" t="str">
        <f>_xlfn.CONCAT(_xlfn.XLOOKUP("[S10_InstallationsComplianceMeasures][4][ComplianceMeasuresYesNo]",Submission!$O:$O,Submission!$H:$N,""))</f>
        <v>No</v>
      </c>
      <c r="I10" s="72" t="str">
        <f>_xlfn.CONCAT(_xlfn.XLOOKUP("[S10_InstallationsComplianceMeasures][4][ComplianceMeasuresComment]",Submission!$O:$O,Submission!$H:$N,""))</f>
        <v>Not applicable.</v>
      </c>
    </row>
    <row r="11" spans="1:9" s="58" customFormat="1" ht="25.2" customHeight="1" x14ac:dyDescent="0.3">
      <c r="A11" s="75"/>
      <c r="C11" s="246" t="s">
        <v>697</v>
      </c>
      <c r="D11" s="264"/>
      <c r="E11" s="284" t="str">
        <f>_xlfn.CONCAT(_xlfn.XLOOKUP("[S10_InstallationsComplianceMeasures][5][ComplianceMeasuresOther]",Submission!$O:$O,Submission!$H:$N,""))</f>
        <v/>
      </c>
      <c r="F11" s="348"/>
      <c r="G11" s="285"/>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6" t="s">
        <v>1257</v>
      </c>
      <c r="D12" s="264"/>
      <c r="E12" s="284" t="str">
        <f>_xlfn.CONCAT(_xlfn.XLOOKUP("[S10_InstallationsComplianceMeasures][6][ComplianceMeasuresOther]",Submission!$O:$O,Submission!$H:$N,""))</f>
        <v/>
      </c>
      <c r="F12" s="348"/>
      <c r="G12" s="285"/>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6" t="s">
        <v>1258</v>
      </c>
      <c r="D13" s="264"/>
      <c r="E13" s="284" t="str">
        <f>_xlfn.CONCAT(_xlfn.XLOOKUP("[S10_InstallationsComplianceMeasures][7][ComplianceMeasuresOther]",Submission!$O:$O,Submission!$H:$N,""))</f>
        <v/>
      </c>
      <c r="F13" s="348"/>
      <c r="G13" s="285"/>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6" t="s">
        <v>1259</v>
      </c>
      <c r="D14" s="264"/>
      <c r="E14" s="284" t="str">
        <f>_xlfn.CONCAT(_xlfn.XLOOKUP("[S10_InstallationsComplianceMeasures][8][ComplianceMeasuresOther]",Submission!$O:$O,Submission!$H:$N,""))</f>
        <v/>
      </c>
      <c r="F14" s="348"/>
      <c r="G14" s="285"/>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77" t="s">
        <v>1285</v>
      </c>
      <c r="C17" s="403"/>
      <c r="D17" s="403"/>
      <c r="E17" s="403"/>
      <c r="F17" s="403"/>
      <c r="G17" s="403"/>
      <c r="H17" s="403"/>
      <c r="I17" s="403"/>
    </row>
    <row r="18" spans="1:9" ht="32.1" customHeight="1" x14ac:dyDescent="0.3">
      <c r="A18" s="13"/>
      <c r="B18" s="293" t="s">
        <v>1286</v>
      </c>
      <c r="C18" s="294"/>
      <c r="D18" s="294"/>
      <c r="E18" s="294"/>
      <c r="F18" s="294"/>
      <c r="G18" s="294"/>
      <c r="H18" s="294"/>
      <c r="I18" s="294"/>
    </row>
    <row r="19" spans="1:9" x14ac:dyDescent="0.3">
      <c r="A19" s="13"/>
      <c r="C19" s="524" t="s">
        <v>1224</v>
      </c>
      <c r="D19" s="524"/>
      <c r="E19" s="524" t="s">
        <v>1225</v>
      </c>
      <c r="F19" s="524"/>
      <c r="G19" s="524" t="s">
        <v>1226</v>
      </c>
      <c r="H19" s="524"/>
      <c r="I19" s="527" t="s">
        <v>1227</v>
      </c>
    </row>
    <row r="20" spans="1:9" ht="15.9" customHeight="1" x14ac:dyDescent="0.3">
      <c r="A20" s="13"/>
      <c r="C20" s="524"/>
      <c r="D20" s="524"/>
      <c r="E20" s="43" t="s">
        <v>1228</v>
      </c>
      <c r="F20" s="43" t="s">
        <v>1229</v>
      </c>
      <c r="G20" s="43" t="s">
        <v>1228</v>
      </c>
      <c r="H20" s="43" t="s">
        <v>1229</v>
      </c>
      <c r="I20" s="528"/>
    </row>
    <row r="21" spans="1:9" ht="33" customHeight="1" x14ac:dyDescent="0.3">
      <c r="A21" s="13"/>
      <c r="C21" s="246" t="s">
        <v>1287</v>
      </c>
      <c r="D21" s="239"/>
      <c r="E21" s="105" t="str">
        <f>_xlfn.CONCAT(_xlfn.XLOOKUP("[S10_InstallationsInfringementPenalties]["&amp;ROW(B21)-ROW($B$20)&amp;"][MinFine]",Submission!$O:$O,Submission!$H:$N,""))</f>
        <v>10000</v>
      </c>
      <c r="F21" s="105" t="str">
        <f>_xlfn.CONCAT(_xlfn.XLOOKUP("[S10_InstallationsInfringementPenalties]["&amp;ROW(B21)-ROW($B$20)&amp;"][MaxFine]",Submission!$O:$O,Submission!$H:$N,""))</f>
        <v>100000</v>
      </c>
      <c r="G21" s="105" t="str">
        <f>_xlfn.CONCAT(_xlfn.XLOOKUP("[S10_InstallationsInfringementPenalties]["&amp;ROW(B21)-ROW($B$20)&amp;"][PrisonMin]",Submission!$O:$O,Submission!$H:$N,""))</f>
        <v/>
      </c>
      <c r="H21" s="105" t="str">
        <f>_xlfn.CONCAT(_xlfn.XLOOKUP("[S10_InstallationsInfringementPenalties]["&amp;ROW(B21)-ROW($B$20)&amp;"][PrisonMax]",Submission!$O:$O,Submission!$H:$N,""))</f>
        <v/>
      </c>
      <c r="I21" s="72" t="str">
        <f>_xlfn.CONCAT(_xlfn.XLOOKUP("[S10_InstallationsInfringementPenalties]["&amp;ROW(B21)-ROW($B$20)&amp;"][OtherPenalty]",Submission!$O:$O,Submission!$H:$N,""))</f>
        <v>Plus Euros 100-600 daily from date of a notice given by the competent authority to the operator.</v>
      </c>
    </row>
    <row r="22" spans="1:9" ht="33" customHeight="1" x14ac:dyDescent="0.3">
      <c r="A22" s="13"/>
      <c r="C22" s="246" t="s">
        <v>1288</v>
      </c>
      <c r="D22" s="239"/>
      <c r="E22" s="105" t="str">
        <f>_xlfn.CONCAT(_xlfn.XLOOKUP("[S10_InstallationsInfringementPenalties]["&amp;ROW(B22)-ROW($B$20)&amp;"][MinFine]",Submission!$O:$O,Submission!$H:$N,""))</f>
        <v/>
      </c>
      <c r="F22" s="105" t="str">
        <f>_xlfn.CONCAT(_xlfn.XLOOKUP("[S10_InstallationsInfringementPenalties]["&amp;ROW(B22)-ROW($B$20)&amp;"][MaxFine]",Submission!$O:$O,Submission!$H:$N,""))</f>
        <v/>
      </c>
      <c r="G22" s="105" t="str">
        <f>_xlfn.CONCAT(_xlfn.XLOOKUP("[S10_InstallationsInfringementPenalties]["&amp;ROW(B22)-ROW($B$20)&amp;"][PrisonMin]",Submission!$O:$O,Submission!$H:$N,""))</f>
        <v/>
      </c>
      <c r="H22" s="105" t="str">
        <f>_xlfn.CONCAT(_xlfn.XLOOKUP("[S10_InstallationsInfringementPenalties]["&amp;ROW(B22)-ROW($B$20)&amp;"][PrisonMax]",Submission!$O:$O,Submission!$H:$N,""))</f>
        <v/>
      </c>
      <c r="I22" s="72" t="str">
        <f>_xlfn.CONCAT(_xlfn.XLOOKUP("[S10_InstallationsInfringementPenalties]["&amp;ROW(B22)-ROW($B$20)&amp;"][OtherPenalty]",Submission!$O:$O,Submission!$H:$N,""))</f>
        <v>Various penalties envisaged according to the nature of the non-compliance.</v>
      </c>
    </row>
    <row r="23" spans="1:9" ht="33" customHeight="1" x14ac:dyDescent="0.3">
      <c r="A23" s="13"/>
      <c r="C23" s="246" t="s">
        <v>1289</v>
      </c>
      <c r="D23" s="239"/>
      <c r="E23" s="105" t="str">
        <f>_xlfn.CONCAT(_xlfn.XLOOKUP("[S10_InstallationsInfringementPenalties]["&amp;ROW(B23)-ROW($B$20)&amp;"][MinFine]",Submission!$O:$O,Submission!$H:$N,""))</f>
        <v>5000</v>
      </c>
      <c r="F23" s="105" t="str">
        <f>_xlfn.CONCAT(_xlfn.XLOOKUP("[S10_InstallationsInfringementPenalties]["&amp;ROW(B23)-ROW($B$20)&amp;"][MaxFine]",Submission!$O:$O,Submission!$H:$N,""))</f>
        <v>50000</v>
      </c>
      <c r="G23" s="105" t="str">
        <f>_xlfn.CONCAT(_xlfn.XLOOKUP("[S10_InstallationsInfringementPenalties]["&amp;ROW(B23)-ROW($B$20)&amp;"][PrisonMin]",Submission!$O:$O,Submission!$H:$N,""))</f>
        <v/>
      </c>
      <c r="H23" s="105" t="str">
        <f>_xlfn.CONCAT(_xlfn.XLOOKUP("[S10_InstallationsInfringementPenalties]["&amp;ROW(B23)-ROW($B$20)&amp;"][PrisonMax]",Submission!$O:$O,Submission!$H:$N,""))</f>
        <v/>
      </c>
      <c r="I23" s="72" t="str">
        <f>_xlfn.CONCAT(_xlfn.XLOOKUP("[S10_InstallationsInfringementPenalties]["&amp;ROW(B23)-ROW($B$20)&amp;"][OtherPenalty]",Submission!$O:$O,Submission!$H:$N,""))</f>
        <v>Plus Euros 100-600 daily from date of a notice given by the competent authority to the operator.</v>
      </c>
    </row>
    <row r="24" spans="1:9" ht="41.4" customHeight="1" x14ac:dyDescent="0.3">
      <c r="A24" s="13"/>
      <c r="C24" s="246" t="s">
        <v>1290</v>
      </c>
      <c r="D24" s="239"/>
      <c r="E24" s="105" t="str">
        <f>_xlfn.CONCAT(_xlfn.XLOOKUP("[S10_InstallationsInfringementPenalties]["&amp;ROW(B24)-ROW($B$20)&amp;"][MinFine]",Submission!$O:$O,Submission!$H:$N,""))</f>
        <v/>
      </c>
      <c r="F24" s="105" t="str">
        <f>_xlfn.CONCAT(_xlfn.XLOOKUP("[S10_InstallationsInfringementPenalties]["&amp;ROW(B24)-ROW($B$20)&amp;"][MaxFine]",Submission!$O:$O,Submission!$H:$N,""))</f>
        <v/>
      </c>
      <c r="G24" s="105" t="str">
        <f>_xlfn.CONCAT(_xlfn.XLOOKUP("[S10_InstallationsInfringementPenalties]["&amp;ROW(B24)-ROW($B$20)&amp;"][PrisonMin]",Submission!$O:$O,Submission!$H:$N,""))</f>
        <v/>
      </c>
      <c r="H24" s="105" t="str">
        <f>_xlfn.CONCAT(_xlfn.XLOOKUP("[S10_InstallationsInfringementPenalties]["&amp;ROW(B24)-ROW($B$20)&amp;"][PrisonMax]",Submission!$O:$O,Submission!$H:$N,""))</f>
        <v/>
      </c>
      <c r="I24" s="72" t="str">
        <f>_xlfn.CONCAT(_xlfn.XLOOKUP("[S10_InstallationsInfringementPenalties]["&amp;ROW(B24)-ROW($B$20)&amp;"][OtherPenalty]",Submission!$O:$O,Submission!$H:$N,""))</f>
        <v/>
      </c>
    </row>
    <row r="25" spans="1:9" ht="33" customHeight="1" x14ac:dyDescent="0.3">
      <c r="C25" s="246" t="s">
        <v>1291</v>
      </c>
      <c r="D25" s="239"/>
      <c r="E25" s="105" t="str">
        <f>_xlfn.CONCAT(_xlfn.XLOOKUP("[S10_InstallationsInfringementPenalties]["&amp;ROW(B25)-ROW($B$20)&amp;"][MinFine]",Submission!$O:$O,Submission!$H:$N,""))</f>
        <v/>
      </c>
      <c r="F25" s="105" t="str">
        <f>_xlfn.CONCAT(_xlfn.XLOOKUP("[S10_InstallationsInfringementPenalties]["&amp;ROW(B25)-ROW($B$20)&amp;"][MaxFine]",Submission!$O:$O,Submission!$H:$N,""))</f>
        <v/>
      </c>
      <c r="G25" s="105" t="str">
        <f>_xlfn.CONCAT(_xlfn.XLOOKUP("[S10_InstallationsInfringementPenalties]["&amp;ROW(B25)-ROW($B$20)&amp;"][PrisonMin]",Submission!$O:$O,Submission!$H:$N,""))</f>
        <v/>
      </c>
      <c r="H25" s="105" t="str">
        <f>_xlfn.CONCAT(_xlfn.XLOOKUP("[S10_InstallationsInfringementPenalties]["&amp;ROW(B25)-ROW($B$20)&amp;"][PrisonMax]",Submission!$O:$O,Submission!$H:$N,""))</f>
        <v/>
      </c>
      <c r="I25" s="72" t="str">
        <f>_xlfn.CONCAT(_xlfn.XLOOKUP("[S10_InstallationsInfringementPenalties]["&amp;ROW(B25)-ROW($B$20)&amp;"][OtherPenalty]",Submission!$O:$O,Submission!$H:$N,""))</f>
        <v/>
      </c>
    </row>
    <row r="26" spans="1:9" ht="41.4" customHeight="1" x14ac:dyDescent="0.3">
      <c r="C26" s="246" t="s">
        <v>1292</v>
      </c>
      <c r="D26" s="239"/>
      <c r="E26" s="105" t="str">
        <f>_xlfn.CONCAT(_xlfn.XLOOKUP("[S10_InstallationsInfringementPenalties]["&amp;ROW(B26)-ROW($B$20)&amp;"][MinFine]",Submission!$O:$O,Submission!$H:$N,""))</f>
        <v>5000</v>
      </c>
      <c r="F26" s="105" t="str">
        <f>_xlfn.CONCAT(_xlfn.XLOOKUP("[S10_InstallationsInfringementPenalties]["&amp;ROW(B26)-ROW($B$20)&amp;"][MaxFine]",Submission!$O:$O,Submission!$H:$N,""))</f>
        <v>50000</v>
      </c>
      <c r="G26" s="105" t="str">
        <f>_xlfn.CONCAT(_xlfn.XLOOKUP("[S10_InstallationsInfringementPenalties]["&amp;ROW(B26)-ROW($B$20)&amp;"][PrisonMin]",Submission!$O:$O,Submission!$H:$N,""))</f>
        <v/>
      </c>
      <c r="H26" s="105" t="str">
        <f>_xlfn.CONCAT(_xlfn.XLOOKUP("[S10_InstallationsInfringementPenalties]["&amp;ROW(B26)-ROW($B$20)&amp;"][PrisonMax]",Submission!$O:$O,Submission!$H:$N,""))</f>
        <v/>
      </c>
      <c r="I26" s="72" t="str">
        <f>_xlfn.CONCAT(_xlfn.XLOOKUP("[S10_InstallationsInfringementPenalties]["&amp;ROW(B26)-ROW($B$20)&amp;"][OtherPenalty]",Submission!$O:$O,Submission!$H:$N,""))</f>
        <v>Plus Euros 100-600 daily from date oof a notice given by the competent authority to the operator.</v>
      </c>
    </row>
    <row r="27" spans="1:9" ht="41.4" customHeight="1" x14ac:dyDescent="0.3">
      <c r="C27" s="246" t="s">
        <v>1293</v>
      </c>
      <c r="D27" s="239"/>
      <c r="E27" s="105" t="str">
        <f>_xlfn.CONCAT(_xlfn.XLOOKUP("[S10_InstallationsInfringementPenalties]["&amp;ROW(B27)-ROW($B$20)&amp;"][MinFine]",Submission!$O:$O,Submission!$H:$N,""))</f>
        <v/>
      </c>
      <c r="F27" s="105" t="str">
        <f>_xlfn.CONCAT(_xlfn.XLOOKUP("[S10_InstallationsInfringementPenalties]["&amp;ROW(B27)-ROW($B$20)&amp;"][MaxFine]",Submission!$O:$O,Submission!$H:$N,""))</f>
        <v/>
      </c>
      <c r="G27" s="105" t="str">
        <f>_xlfn.CONCAT(_xlfn.XLOOKUP("[S10_InstallationsInfringementPenalties]["&amp;ROW(B27)-ROW($B$20)&amp;"][PrisonMin]",Submission!$O:$O,Submission!$H:$N,""))</f>
        <v/>
      </c>
      <c r="H27" s="105" t="str">
        <f>_xlfn.CONCAT(_xlfn.XLOOKUP("[S10_InstallationsInfringementPenalties]["&amp;ROW(B27)-ROW($B$20)&amp;"][PrisonMax]",Submission!$O:$O,Submission!$H:$N,""))</f>
        <v/>
      </c>
      <c r="I27" s="72" t="str">
        <f>_xlfn.CONCAT(_xlfn.XLOOKUP("[S10_InstallationsInfringementPenalties]["&amp;ROW(B27)-ROW($B$20)&amp;"][OtherPenalty]",Submission!$O:$O,Submission!$H:$N,""))</f>
        <v/>
      </c>
    </row>
    <row r="28" spans="1:9" ht="33" customHeight="1" x14ac:dyDescent="0.3">
      <c r="C28" s="246" t="s">
        <v>1294</v>
      </c>
      <c r="D28" s="239"/>
      <c r="E28" s="105" t="str">
        <f>_xlfn.CONCAT(_xlfn.XLOOKUP("[S10_InstallationsInfringementPenalties]["&amp;ROW(B28)-ROW($B$20)&amp;"][MinFine]",Submission!$O:$O,Submission!$H:$N,""))</f>
        <v>5000</v>
      </c>
      <c r="F28" s="105" t="str">
        <f>_xlfn.CONCAT(_xlfn.XLOOKUP("[S10_InstallationsInfringementPenalties]["&amp;ROW(B28)-ROW($B$20)&amp;"][MaxFine]",Submission!$O:$O,Submission!$H:$N,""))</f>
        <v>50000</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Plus Euros 100-600 daily from date of a notice given by the competent authority to the operator.</v>
      </c>
    </row>
    <row r="29" spans="1:9" ht="33" customHeight="1" x14ac:dyDescent="0.3">
      <c r="C29" s="246" t="s">
        <v>1295</v>
      </c>
      <c r="D29" s="239"/>
      <c r="E29" s="105" t="str">
        <f>_xlfn.CONCAT(_xlfn.XLOOKUP("[S10_InstallationsInfringementPenalties]["&amp;ROW(B29)-ROW($B$20)&amp;"][MinFine]",Submission!$O:$O,Submission!$H:$N,""))</f>
        <v/>
      </c>
      <c r="F29" s="105" t="str">
        <f>_xlfn.CONCAT(_xlfn.XLOOKUP("[S10_InstallationsInfringementPenalties]["&amp;ROW(B29)-ROW($B$20)&amp;"][MaxFine]",Submission!$O:$O,Submission!$H:$N,""))</f>
        <v/>
      </c>
      <c r="G29" s="105" t="str">
        <f>_xlfn.CONCAT(_xlfn.XLOOKUP("[S10_InstallationsInfringementPenalties]["&amp;ROW(B29)-ROW($B$20)&amp;"][PrisonMin]",Submission!$O:$O,Submission!$H:$N,""))</f>
        <v/>
      </c>
      <c r="H29" s="105" t="str">
        <f>_xlfn.CONCAT(_xlfn.XLOOKUP("[S10_InstallationsInfringementPenalties]["&amp;ROW(B29)-ROW($B$20)&amp;"][PrisonMax]",Submission!$O:$O,Submission!$H:$N,""))</f>
        <v/>
      </c>
      <c r="I29" s="72" t="str">
        <f>_xlfn.CONCAT(_xlfn.XLOOKUP("[S10_InstallationsInfringementPenalties]["&amp;ROW(B29)-ROW($B$20)&amp;"][OtherPenalty]",Submission!$O:$O,Submission!$H:$N,""))</f>
        <v/>
      </c>
    </row>
    <row r="30" spans="1:9" ht="33" customHeight="1" x14ac:dyDescent="0.3">
      <c r="C30" s="246" t="s">
        <v>1296</v>
      </c>
      <c r="D30" s="239"/>
      <c r="E30" s="105" t="str">
        <f>_xlfn.CONCAT(_xlfn.XLOOKUP("[S10_InstallationsInfringementPenalties]["&amp;ROW(B30)-ROW($B$20)&amp;"][MinFine]",Submission!$O:$O,Submission!$H:$N,""))</f>
        <v/>
      </c>
      <c r="F30" s="105" t="str">
        <f>_xlfn.CONCAT(_xlfn.XLOOKUP("[S10_InstallationsInfringementPenalties]["&amp;ROW(B30)-ROW($B$20)&amp;"][MaxFine]",Submission!$O:$O,Submission!$H:$N,""))</f>
        <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
      </c>
    </row>
    <row r="31" spans="1:9" ht="33" customHeight="1" x14ac:dyDescent="0.3">
      <c r="C31" s="246" t="s">
        <v>1297</v>
      </c>
      <c r="D31" s="239"/>
      <c r="E31" s="105" t="str">
        <f>_xlfn.CONCAT(_xlfn.XLOOKUP("[S10_InstallationsInfringementPenalties]["&amp;ROW(B31)-ROW($B$20)&amp;"][MinFine]",Submission!$O:$O,Submission!$H:$N,""))</f>
        <v/>
      </c>
      <c r="F31" s="105" t="str">
        <f>_xlfn.CONCAT(_xlfn.XLOOKUP("[S10_InstallationsInfringementPenalties]["&amp;ROW(B31)-ROW($B$20)&amp;"][MaxFine]",Submission!$O:$O,Submission!$H:$N,""))</f>
        <v/>
      </c>
      <c r="G31" s="105" t="str">
        <f>_xlfn.CONCAT(_xlfn.XLOOKUP("[S10_InstallationsInfringementPenalties]["&amp;ROW(B31)-ROW($B$20)&amp;"][PrisonMin]",Submission!$O:$O,Submission!$H:$N,""))</f>
        <v/>
      </c>
      <c r="H31" s="105" t="str">
        <f>_xlfn.CONCAT(_xlfn.XLOOKUP("[S10_InstallationsInfringementPenalties]["&amp;ROW(B31)-ROW($B$20)&amp;"][PrisonMax]",Submission!$O:$O,Submission!$H:$N,""))</f>
        <v/>
      </c>
      <c r="I31" s="72" t="str">
        <f>_xlfn.CONCAT(_xlfn.XLOOKUP("[S10_InstallationsInfringementPenalties]["&amp;ROW(B31)-ROW($B$20)&amp;"][OtherPenalty]",Submission!$O:$O,Submission!$H:$N,""))</f>
        <v/>
      </c>
    </row>
    <row r="32" spans="1:9" ht="33" customHeight="1" x14ac:dyDescent="0.3">
      <c r="C32" s="93" t="s">
        <v>1234</v>
      </c>
      <c r="D32" s="72" t="str">
        <f>_xlfn.CONCAT(_xlfn.XLOOKUP("[S10_InstallationsInfringementPenalties]["&amp;ROW(B32)-ROW($B$20)&amp;"][InfringementOther]",Submission!$O:$O,Submission!$H:$N,""))</f>
        <v>Failure to notify planned or effective changes to capacity, activity levels and operation of an installations by 31 December of the reporting period in accordance with Article 24 of Decision 2011/278/EU</v>
      </c>
      <c r="E32" s="105" t="str">
        <f>_xlfn.CONCAT(_xlfn.XLOOKUP("[S10_InstallationsInfringementPenalties]["&amp;ROW(B32)-ROW($B$20)&amp;"][MinFine]",Submission!$O:$O,Submission!$H:$N,""))</f>
        <v>5000</v>
      </c>
      <c r="F32" s="105" t="str">
        <f>_xlfn.CONCAT(_xlfn.XLOOKUP("[S10_InstallationsInfringementPenalties]["&amp;ROW(B32)-ROW($B$20)&amp;"][MaxFine]",Submission!$O:$O,Submission!$H:$N,""))</f>
        <v>50000</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Failure to notify a change in the name of the operator of the installation.</v>
      </c>
      <c r="E33" s="105" t="str">
        <f>_xlfn.CONCAT(_xlfn.XLOOKUP("[S10_InstallationsInfringementPenalties]["&amp;ROW(B33)-ROW($B$20)&amp;"][MinFine]",Submission!$O:$O,Submission!$H:$N,""))</f>
        <v>1000</v>
      </c>
      <c r="F33" s="105" t="str">
        <f>_xlfn.CONCAT(_xlfn.XLOOKUP("[S10_InstallationsInfringementPenalties]["&amp;ROW(B33)-ROW($B$20)&amp;"][MaxFine]",Submission!$O:$O,Submission!$H:$N,""))</f>
        <v>10000</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293" t="s">
        <v>1298</v>
      </c>
      <c r="C59" s="294"/>
      <c r="D59" s="294"/>
      <c r="E59" s="294"/>
      <c r="F59" s="294"/>
      <c r="G59" s="294"/>
      <c r="H59" s="294"/>
      <c r="I59" s="294"/>
    </row>
    <row r="60" spans="1:9" ht="15.9" customHeight="1" x14ac:dyDescent="0.3">
      <c r="B60" s="18"/>
      <c r="C60" s="552" t="str">
        <f>_xlfn.CONCAT(_xlfn.XLOOKUP("[InstallationsNationalLaw][0][InstallationsNationalLaw]",Submission!$O:$O,Submission!$H:$N,""))</f>
        <v>Subsidiary Legislation 423.50 European Union Greenhouse Gas Emissions Trading System for Stationary Installations Regulations (Chap 423)</v>
      </c>
      <c r="D60" s="552"/>
      <c r="E60" s="552"/>
      <c r="F60" s="552"/>
      <c r="G60" s="552"/>
      <c r="H60" s="552"/>
      <c r="I60" s="552"/>
    </row>
    <row r="61" spans="1:9" ht="15.9" customHeight="1" x14ac:dyDescent="0.3"/>
    <row r="62" spans="1:9" ht="32.1" customHeight="1" x14ac:dyDescent="0.3">
      <c r="A62" s="12" t="s">
        <v>579</v>
      </c>
      <c r="B62" s="293" t="s">
        <v>1238</v>
      </c>
      <c r="C62" s="294"/>
      <c r="D62" s="294"/>
      <c r="E62" s="294"/>
      <c r="F62" s="294"/>
      <c r="G62" s="294"/>
      <c r="H62" s="294"/>
      <c r="I62" s="294"/>
    </row>
    <row r="63" spans="1:9" ht="15.9" customHeight="1" x14ac:dyDescent="0.3">
      <c r="A63" s="13"/>
      <c r="C63" s="551" t="s">
        <v>1299</v>
      </c>
      <c r="D63" s="551"/>
      <c r="E63" s="551"/>
      <c r="F63" s="551"/>
      <c r="G63" s="551"/>
      <c r="H63" s="551"/>
      <c r="I63" s="551"/>
    </row>
    <row r="64" spans="1:9" ht="25.5" customHeight="1" x14ac:dyDescent="0.3">
      <c r="A64" s="13"/>
      <c r="C64" s="547" t="s">
        <v>1224</v>
      </c>
      <c r="D64" s="548"/>
      <c r="E64" s="315" t="s">
        <v>1240</v>
      </c>
      <c r="F64" s="379"/>
      <c r="G64" s="336"/>
      <c r="H64" s="525" t="s">
        <v>1300</v>
      </c>
      <c r="I64" s="525" t="s">
        <v>1242</v>
      </c>
    </row>
    <row r="65" spans="1:9" ht="31.2" customHeight="1" x14ac:dyDescent="0.3">
      <c r="A65" s="13"/>
      <c r="C65" s="549"/>
      <c r="D65" s="550"/>
      <c r="E65" s="46" t="s">
        <v>1225</v>
      </c>
      <c r="F65" s="46" t="s">
        <v>1226</v>
      </c>
      <c r="G65" s="46" t="s">
        <v>1227</v>
      </c>
      <c r="H65" s="526"/>
      <c r="I65" s="526"/>
    </row>
    <row r="66" spans="1:9" ht="41.4" customHeight="1" x14ac:dyDescent="0.3">
      <c r="A66" s="13"/>
      <c r="C66" s="284" t="str">
        <f>_xlfn.CONCAT(_xlfn.XLOOKUP("[S10_InstallationsPenaltiesImposed][1][InfringementType]",Submission!$O:$O,Submission!$H:$N,""))</f>
        <v/>
      </c>
      <c r="D66" s="285"/>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84" t="str">
        <f>_xlfn.CONCAT(_xlfn.XLOOKUP("[S10_InstallationsPenaltiesImposed][2][InfringementType]",Submission!$O:$O,Submission!$H:$N,""))</f>
        <v/>
      </c>
      <c r="D67" s="285"/>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84" t="str">
        <f>_xlfn.CONCAT(_xlfn.XLOOKUP("[S10_InstallationsPenaltiesImposed][3][InfringementType]",Submission!$O:$O,Submission!$H:$N,""))</f>
        <v/>
      </c>
      <c r="D68" s="285"/>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84" t="str">
        <f>_xlfn.CONCAT(_xlfn.XLOOKUP("[S10_InstallationsPenaltiesImposed][4][InfringementType]",Submission!$O:$O,Submission!$H:$N,""))</f>
        <v/>
      </c>
      <c r="D69" s="285"/>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84" t="str">
        <f>_xlfn.CONCAT(_xlfn.XLOOKUP("[S10_InstallationsPenaltiesImposed][5][InfringementType]",Submission!$O:$O,Submission!$H:$N,""))</f>
        <v/>
      </c>
      <c r="D70" s="285"/>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84" t="str">
        <f>_xlfn.CONCAT(_xlfn.XLOOKUP("[S10_InstallationsPenaltiesImposed][6][InfringementType]",Submission!$O:$O,Submission!$H:$N,""))</f>
        <v/>
      </c>
      <c r="D71" s="285"/>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84" t="str">
        <f>_xlfn.CONCAT(_xlfn.XLOOKUP("[S10_InstallationsPenaltiesImposed][7][InfringementType]",Submission!$O:$O,Submission!$H:$N,""))</f>
        <v/>
      </c>
      <c r="D72" s="285"/>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84" t="str">
        <f>_xlfn.CONCAT(_xlfn.XLOOKUP("[S10_InstallationsPenaltiesImposed][8][InfringementType]",Submission!$O:$O,Submission!$H:$N,""))</f>
        <v/>
      </c>
      <c r="D73" s="285"/>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84" t="str">
        <f>_xlfn.CONCAT(_xlfn.XLOOKUP("[S10_InstallationsPenaltiesImposed][9][InfringementType]",Submission!$O:$O,Submission!$H:$N,""))</f>
        <v/>
      </c>
      <c r="D74" s="285"/>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84" t="str">
        <f>_xlfn.CONCAT(_xlfn.XLOOKUP("[S10_InstallationsPenaltiesImposed][10][InfringementType]",Submission!$O:$O,Submission!$H:$N,""))</f>
        <v/>
      </c>
      <c r="D75" s="285"/>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84" t="str">
        <f>_xlfn.CONCAT(_xlfn.XLOOKUP("[S10_InstallationsPenaltiesImposed][11][InfringementType]",Submission!$O:$O,Submission!$H:$N,""))</f>
        <v/>
      </c>
      <c r="D76" s="285"/>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84" t="str">
        <f>_xlfn.CONCAT(_xlfn.XLOOKUP("[S10_InstallationsPenaltiesImposed][12][InfringementType]",Submission!$O:$O,Submission!$H:$N,""))</f>
        <v/>
      </c>
      <c r="D77" s="285"/>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84" t="str">
        <f>_xlfn.CONCAT(_xlfn.XLOOKUP("[S10_InstallationsPenaltiesImposed][13][InfringementType]",Submission!$O:$O,Submission!$H:$N,""))</f>
        <v/>
      </c>
      <c r="D78" s="285"/>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84" t="str">
        <f>_xlfn.CONCAT(_xlfn.XLOOKUP("[S10_InstallationsPenaltiesImposed][14][InfringementType]",Submission!$O:$O,Submission!$H:$N,""))</f>
        <v/>
      </c>
      <c r="D79" s="285"/>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84" t="str">
        <f>_xlfn.CONCAT(_xlfn.XLOOKUP("[S10_InstallationsPenaltiesImposed][15][InfringementType]",Submission!$O:$O,Submission!$H:$N,""))</f>
        <v/>
      </c>
      <c r="D80" s="285"/>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84" t="str">
        <f>_xlfn.CONCAT(_xlfn.XLOOKUP("[S10_InstallationsPenaltiesImposed][16][InfringementType]",Submission!$O:$O,Submission!$H:$N,""))</f>
        <v/>
      </c>
      <c r="D81" s="285"/>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84" t="str">
        <f>_xlfn.CONCAT(_xlfn.XLOOKUP("[S10_InstallationsPenaltiesImposed][17][InfringementType]",Submission!$O:$O,Submission!$H:$N,""))</f>
        <v/>
      </c>
      <c r="D82" s="285"/>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84" t="str">
        <f>_xlfn.CONCAT(_xlfn.XLOOKUP("[S10_InstallationsPenaltiesImposed][18][InfringementType]",Submission!$O:$O,Submission!$H:$N,""))</f>
        <v/>
      </c>
      <c r="D83" s="285"/>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84" t="str">
        <f>_xlfn.CONCAT(_xlfn.XLOOKUP("[S10_InstallationsPenaltiesImposed][19][InfringementType]",Submission!$O:$O,Submission!$H:$N,""))</f>
        <v/>
      </c>
      <c r="D84" s="285"/>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84" t="str">
        <f>_xlfn.CONCAT(_xlfn.XLOOKUP("[S10_InstallationsPenaltiesImposed][20][InfringementType]",Submission!$O:$O,Submission!$H:$N,""))</f>
        <v/>
      </c>
      <c r="D85" s="285"/>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84" t="str">
        <f>_xlfn.CONCAT(_xlfn.XLOOKUP("[S10_InstallationsPenaltiesImposed][21][InfringementType]",Submission!$O:$O,Submission!$H:$N,""))</f>
        <v/>
      </c>
      <c r="D86" s="285"/>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84" t="str">
        <f>_xlfn.CONCAT(_xlfn.XLOOKUP("[S10_InstallationsPenaltiesImposed][22][InfringementType]",Submission!$O:$O,Submission!$H:$N,""))</f>
        <v/>
      </c>
      <c r="D87" s="285"/>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507" t="s">
        <v>1244</v>
      </c>
      <c r="C90" s="507"/>
      <c r="D90" s="507"/>
      <c r="E90" s="507"/>
      <c r="F90" s="507"/>
      <c r="G90" s="507"/>
      <c r="H90" s="508"/>
      <c r="I90" s="41" t="str">
        <f>_xlfn.CONCAT(_xlfn.XLOOKUP("[InstallationsPriorPenaltiesEnforced][0][InstallationsPriorPenaltiesEnforced]",Submission!$O:$O,Submission!$H:$N,""))</f>
        <v/>
      </c>
    </row>
    <row r="91" spans="1:9" ht="16.2" customHeight="1" x14ac:dyDescent="0.3">
      <c r="B91" s="293" t="s">
        <v>1245</v>
      </c>
      <c r="C91" s="294"/>
      <c r="D91" s="294"/>
      <c r="E91" s="294"/>
      <c r="F91" s="294"/>
      <c r="G91" s="294"/>
      <c r="H91" s="294"/>
      <c r="I91" s="294"/>
    </row>
    <row r="92" spans="1:9" x14ac:dyDescent="0.3">
      <c r="C92" s="444" t="s">
        <v>1224</v>
      </c>
      <c r="D92" s="445"/>
      <c r="E92" s="446"/>
      <c r="F92" s="444" t="s">
        <v>1246</v>
      </c>
      <c r="G92" s="446"/>
      <c r="H92" s="444" t="s">
        <v>1247</v>
      </c>
      <c r="I92" s="446"/>
    </row>
    <row r="93" spans="1:9" x14ac:dyDescent="0.3">
      <c r="C93" s="251" t="str">
        <f>_xlfn.CONCAT(_xlfn.XLOOKUP("[S10_InstallationsPriorPenaltiesEnforcedDetail][1][TypeInfringement]",Submission!$O:$O,Submission!$H:$N,""))</f>
        <v/>
      </c>
      <c r="D93" s="468"/>
      <c r="E93" s="252"/>
      <c r="F93" s="251" t="str">
        <f>_xlfn.CONCAT(_xlfn.XLOOKUP("[S10_InstallationsPriorPenaltiesEnforcedDetail][1][TypePenalty]",Submission!$O:$O,Submission!$H:$N,""))</f>
        <v/>
      </c>
      <c r="G93" s="252"/>
      <c r="H93" s="251" t="str">
        <f>_xlfn.CONCAT(_xlfn.XLOOKUP("[S10_InstallationsPriorPenaltiesEnforcedDetail][1][ReportinYear]",Submission!$O:$O,Submission!$H:$N,""))</f>
        <v/>
      </c>
      <c r="I93" s="252"/>
    </row>
    <row r="94" spans="1:9" x14ac:dyDescent="0.3">
      <c r="C94" s="251" t="str">
        <f>_xlfn.CONCAT(_xlfn.XLOOKUP("[S10_InstallationsPriorPenaltiesEnforcedDetail][2][TypeInfringement]",Submission!$O:$O,Submission!$H:$N,""))</f>
        <v/>
      </c>
      <c r="D94" s="468"/>
      <c r="E94" s="252"/>
      <c r="F94" s="251" t="str">
        <f>_xlfn.CONCAT(_xlfn.XLOOKUP("[S10_InstallationsPriorPenaltiesEnforcedDetail][2][TypePenalty]",Submission!$O:$O,Submission!$H:$N,""))</f>
        <v/>
      </c>
      <c r="G94" s="252"/>
      <c r="H94" s="251" t="str">
        <f>_xlfn.CONCAT(_xlfn.XLOOKUP("[S10_InstallationsPriorPenaltiesEnforcedDetail][2][ReportinYear]",Submission!$O:$O,Submission!$H:$N,""))</f>
        <v/>
      </c>
      <c r="I94" s="252"/>
    </row>
    <row r="95" spans="1:9" x14ac:dyDescent="0.3">
      <c r="C95" s="251" t="str">
        <f>_xlfn.CONCAT(_xlfn.XLOOKUP("[S10_InstallationsPriorPenaltiesEnforcedDetail][3][TypeInfringement]",Submission!$O:$O,Submission!$H:$N,""))</f>
        <v/>
      </c>
      <c r="D95" s="468"/>
      <c r="E95" s="252"/>
      <c r="F95" s="251" t="str">
        <f>_xlfn.CONCAT(_xlfn.XLOOKUP("[S10_InstallationsPriorPenaltiesEnforcedDetail][3][TypePenalty]",Submission!$O:$O,Submission!$H:$N,""))</f>
        <v/>
      </c>
      <c r="G95" s="252"/>
      <c r="H95" s="251" t="str">
        <f>_xlfn.CONCAT(_xlfn.XLOOKUP("[S10_InstallationsPriorPenaltiesEnforcedDetail][3][ReportinYear]",Submission!$O:$O,Submission!$H:$N,""))</f>
        <v/>
      </c>
      <c r="I95" s="252"/>
    </row>
    <row r="96" spans="1:9" x14ac:dyDescent="0.3">
      <c r="C96" s="251" t="str">
        <f>_xlfn.CONCAT(_xlfn.XLOOKUP("[S10_InstallationsPriorPenaltiesEnforcedDetail][4][TypeInfringement]",Submission!$O:$O,Submission!$H:$N,""))</f>
        <v/>
      </c>
      <c r="D96" s="468"/>
      <c r="E96" s="252"/>
      <c r="F96" s="251" t="str">
        <f>_xlfn.CONCAT(_xlfn.XLOOKUP("[S10_InstallationsPriorPenaltiesEnforcedDetail][4][TypePenalty]",Submission!$O:$O,Submission!$H:$N,""))</f>
        <v/>
      </c>
      <c r="G96" s="252"/>
      <c r="H96" s="251" t="str">
        <f>_xlfn.CONCAT(_xlfn.XLOOKUP("[S10_InstallationsPriorPenaltiesEnforcedDetail][4][ReportinYear]",Submission!$O:$O,Submission!$H:$N,""))</f>
        <v/>
      </c>
      <c r="I96" s="252"/>
    </row>
    <row r="97" spans="2:10" x14ac:dyDescent="0.3">
      <c r="C97" s="251" t="str">
        <f>_xlfn.CONCAT(_xlfn.XLOOKUP("[S10_InstallationsPriorPenaltiesEnforcedDetail][5][TypeInfringement]",Submission!$O:$O,Submission!$H:$N,""))</f>
        <v/>
      </c>
      <c r="D97" s="468"/>
      <c r="E97" s="252"/>
      <c r="F97" s="251" t="str">
        <f>_xlfn.CONCAT(_xlfn.XLOOKUP("[S10_InstallationsPriorPenaltiesEnforcedDetail][5][TypePenalty]",Submission!$O:$O,Submission!$H:$N,""))</f>
        <v/>
      </c>
      <c r="G97" s="252"/>
      <c r="H97" s="251" t="str">
        <f>_xlfn.CONCAT(_xlfn.XLOOKUP("[S10_InstallationsPriorPenaltiesEnforcedDetail][5][ReportinYear]",Submission!$O:$O,Submission!$H:$N,""))</f>
        <v/>
      </c>
      <c r="I97" s="252"/>
    </row>
    <row r="98" spans="2:10" hidden="1" outlineLevel="1" x14ac:dyDescent="0.3">
      <c r="C98" s="251" t="str">
        <f>_xlfn.CONCAT(_xlfn.XLOOKUP("[S10_InstallationsPriorPenaltiesEnforcedDetail][6][TypeInfringement]",Submission!$O:$O,Submission!$H:$N,""))</f>
        <v/>
      </c>
      <c r="D98" s="468"/>
      <c r="E98" s="252"/>
      <c r="F98" s="251" t="str">
        <f>_xlfn.CONCAT(_xlfn.XLOOKUP("[S10_InstallationsPriorPenaltiesEnforcedDetail][6][TypePenalty]",Submission!$O:$O,Submission!$H:$N,""))</f>
        <v/>
      </c>
      <c r="G98" s="252"/>
      <c r="H98" s="251" t="str">
        <f>_xlfn.CONCAT(_xlfn.XLOOKUP("[S10_InstallationsPriorPenaltiesEnforcedDetail][6][ReportinYear]",Submission!$O:$O,Submission!$H:$N,""))</f>
        <v/>
      </c>
      <c r="I98" s="252"/>
    </row>
    <row r="99" spans="2:10" hidden="1" outlineLevel="1" x14ac:dyDescent="0.3">
      <c r="C99" s="251" t="str">
        <f>_xlfn.CONCAT(_xlfn.XLOOKUP("[S10_InstallationsPriorPenaltiesEnforcedDetail][7][TypeInfringement]",Submission!$O:$O,Submission!$H:$N,""))</f>
        <v/>
      </c>
      <c r="D99" s="468"/>
      <c r="E99" s="252"/>
      <c r="F99" s="251" t="str">
        <f>_xlfn.CONCAT(_xlfn.XLOOKUP("[S10_InstallationsPriorPenaltiesEnforcedDetail][7][TypePenalty]",Submission!$O:$O,Submission!$H:$N,""))</f>
        <v/>
      </c>
      <c r="G99" s="252"/>
      <c r="H99" s="251" t="str">
        <f>_xlfn.CONCAT(_xlfn.XLOOKUP("[S10_InstallationsPriorPenaltiesEnforcedDetail][7][ReportinYear]",Submission!$O:$O,Submission!$H:$N,""))</f>
        <v/>
      </c>
      <c r="I99" s="252"/>
    </row>
    <row r="100" spans="2:10" hidden="1" outlineLevel="1" x14ac:dyDescent="0.3">
      <c r="C100" s="251" t="str">
        <f>_xlfn.CONCAT(_xlfn.XLOOKUP("[S10_InstallationsPriorPenaltiesEnforcedDetail][8][TypeInfringement]",Submission!$O:$O,Submission!$H:$N,""))</f>
        <v/>
      </c>
      <c r="D100" s="468"/>
      <c r="E100" s="252"/>
      <c r="F100" s="251" t="str">
        <f>_xlfn.CONCAT(_xlfn.XLOOKUP("[S10_InstallationsPriorPenaltiesEnforcedDetail][8][TypePenalty]",Submission!$O:$O,Submission!$H:$N,""))</f>
        <v/>
      </c>
      <c r="G100" s="252"/>
      <c r="H100" s="251" t="str">
        <f>_xlfn.CONCAT(_xlfn.XLOOKUP("[S10_InstallationsPriorPenaltiesEnforcedDetail][8][ReportinYear]",Submission!$O:$O,Submission!$H:$N,""))</f>
        <v/>
      </c>
      <c r="I100" s="252"/>
    </row>
    <row r="101" spans="2:10" hidden="1" outlineLevel="1" x14ac:dyDescent="0.3">
      <c r="C101" s="251" t="str">
        <f>_xlfn.CONCAT(_xlfn.XLOOKUP("[S10_InstallationsPriorPenaltiesEnforcedDetail][9][TypeInfringement]",Submission!$O:$O,Submission!$H:$N,""))</f>
        <v/>
      </c>
      <c r="D101" s="468"/>
      <c r="E101" s="252"/>
      <c r="F101" s="251" t="str">
        <f>_xlfn.CONCAT(_xlfn.XLOOKUP("[S10_InstallationsPriorPenaltiesEnforcedDetail][9][TypePenalty]",Submission!$O:$O,Submission!$H:$N,""))</f>
        <v/>
      </c>
      <c r="G101" s="252"/>
      <c r="H101" s="251" t="str">
        <f>_xlfn.CONCAT(_xlfn.XLOOKUP("[S10_InstallationsPriorPenaltiesEnforcedDetail][9][ReportinYear]",Submission!$O:$O,Submission!$H:$N,""))</f>
        <v/>
      </c>
      <c r="I101" s="252"/>
    </row>
    <row r="102" spans="2:10" hidden="1" outlineLevel="1" x14ac:dyDescent="0.3">
      <c r="C102" s="251" t="str">
        <f>_xlfn.CONCAT(_xlfn.XLOOKUP("[S10_InstallationsPriorPenaltiesEnforcedDetail][10][TypeInfringement]",Submission!$O:$O,Submission!$H:$N,""))</f>
        <v/>
      </c>
      <c r="D102" s="468"/>
      <c r="E102" s="252"/>
      <c r="F102" s="251" t="str">
        <f>_xlfn.CONCAT(_xlfn.XLOOKUP("[S10_InstallationsPriorPenaltiesEnforcedDetail][10][TypePenalty]",Submission!$O:$O,Submission!$H:$N,""))</f>
        <v/>
      </c>
      <c r="G102" s="252"/>
      <c r="H102" s="251" t="str">
        <f>_xlfn.CONCAT(_xlfn.XLOOKUP("[S10_InstallationsPriorPenaltiesEnforcedDetail][10][ReportinYear]",Submission!$O:$O,Submission!$H:$N,""))</f>
        <v/>
      </c>
      <c r="I102" s="252"/>
    </row>
    <row r="103" spans="2:10" hidden="1" outlineLevel="1" x14ac:dyDescent="0.3">
      <c r="C103" s="251" t="str">
        <f>_xlfn.CONCAT(_xlfn.XLOOKUP("[S10_InstallationsPriorPenaltiesEnforcedDetail][11][TypeInfringement]",Submission!$O:$O,Submission!$H:$N,""))</f>
        <v/>
      </c>
      <c r="D103" s="468"/>
      <c r="E103" s="252"/>
      <c r="F103" s="251" t="str">
        <f>_xlfn.CONCAT(_xlfn.XLOOKUP("[S10_InstallationsPriorPenaltiesEnforcedDetail][11][TypePenalty]",Submission!$O:$O,Submission!$H:$N,""))</f>
        <v/>
      </c>
      <c r="G103" s="252"/>
      <c r="H103" s="251" t="str">
        <f>_xlfn.CONCAT(_xlfn.XLOOKUP("[S10_InstallationsPriorPenaltiesEnforcedDetail][11][ReportinYear]",Submission!$O:$O,Submission!$H:$N,""))</f>
        <v/>
      </c>
      <c r="I103" s="252"/>
    </row>
    <row r="104" spans="2:10" hidden="1" outlineLevel="1" x14ac:dyDescent="0.3">
      <c r="C104" s="251" t="str">
        <f>_xlfn.CONCAT(_xlfn.XLOOKUP("[S10_InstallationsPriorPenaltiesEnforcedDetail][12][TypeInfringement]",Submission!$O:$O,Submission!$H:$N,""))</f>
        <v/>
      </c>
      <c r="D104" s="468"/>
      <c r="E104" s="252"/>
      <c r="F104" s="251" t="str">
        <f>_xlfn.CONCAT(_xlfn.XLOOKUP("[S10_InstallationsPriorPenaltiesEnforcedDetail][12][TypePenalty]",Submission!$O:$O,Submission!$H:$N,""))</f>
        <v/>
      </c>
      <c r="G104" s="252"/>
      <c r="H104" s="251" t="str">
        <f>_xlfn.CONCAT(_xlfn.XLOOKUP("[S10_InstallationsPriorPenaltiesEnforcedDetail][12][ReportinYear]",Submission!$O:$O,Submission!$H:$N,""))</f>
        <v/>
      </c>
      <c r="I104" s="252"/>
    </row>
    <row r="105" spans="2:10" hidden="1" outlineLevel="1" x14ac:dyDescent="0.3">
      <c r="C105" s="251" t="str">
        <f>_xlfn.CONCAT(_xlfn.XLOOKUP("[S10_InstallationsPriorPenaltiesEnforcedDetail][13][TypeInfringement]",Submission!$O:$O,Submission!$H:$N,""))</f>
        <v/>
      </c>
      <c r="D105" s="468"/>
      <c r="E105" s="252"/>
      <c r="F105" s="251" t="str">
        <f>_xlfn.CONCAT(_xlfn.XLOOKUP("[S10_InstallationsPriorPenaltiesEnforcedDetail][13][TypePenalty]",Submission!$O:$O,Submission!$H:$N,""))</f>
        <v/>
      </c>
      <c r="G105" s="252"/>
      <c r="H105" s="251" t="str">
        <f>_xlfn.CONCAT(_xlfn.XLOOKUP("[S10_InstallationsPriorPenaltiesEnforcedDetail][13][ReportinYear]",Submission!$O:$O,Submission!$H:$N,""))</f>
        <v/>
      </c>
      <c r="I105" s="252"/>
    </row>
    <row r="106" spans="2:10" hidden="1" outlineLevel="1" x14ac:dyDescent="0.3">
      <c r="C106" s="251" t="str">
        <f>_xlfn.CONCAT(_xlfn.XLOOKUP("[S10_InstallationsPriorPenaltiesEnforcedDetail][14][TypeInfringement]",Submission!$O:$O,Submission!$H:$N,""))</f>
        <v/>
      </c>
      <c r="D106" s="468"/>
      <c r="E106" s="252"/>
      <c r="F106" s="251" t="str">
        <f>_xlfn.CONCAT(_xlfn.XLOOKUP("[S10_InstallationsPriorPenaltiesEnforcedDetail][14][TypePenalty]",Submission!$O:$O,Submission!$H:$N,""))</f>
        <v/>
      </c>
      <c r="G106" s="252"/>
      <c r="H106" s="251" t="str">
        <f>_xlfn.CONCAT(_xlfn.XLOOKUP("[S10_InstallationsPriorPenaltiesEnforcedDetail][14][ReportinYear]",Submission!$O:$O,Submission!$H:$N,""))</f>
        <v/>
      </c>
      <c r="I106" s="252"/>
    </row>
    <row r="107" spans="2:10" hidden="1" outlineLevel="1" x14ac:dyDescent="0.3">
      <c r="C107" s="251" t="str">
        <f>_xlfn.CONCAT(_xlfn.XLOOKUP("[S10_InstallationsPriorPenaltiesEnforcedDetail][15][TypeInfringement]",Submission!$O:$O,Submission!$H:$N,""))</f>
        <v/>
      </c>
      <c r="D107" s="468"/>
      <c r="E107" s="252"/>
      <c r="F107" s="251" t="str">
        <f>_xlfn.CONCAT(_xlfn.XLOOKUP("[S10_InstallationsPriorPenaltiesEnforcedDetail][15][TypePenalty]",Submission!$O:$O,Submission!$H:$N,""))</f>
        <v/>
      </c>
      <c r="G107" s="252"/>
      <c r="H107" s="251" t="str">
        <f>_xlfn.CONCAT(_xlfn.XLOOKUP("[S10_InstallationsPriorPenaltiesEnforcedDetail][15][ReportinYear]",Submission!$O:$O,Submission!$H:$N,""))</f>
        <v/>
      </c>
      <c r="I107" s="252"/>
    </row>
    <row r="108" spans="2:10" hidden="1" outlineLevel="1" x14ac:dyDescent="0.3">
      <c r="C108" s="251" t="str">
        <f>_xlfn.CONCAT(_xlfn.XLOOKUP("[S10_InstallationsPriorPenaltiesEnforcedDetail][16][TypeInfringement]",Submission!$O:$O,Submission!$H:$N,""))</f>
        <v/>
      </c>
      <c r="D108" s="468"/>
      <c r="E108" s="252"/>
      <c r="F108" s="251" t="str">
        <f>_xlfn.CONCAT(_xlfn.XLOOKUP("[S10_InstallationsPriorPenaltiesEnforcedDetail][16][TypePenalty]",Submission!$O:$O,Submission!$H:$N,""))</f>
        <v/>
      </c>
      <c r="G108" s="252"/>
      <c r="H108" s="251" t="str">
        <f>_xlfn.CONCAT(_xlfn.XLOOKUP("[S10_InstallationsPriorPenaltiesEnforcedDetail][16][ReportinYear]",Submission!$O:$O,Submission!$H:$N,""))</f>
        <v/>
      </c>
      <c r="I108" s="252"/>
    </row>
    <row r="109" spans="2:10" hidden="1" outlineLevel="1" x14ac:dyDescent="0.3">
      <c r="C109" s="251" t="str">
        <f>_xlfn.CONCAT(_xlfn.XLOOKUP("[S10_InstallationsPriorPenaltiesEnforcedDetail][17][TypeInfringement]",Submission!$O:$O,Submission!$H:$N,""))</f>
        <v/>
      </c>
      <c r="D109" s="468"/>
      <c r="E109" s="252"/>
      <c r="F109" s="251" t="str">
        <f>_xlfn.CONCAT(_xlfn.XLOOKUP("[S10_InstallationsPriorPenaltiesEnforcedDetail][17][TypePenalty]",Submission!$O:$O,Submission!$H:$N,""))</f>
        <v/>
      </c>
      <c r="G109" s="252"/>
      <c r="H109" s="251" t="str">
        <f>_xlfn.CONCAT(_xlfn.XLOOKUP("[S10_InstallationsPriorPenaltiesEnforcedDetail][17][ReportinYear]",Submission!$O:$O,Submission!$H:$N,""))</f>
        <v/>
      </c>
      <c r="I109" s="252"/>
    </row>
    <row r="110" spans="2:10" collapsed="1" x14ac:dyDescent="0.3">
      <c r="B110" s="26" t="s">
        <v>1000</v>
      </c>
      <c r="C110" s="16"/>
      <c r="D110" s="19"/>
      <c r="E110" s="11"/>
      <c r="F110" s="11"/>
      <c r="G110" s="11"/>
      <c r="H110" s="11"/>
      <c r="I110" s="11"/>
    </row>
    <row r="111" spans="2:10" x14ac:dyDescent="0.3">
      <c r="C111" s="449" t="s">
        <v>1248</v>
      </c>
      <c r="D111" s="498"/>
      <c r="E111" s="498"/>
      <c r="F111" s="498"/>
      <c r="G111" s="498"/>
      <c r="H111" s="498"/>
      <c r="I111" s="498"/>
      <c r="J111" s="498"/>
    </row>
    <row r="112" spans="2:10" ht="15.9" customHeight="1" x14ac:dyDescent="0.3"/>
    <row r="113" spans="1:9" ht="32.1" customHeight="1" x14ac:dyDescent="0.3">
      <c r="A113" s="12" t="s">
        <v>582</v>
      </c>
      <c r="B113" s="271" t="s">
        <v>1301</v>
      </c>
      <c r="C113" s="272"/>
      <c r="D113" s="272"/>
      <c r="E113" s="272"/>
      <c r="F113" s="272"/>
      <c r="G113" s="272"/>
      <c r="H113" s="272"/>
      <c r="I113" s="272"/>
    </row>
    <row r="114" spans="1:9" ht="15.9" customHeight="1" x14ac:dyDescent="0.3">
      <c r="A114" s="12"/>
      <c r="B114" s="22"/>
      <c r="C114" s="303" t="s">
        <v>869</v>
      </c>
      <c r="D114" s="330"/>
      <c r="E114" s="309"/>
      <c r="F114" s="303" t="s">
        <v>1302</v>
      </c>
      <c r="G114" s="330"/>
      <c r="H114" s="330"/>
      <c r="I114" s="309"/>
    </row>
    <row r="115" spans="1:9" ht="15.9" customHeight="1" x14ac:dyDescent="0.3">
      <c r="A115" s="12"/>
      <c r="B115" s="23"/>
      <c r="C115" s="284" t="str">
        <f>_xlfn.CONCAT(_xlfn.XLOOKUP("[S10_InstallationPenalties][1][InstallationID]",Submission!$O:$O,Submission!$H:$N,""))</f>
        <v/>
      </c>
      <c r="D115" s="348"/>
      <c r="E115" s="285"/>
      <c r="F115" s="284" t="str">
        <f>_xlfn.CONCAT(_xlfn.XLOOKUP("[S10_InstallationPenalties][1][OperatorName]",Submission!$O:$O,Submission!$H:$N,""))</f>
        <v/>
      </c>
      <c r="G115" s="348"/>
      <c r="H115" s="348"/>
      <c r="I115" s="285"/>
    </row>
    <row r="116" spans="1:9" ht="15.9" customHeight="1" x14ac:dyDescent="0.3">
      <c r="A116" s="12"/>
      <c r="B116" s="23"/>
      <c r="C116" s="284" t="str">
        <f>_xlfn.CONCAT(_xlfn.XLOOKUP("[S10_InstallationPenalties][2][InstallationID]",Submission!$O:$O,Submission!$H:$N,""))</f>
        <v/>
      </c>
      <c r="D116" s="348"/>
      <c r="E116" s="285"/>
      <c r="F116" s="284" t="str">
        <f>_xlfn.CONCAT(_xlfn.XLOOKUP("[S10_InstallationPenalties][2][OperatorName]",Submission!$O:$O,Submission!$H:$N,""))</f>
        <v/>
      </c>
      <c r="G116" s="348"/>
      <c r="H116" s="348"/>
      <c r="I116" s="285"/>
    </row>
    <row r="117" spans="1:9" ht="15.9" hidden="1" customHeight="1" outlineLevel="1" x14ac:dyDescent="0.3">
      <c r="A117" s="12"/>
      <c r="B117" s="23"/>
      <c r="C117" s="284" t="str">
        <f>_xlfn.CONCAT(_xlfn.XLOOKUP("[S10_InstallationPenalties][3][InstallationID]",Submission!$O:$O,Submission!$H:$N,""))</f>
        <v/>
      </c>
      <c r="D117" s="348"/>
      <c r="E117" s="285"/>
      <c r="F117" s="284" t="str">
        <f>_xlfn.CONCAT(_xlfn.XLOOKUP("[S10_InstallationPenalties][3][OperatorName]",Submission!$O:$O,Submission!$H:$N,""))</f>
        <v/>
      </c>
      <c r="G117" s="348"/>
      <c r="H117" s="348"/>
      <c r="I117" s="285"/>
    </row>
    <row r="118" spans="1:9" ht="15.9" hidden="1" customHeight="1" outlineLevel="1" x14ac:dyDescent="0.3">
      <c r="A118" s="12"/>
      <c r="B118" s="23"/>
      <c r="C118" s="284" t="str">
        <f>_xlfn.CONCAT(_xlfn.XLOOKUP("[S10_InstallationPenalties][4][InstallationID]",Submission!$O:$O,Submission!$H:$N,""))</f>
        <v/>
      </c>
      <c r="D118" s="348"/>
      <c r="E118" s="285"/>
      <c r="F118" s="284" t="str">
        <f>_xlfn.CONCAT(_xlfn.XLOOKUP("[S10_InstallationPenalties][4][OperatorName]",Submission!$O:$O,Submission!$H:$N,""))</f>
        <v/>
      </c>
      <c r="G118" s="348"/>
      <c r="H118" s="348"/>
      <c r="I118" s="285"/>
    </row>
    <row r="119" spans="1:9" ht="15.9" hidden="1" customHeight="1" outlineLevel="1" x14ac:dyDescent="0.3">
      <c r="A119" s="12"/>
      <c r="B119" s="23"/>
      <c r="C119" s="284" t="str">
        <f>_xlfn.CONCAT(_xlfn.XLOOKUP("[S10_InstallationPenalties][5][InstallationID]",Submission!$O:$O,Submission!$H:$N,""))</f>
        <v/>
      </c>
      <c r="D119" s="348"/>
      <c r="E119" s="285"/>
      <c r="F119" s="284" t="str">
        <f>_xlfn.CONCAT(_xlfn.XLOOKUP("[S10_InstallationPenalties][5][OperatorName]",Submission!$O:$O,Submission!$H:$N,""))</f>
        <v/>
      </c>
      <c r="G119" s="348"/>
      <c r="H119" s="348"/>
      <c r="I119" s="285"/>
    </row>
    <row r="120" spans="1:9" ht="15.9" hidden="1" customHeight="1" outlineLevel="1" x14ac:dyDescent="0.3">
      <c r="A120" s="12"/>
      <c r="B120" s="23"/>
      <c r="C120" s="284" t="str">
        <f>_xlfn.CONCAT(_xlfn.XLOOKUP("[S10_InstallationPenalties][6][InstallationID]",Submission!$O:$O,Submission!$H:$N,""))</f>
        <v/>
      </c>
      <c r="D120" s="348"/>
      <c r="E120" s="285"/>
      <c r="F120" s="284" t="str">
        <f>_xlfn.CONCAT(_xlfn.XLOOKUP("[S10_InstallationPenalties][6][OperatorName]",Submission!$O:$O,Submission!$H:$N,""))</f>
        <v/>
      </c>
      <c r="G120" s="348"/>
      <c r="H120" s="348"/>
      <c r="I120" s="285"/>
    </row>
    <row r="121" spans="1:9" ht="15.9" hidden="1" customHeight="1" outlineLevel="1" x14ac:dyDescent="0.3">
      <c r="A121" s="12"/>
      <c r="B121" s="23"/>
      <c r="C121" s="284" t="str">
        <f>_xlfn.CONCAT(_xlfn.XLOOKUP("[S10_InstallationPenalties][7][InstallationID]",Submission!$O:$O,Submission!$H:$N,""))</f>
        <v/>
      </c>
      <c r="D121" s="348"/>
      <c r="E121" s="285"/>
      <c r="F121" s="284" t="str">
        <f>_xlfn.CONCAT(_xlfn.XLOOKUP("[S10_InstallationPenalties][7][OperatorName]",Submission!$O:$O,Submission!$H:$N,""))</f>
        <v/>
      </c>
      <c r="G121" s="348"/>
      <c r="H121" s="348"/>
      <c r="I121" s="285"/>
    </row>
    <row r="122" spans="1:9" ht="15.9" hidden="1" customHeight="1" outlineLevel="1" x14ac:dyDescent="0.3">
      <c r="A122" s="12"/>
      <c r="B122" s="23"/>
      <c r="C122" s="284" t="str">
        <f>_xlfn.CONCAT(_xlfn.XLOOKUP("[S10_InstallationPenalties][8][InstallationID]",Submission!$O:$O,Submission!$H:$N,""))</f>
        <v/>
      </c>
      <c r="D122" s="348"/>
      <c r="E122" s="285"/>
      <c r="F122" s="284" t="str">
        <f>_xlfn.CONCAT(_xlfn.XLOOKUP("[S10_InstallationPenalties][8][OperatorName]",Submission!$O:$O,Submission!$H:$N,""))</f>
        <v/>
      </c>
      <c r="G122" s="348"/>
      <c r="H122" s="348"/>
      <c r="I122" s="285"/>
    </row>
    <row r="123" spans="1:9" ht="15.9" hidden="1" customHeight="1" outlineLevel="1" x14ac:dyDescent="0.3">
      <c r="A123" s="12"/>
      <c r="B123" s="23"/>
      <c r="C123" s="284" t="str">
        <f>_xlfn.CONCAT(_xlfn.XLOOKUP("[S10_InstallationPenalties][9][InstallationID]",Submission!$O:$O,Submission!$H:$N,""))</f>
        <v/>
      </c>
      <c r="D123" s="348"/>
      <c r="E123" s="285"/>
      <c r="F123" s="284" t="str">
        <f>_xlfn.CONCAT(_xlfn.XLOOKUP("[S10_InstallationPenalties][9][OperatorName]",Submission!$O:$O,Submission!$H:$N,""))</f>
        <v/>
      </c>
      <c r="G123" s="348"/>
      <c r="H123" s="348"/>
      <c r="I123" s="285"/>
    </row>
    <row r="124" spans="1:9" ht="15.9" hidden="1" customHeight="1" outlineLevel="1" x14ac:dyDescent="0.3">
      <c r="A124" s="12"/>
      <c r="B124" s="23"/>
      <c r="C124" s="284" t="str">
        <f>_xlfn.CONCAT(_xlfn.XLOOKUP("[S10_InstallationPenalties][10][InstallationID]",Submission!$O:$O,Submission!$H:$N,""))</f>
        <v/>
      </c>
      <c r="D124" s="348"/>
      <c r="E124" s="285"/>
      <c r="F124" s="284" t="str">
        <f>_xlfn.CONCAT(_xlfn.XLOOKUP("[S10_InstallationPenalties][10][OperatorName]",Submission!$O:$O,Submission!$H:$N,""))</f>
        <v/>
      </c>
      <c r="G124" s="348"/>
      <c r="H124" s="348"/>
      <c r="I124" s="285"/>
    </row>
    <row r="125" spans="1:9" ht="15.9" hidden="1" customHeight="1" outlineLevel="1" x14ac:dyDescent="0.3">
      <c r="A125" s="12"/>
      <c r="B125" s="23"/>
      <c r="C125" s="284" t="str">
        <f>_xlfn.CONCAT(_xlfn.XLOOKUP("[S10_InstallationPenalties][11][InstallationID]",Submission!$O:$O,Submission!$H:$N,""))</f>
        <v/>
      </c>
      <c r="D125" s="348"/>
      <c r="E125" s="285"/>
      <c r="F125" s="284" t="str">
        <f>_xlfn.CONCAT(_xlfn.XLOOKUP("[S10_InstallationPenalties][11][OperatorName]",Submission!$O:$O,Submission!$H:$N,""))</f>
        <v/>
      </c>
      <c r="G125" s="348"/>
      <c r="H125" s="348"/>
      <c r="I125" s="285"/>
    </row>
    <row r="126" spans="1:9" ht="15.9" hidden="1" customHeight="1" outlineLevel="1" x14ac:dyDescent="0.3">
      <c r="A126" s="12"/>
      <c r="B126" s="23"/>
      <c r="C126" s="284" t="str">
        <f>_xlfn.CONCAT(_xlfn.XLOOKUP("[S10_InstallationPenalties][12][InstallationID]",Submission!$O:$O,Submission!$H:$N,""))</f>
        <v/>
      </c>
      <c r="D126" s="348"/>
      <c r="E126" s="285"/>
      <c r="F126" s="284" t="str">
        <f>_xlfn.CONCAT(_xlfn.XLOOKUP("[S10_InstallationPenalties][12][OperatorName]",Submission!$O:$O,Submission!$H:$N,""))</f>
        <v/>
      </c>
      <c r="G126" s="348"/>
      <c r="H126" s="348"/>
      <c r="I126" s="285"/>
    </row>
    <row r="127" spans="1:9" ht="15.9" customHeight="1" collapsed="1" x14ac:dyDescent="0.3">
      <c r="A127" s="13"/>
      <c r="B127" s="26" t="s">
        <v>1000</v>
      </c>
      <c r="C127" s="19"/>
    </row>
    <row r="128" spans="1:9" ht="15.9" customHeight="1" x14ac:dyDescent="0.3">
      <c r="A128" s="13"/>
      <c r="B128" s="16"/>
      <c r="C128" s="248" t="s">
        <v>1033</v>
      </c>
      <c r="D128" s="249"/>
      <c r="E128" s="249"/>
      <c r="F128" s="249"/>
      <c r="G128" s="249"/>
      <c r="H128" s="249"/>
      <c r="I128" s="249"/>
    </row>
    <row r="129" spans="1:9" ht="15.9" customHeight="1" x14ac:dyDescent="0.3">
      <c r="A129" s="13"/>
    </row>
    <row r="130" spans="1:9" s="7" customFormat="1" ht="18.899999999999999" customHeight="1" x14ac:dyDescent="0.35">
      <c r="A130" s="85" t="s">
        <v>1303</v>
      </c>
      <c r="B130" s="325" t="s">
        <v>97</v>
      </c>
      <c r="C130" s="325"/>
      <c r="D130" s="325"/>
      <c r="E130" s="325"/>
      <c r="F130" s="325"/>
      <c r="G130" s="325"/>
      <c r="H130" s="325"/>
      <c r="I130" s="326"/>
    </row>
    <row r="131" spans="1:9" ht="32.1" customHeight="1" x14ac:dyDescent="0.3">
      <c r="A131" s="12" t="s">
        <v>586</v>
      </c>
      <c r="B131" s="271" t="s">
        <v>1304</v>
      </c>
      <c r="C131" s="272"/>
      <c r="D131" s="272"/>
      <c r="E131" s="272"/>
      <c r="F131" s="272"/>
      <c r="G131" s="272"/>
      <c r="H131" s="272"/>
      <c r="I131" s="272"/>
    </row>
    <row r="132" spans="1:9" x14ac:dyDescent="0.3">
      <c r="A132" s="12"/>
      <c r="B132" s="23"/>
      <c r="C132" s="537" t="s">
        <v>1305</v>
      </c>
      <c r="D132" s="538"/>
      <c r="E132" s="538"/>
      <c r="F132" s="538"/>
      <c r="G132" s="539"/>
      <c r="H132" s="53" t="s">
        <v>709</v>
      </c>
      <c r="I132" s="53" t="s">
        <v>1306</v>
      </c>
    </row>
    <row r="133" spans="1:9" x14ac:dyDescent="0.3">
      <c r="A133" s="12"/>
      <c r="B133" s="23"/>
      <c r="C133" s="246" t="s">
        <v>1307</v>
      </c>
      <c r="D133" s="263"/>
      <c r="E133" s="263"/>
      <c r="F133" s="263"/>
      <c r="G133" s="264"/>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6" t="s">
        <v>1282</v>
      </c>
      <c r="D134" s="263"/>
      <c r="E134" s="263"/>
      <c r="F134" s="263"/>
      <c r="G134" s="264"/>
      <c r="H134" s="47" t="str">
        <f>_xlfn.CONCAT(_xlfn.XLOOKUP("[S10_AircraftComplianceMeasures][2][ComplianceMeasuresYesNo]",Submission!$O:$O,Submission!$H:$N,""))</f>
        <v>No</v>
      </c>
      <c r="I134" s="72" t="str">
        <f>_xlfn.CONCAT(_xlfn.XLOOKUP("[S10_AircraftComplianceMeasures][2][ComplianceMeasuresComment]",Submission!$O:$O,Submission!$H:$N,""))</f>
        <v>Not applicable</v>
      </c>
    </row>
    <row r="135" spans="1:9" x14ac:dyDescent="0.3">
      <c r="A135" s="12"/>
      <c r="B135" s="23"/>
      <c r="C135" s="246" t="s">
        <v>1308</v>
      </c>
      <c r="D135" s="263"/>
      <c r="E135" s="263"/>
      <c r="F135" s="263"/>
      <c r="G135" s="264"/>
      <c r="H135" s="47" t="str">
        <f>_xlfn.CONCAT(_xlfn.XLOOKUP("[S10_AircraftComplianceMeasures][3][ComplianceMeasuresYesNo]",Submission!$O:$O,Submission!$H:$N,""))</f>
        <v>No</v>
      </c>
      <c r="I135" s="72" t="str">
        <f>_xlfn.CONCAT(_xlfn.XLOOKUP("[S10_AircraftComplianceMeasures][3][ComplianceMeasuresComment]",Submission!$O:$O,Submission!$H:$N,""))</f>
        <v>Not applicable</v>
      </c>
    </row>
    <row r="136" spans="1:9" x14ac:dyDescent="0.3">
      <c r="A136" s="12"/>
      <c r="B136" s="23"/>
      <c r="C136" s="246" t="s">
        <v>1309</v>
      </c>
      <c r="D136" s="263"/>
      <c r="E136" s="263"/>
      <c r="F136" s="263"/>
      <c r="G136" s="264"/>
      <c r="H136" s="47" t="str">
        <f>_xlfn.CONCAT(_xlfn.XLOOKUP("[S10_AircraftComplianceMeasures][4][ComplianceMeasuresYesNo]",Submission!$O:$O,Submission!$H:$N,""))</f>
        <v>No</v>
      </c>
      <c r="I136" s="72" t="str">
        <f>_xlfn.CONCAT(_xlfn.XLOOKUP("[S10_AircraftComplianceMeasures][4][ComplianceMeasuresComment]",Submission!$O:$O,Submission!$H:$N,""))</f>
        <v>Not applicable</v>
      </c>
    </row>
    <row r="137" spans="1:9" x14ac:dyDescent="0.3">
      <c r="A137" s="12"/>
      <c r="B137" s="23"/>
      <c r="C137" s="246" t="s">
        <v>697</v>
      </c>
      <c r="D137" s="264"/>
      <c r="E137" s="284" t="str">
        <f>_xlfn.CONCAT(_xlfn.XLOOKUP("[S10_AircraftComplianceMeasures][5][ComplianceMeasuresOther]",Submission!$O:$O,Submission!$H:$N,""))</f>
        <v/>
      </c>
      <c r="F137" s="348"/>
      <c r="G137" s="285"/>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6" t="s">
        <v>1257</v>
      </c>
      <c r="D138" s="264"/>
      <c r="E138" s="284" t="str">
        <f>_xlfn.CONCAT(_xlfn.XLOOKUP("[S10_AircraftComplianceMeasures][6][ComplianceMeasuresOther]",Submission!$O:$O,Submission!$H:$N,""))</f>
        <v/>
      </c>
      <c r="F138" s="348"/>
      <c r="G138" s="285"/>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6" t="s">
        <v>1258</v>
      </c>
      <c r="D139" s="264"/>
      <c r="E139" s="284" t="str">
        <f>_xlfn.CONCAT(_xlfn.XLOOKUP("[S10_AircraftComplianceMeasures][7][ComplianceMeasuresOther]",Submission!$O:$O,Submission!$H:$N,""))</f>
        <v/>
      </c>
      <c r="F139" s="348"/>
      <c r="G139" s="285"/>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6" t="s">
        <v>1259</v>
      </c>
      <c r="D140" s="264"/>
      <c r="E140" s="284" t="str">
        <f>_xlfn.CONCAT(_xlfn.XLOOKUP("[S10_AircraftComplianceMeasures][8][ComplianceMeasuresOther]",Submission!$O:$O,Submission!$H:$N,""))</f>
        <v/>
      </c>
      <c r="F140" s="348"/>
      <c r="G140" s="285"/>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77" t="s">
        <v>1310</v>
      </c>
      <c r="C143" s="403"/>
      <c r="D143" s="403"/>
      <c r="E143" s="403"/>
      <c r="F143" s="403"/>
      <c r="G143" s="403"/>
      <c r="H143" s="403"/>
      <c r="I143" s="403"/>
    </row>
    <row r="144" spans="1:9" ht="33.6" customHeight="1" x14ac:dyDescent="0.3">
      <c r="A144" s="13"/>
      <c r="B144" s="293" t="s">
        <v>1286</v>
      </c>
      <c r="C144" s="294"/>
      <c r="D144" s="294"/>
      <c r="E144" s="294"/>
      <c r="F144" s="294"/>
      <c r="G144" s="294"/>
      <c r="H144" s="294"/>
      <c r="I144" s="294"/>
    </row>
    <row r="145" spans="1:9" x14ac:dyDescent="0.3">
      <c r="A145" s="13"/>
      <c r="C145" s="540" t="s">
        <v>1224</v>
      </c>
      <c r="D145" s="541"/>
      <c r="E145" s="524" t="s">
        <v>1225</v>
      </c>
      <c r="F145" s="524"/>
      <c r="G145" s="524" t="s">
        <v>1226</v>
      </c>
      <c r="H145" s="524"/>
      <c r="I145" s="527" t="s">
        <v>1227</v>
      </c>
    </row>
    <row r="146" spans="1:9" ht="15.9" customHeight="1" x14ac:dyDescent="0.3">
      <c r="A146" s="13"/>
      <c r="C146" s="542"/>
      <c r="D146" s="543"/>
      <c r="E146" s="43" t="s">
        <v>1311</v>
      </c>
      <c r="F146" s="43" t="s">
        <v>1229</v>
      </c>
      <c r="G146" s="43" t="s">
        <v>1228</v>
      </c>
      <c r="H146" s="43" t="s">
        <v>1229</v>
      </c>
      <c r="I146" s="528"/>
    </row>
    <row r="147" spans="1:9" ht="37.200000000000003" customHeight="1" x14ac:dyDescent="0.3">
      <c r="A147" s="13"/>
      <c r="C147" s="246" t="s">
        <v>1289</v>
      </c>
      <c r="D147" s="264"/>
      <c r="E147" s="105" t="str">
        <f>_xlfn.CONCAT(_xlfn.XLOOKUP("[S10_AircraftInfringementPenalties][1][MinFine]",Submission!$O:$O,Submission!$H:$N,""))</f>
        <v>1000</v>
      </c>
      <c r="F147" s="105" t="str">
        <f>_xlfn.CONCAT(_xlfn.XLOOKUP("[S10_AircraftInfringementPenalties][1][MaxFine]",Submission!$O:$O,Submission!$H:$N,""))</f>
        <v>50000</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Plus Euros 50-600 daily from date of a notice given by the competent authority to the aircraft operator.</v>
      </c>
    </row>
    <row r="148" spans="1:9" ht="40.200000000000003" customHeight="1" x14ac:dyDescent="0.3">
      <c r="A148" s="13"/>
      <c r="C148" s="246" t="s">
        <v>1290</v>
      </c>
      <c r="D148" s="264"/>
      <c r="E148" s="105" t="str">
        <f>_xlfn.CONCAT(_xlfn.XLOOKUP("[S10_AircraftInfringementPenalties][2][MinFine]",Submission!$O:$O,Submission!$H:$N,""))</f>
        <v/>
      </c>
      <c r="F148" s="105" t="str">
        <f>_xlfn.CONCAT(_xlfn.XLOOKUP("[S10_AircraftInfringementPenalties][2][MaxFine]",Submission!$O:$O,Submission!$H:$N,""))</f>
        <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
      </c>
    </row>
    <row r="149" spans="1:9" ht="40.200000000000003" customHeight="1" x14ac:dyDescent="0.3">
      <c r="A149" s="13"/>
      <c r="C149" s="246" t="s">
        <v>1312</v>
      </c>
      <c r="D149" s="264"/>
      <c r="E149" s="105" t="str">
        <f>_xlfn.CONCAT(_xlfn.XLOOKUP("[S10_AircraftInfringementPenalties][3][MinFine]",Submission!$O:$O,Submission!$H:$N,""))</f>
        <v>1000</v>
      </c>
      <c r="F149" s="105" t="str">
        <f>_xlfn.CONCAT(_xlfn.XLOOKUP("[S10_AircraftInfringementPenalties][3][MaxFine]",Submission!$O:$O,Submission!$H:$N,""))</f>
        <v>50000</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Plus Euros 50-600 daily from date of a notice given by the competent authority to the aircraft operator.</v>
      </c>
    </row>
    <row r="150" spans="1:9" ht="40.200000000000003" customHeight="1" x14ac:dyDescent="0.3">
      <c r="C150" s="246" t="s">
        <v>1293</v>
      </c>
      <c r="D150" s="264"/>
      <c r="E150" s="105" t="str">
        <f>_xlfn.CONCAT(_xlfn.XLOOKUP("[S10_AircraftInfringementPenalties][4][MinFine]",Submission!$O:$O,Submission!$H:$N,""))</f>
        <v/>
      </c>
      <c r="F150" s="105" t="str">
        <f>_xlfn.CONCAT(_xlfn.XLOOKUP("[S10_AircraftInfringementPenalties][4][MaxFine]",Submission!$O:$O,Submission!$H:$N,""))</f>
        <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
      </c>
    </row>
    <row r="151" spans="1:9" ht="37.200000000000003" customHeight="1" x14ac:dyDescent="0.3">
      <c r="C151" s="246" t="s">
        <v>1313</v>
      </c>
      <c r="D151" s="264"/>
      <c r="E151" s="105" t="str">
        <f>_xlfn.CONCAT(_xlfn.XLOOKUP("[S10_AircraftInfringementPenalties][5][MinFine]",Submission!$O:$O,Submission!$H:$N,""))</f>
        <v/>
      </c>
      <c r="F151" s="105" t="str">
        <f>_xlfn.CONCAT(_xlfn.XLOOKUP("[S10_AircraftInfringementPenalties][5][MaxFine]",Submission!$O:$O,Submission!$H:$N,""))</f>
        <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6" t="s">
        <v>1294</v>
      </c>
      <c r="D152" s="264"/>
      <c r="E152" s="105" t="str">
        <f>_xlfn.CONCAT(_xlfn.XLOOKUP("[S10_AircraftInfringementPenalties][6][MinFine]",Submission!$O:$O,Submission!$H:$N,""))</f>
        <v>1000</v>
      </c>
      <c r="F152" s="105" t="str">
        <f>_xlfn.CONCAT(_xlfn.XLOOKUP("[S10_AircraftInfringementPenalties][6][MaxFine]",Submission!$O:$O,Submission!$H:$N,""))</f>
        <v>50000</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Plus Euros 50-600 daily from date of a notice given by the competent authority to the aircraft operator.</v>
      </c>
    </row>
    <row r="153" spans="1:9" ht="37.200000000000003" customHeight="1" x14ac:dyDescent="0.3">
      <c r="C153" s="246" t="s">
        <v>1295</v>
      </c>
      <c r="D153" s="264"/>
      <c r="E153" s="105" t="str">
        <f>_xlfn.CONCAT(_xlfn.XLOOKUP("[S10_AircraftInfringementPenalties][7][MinFine]",Submission!$O:$O,Submission!$H:$N,""))</f>
        <v/>
      </c>
      <c r="F153" s="105" t="str">
        <f>_xlfn.CONCAT(_xlfn.XLOOKUP("[S10_AircraftInfringementPenalties][7][MaxFine]",Submission!$O:$O,Submission!$H:$N,""))</f>
        <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
      </c>
    </row>
    <row r="154" spans="1:9" ht="37.200000000000003" customHeight="1" x14ac:dyDescent="0.3">
      <c r="C154" s="246" t="s">
        <v>1296</v>
      </c>
      <c r="D154" s="264"/>
      <c r="E154" s="105" t="str">
        <f>_xlfn.CONCAT(_xlfn.XLOOKUP("[S10_AircraftInfringementPenalties][8][MinFine]",Submission!$O:$O,Submission!$H:$N,""))</f>
        <v/>
      </c>
      <c r="F154" s="105" t="str">
        <f>_xlfn.CONCAT(_xlfn.XLOOKUP("[S10_AircraftInfringementPenalties][8][MaxFine]",Submission!$O:$O,Submission!$H:$N,""))</f>
        <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
      </c>
    </row>
    <row r="155" spans="1:9" ht="37.200000000000003" customHeight="1" x14ac:dyDescent="0.3">
      <c r="C155" s="246" t="s">
        <v>1297</v>
      </c>
      <c r="D155" s="264"/>
      <c r="E155" s="105" t="str">
        <f>_xlfn.CONCAT(_xlfn.XLOOKUP("[S10_AircraftInfringementPenalties][9][MinFine]",Submission!$O:$O,Submission!$H:$N,""))</f>
        <v/>
      </c>
      <c r="F155" s="105" t="str">
        <f>_xlfn.CONCAT(_xlfn.XLOOKUP("[S10_AircraftInfringementPenalties][9][MaxFine]",Submission!$O:$O,Submission!$H:$N,""))</f>
        <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6" t="s">
        <v>1314</v>
      </c>
      <c r="D156" s="264"/>
      <c r="E156" s="105" t="str">
        <f>_xlfn.CONCAT(_xlfn.XLOOKUP("[S10_AircraftInfringementPenalties][10][MinFine]",Submission!$O:$O,Submission!$H:$N,""))</f>
        <v/>
      </c>
      <c r="F156" s="105" t="str">
        <f>_xlfn.CONCAT(_xlfn.XLOOKUP("[S10_AircraftInfringementPenalties][10][MaxFine]",Submission!$O:$O,Submission!$H:$N,""))</f>
        <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6" t="s">
        <v>1315</v>
      </c>
      <c r="D157" s="264"/>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293" t="s">
        <v>1298</v>
      </c>
      <c r="C164" s="294"/>
      <c r="D164" s="294"/>
      <c r="E164" s="294"/>
      <c r="F164" s="294"/>
      <c r="G164" s="294"/>
      <c r="H164" s="294"/>
      <c r="I164" s="294"/>
    </row>
    <row r="165" spans="1:9" ht="15.9" customHeight="1" x14ac:dyDescent="0.3">
      <c r="B165" s="18"/>
      <c r="C165" s="407" t="str">
        <f>_xlfn.CONCAT(_xlfn.XLOOKUP("[AircraftNationalLaw][0][AircraftNationalLaw]",Submission!$O:$O,Submission!$H:$N,""))</f>
        <v>Subsidiary Legislation 423.51 European Union Greenhouse Gas Emissions Trading System for Aviation Regulations (Chap. 423)</v>
      </c>
      <c r="D165" s="407"/>
      <c r="E165" s="407"/>
      <c r="F165" s="407"/>
      <c r="G165" s="407"/>
      <c r="H165" s="407"/>
      <c r="I165" s="407"/>
    </row>
    <row r="166" spans="1:9" ht="15.9" customHeight="1" x14ac:dyDescent="0.3">
      <c r="B166" s="16"/>
      <c r="C166" s="14"/>
      <c r="D166" s="14"/>
      <c r="E166" s="14"/>
      <c r="F166" s="14"/>
      <c r="G166" s="14"/>
      <c r="H166" s="14"/>
      <c r="I166" s="14"/>
    </row>
    <row r="167" spans="1:9" ht="32.1" customHeight="1" x14ac:dyDescent="0.3">
      <c r="A167" s="12" t="s">
        <v>594</v>
      </c>
      <c r="B167" s="293" t="s">
        <v>1316</v>
      </c>
      <c r="C167" s="294"/>
      <c r="D167" s="294"/>
      <c r="E167" s="294"/>
      <c r="F167" s="294"/>
      <c r="G167" s="294"/>
      <c r="H167" s="294"/>
      <c r="I167" s="294"/>
    </row>
    <row r="168" spans="1:9" ht="15.9" customHeight="1" x14ac:dyDescent="0.3">
      <c r="A168" s="13"/>
      <c r="C168" s="464" t="s">
        <v>1317</v>
      </c>
      <c r="D168" s="464"/>
      <c r="E168" s="464"/>
      <c r="F168" s="464"/>
      <c r="G168" s="464"/>
      <c r="H168" s="464"/>
      <c r="I168" s="464"/>
    </row>
    <row r="169" spans="1:9" ht="25.5" customHeight="1" x14ac:dyDescent="0.3">
      <c r="A169" s="13"/>
      <c r="C169" s="501" t="s">
        <v>1224</v>
      </c>
      <c r="D169" s="544"/>
      <c r="E169" s="260" t="s">
        <v>1240</v>
      </c>
      <c r="F169" s="261"/>
      <c r="G169" s="262"/>
      <c r="H169" s="499" t="s">
        <v>1241</v>
      </c>
      <c r="I169" s="499" t="s">
        <v>1318</v>
      </c>
    </row>
    <row r="170" spans="1:9" ht="29.25" customHeight="1" x14ac:dyDescent="0.3">
      <c r="A170" s="13"/>
      <c r="C170" s="545"/>
      <c r="D170" s="546"/>
      <c r="E170" s="42" t="s">
        <v>1225</v>
      </c>
      <c r="F170" s="42" t="s">
        <v>1226</v>
      </c>
      <c r="G170" s="42" t="s">
        <v>1227</v>
      </c>
      <c r="H170" s="520"/>
      <c r="I170" s="520"/>
    </row>
    <row r="171" spans="1:9" ht="39.6" customHeight="1" x14ac:dyDescent="0.3">
      <c r="A171" s="13"/>
      <c r="C171" s="284" t="str">
        <f>_xlfn.CONCAT(_xlfn.XLOOKUP("[S10_AircraftPenaltiesImposed][1][InfringementType]",Submission!$O:$O,Submission!$H:$N,""))</f>
        <v/>
      </c>
      <c r="D171" s="285"/>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84" t="str">
        <f>_xlfn.CONCAT(_xlfn.XLOOKUP("[S10_AircraftPenaltiesImposed][2][InfringementType]",Submission!$O:$O,Submission!$H:$N,""))</f>
        <v/>
      </c>
      <c r="D172" s="285"/>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84" t="str">
        <f>_xlfn.CONCAT(_xlfn.XLOOKUP("[S10_AircraftPenaltiesImposed][3][InfringementType]",Submission!$O:$O,Submission!$H:$N,""))</f>
        <v/>
      </c>
      <c r="D173" s="285"/>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84" t="str">
        <f>_xlfn.CONCAT(_xlfn.XLOOKUP("[S10_AircraftPenaltiesImposed][4][InfringementType]",Submission!$O:$O,Submission!$H:$N,""))</f>
        <v/>
      </c>
      <c r="D174" s="285"/>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84" t="str">
        <f>_xlfn.CONCAT(_xlfn.XLOOKUP("[S10_AircraftPenaltiesImposed][5][InfringementType]",Submission!$O:$O,Submission!$H:$N,""))</f>
        <v/>
      </c>
      <c r="D175" s="285"/>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84" t="str">
        <f>_xlfn.CONCAT(_xlfn.XLOOKUP("[S10_AircraftPenaltiesImposed][6][InfringementType]",Submission!$O:$O,Submission!$H:$N,""))</f>
        <v/>
      </c>
      <c r="D176" s="285"/>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84" t="str">
        <f>_xlfn.CONCAT(_xlfn.XLOOKUP("[S10_AircraftPenaltiesImposed][7][InfringementType]",Submission!$O:$O,Submission!$H:$N,""))</f>
        <v/>
      </c>
      <c r="D177" s="285"/>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84" t="str">
        <f>_xlfn.CONCAT(_xlfn.XLOOKUP("[S10_AircraftPenaltiesImposed][8][InfringementType]",Submission!$O:$O,Submission!$H:$N,""))</f>
        <v/>
      </c>
      <c r="D178" s="285"/>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84" t="str">
        <f>_xlfn.CONCAT(_xlfn.XLOOKUP("[S10_AircraftPenaltiesImposed][9][InfringementType]",Submission!$O:$O,Submission!$H:$N,""))</f>
        <v/>
      </c>
      <c r="D179" s="285"/>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84" t="str">
        <f>_xlfn.CONCAT(_xlfn.XLOOKUP("[S10_AircraftPenaltiesImposed][10][InfringementType]",Submission!$O:$O,Submission!$H:$N,""))</f>
        <v/>
      </c>
      <c r="D180" s="285"/>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84" t="str">
        <f>_xlfn.CONCAT(_xlfn.XLOOKUP("[S10_AircraftPenaltiesImposed][11][InfringementType]",Submission!$O:$O,Submission!$H:$N,""))</f>
        <v/>
      </c>
      <c r="D181" s="285"/>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84" t="str">
        <f>_xlfn.CONCAT(_xlfn.XLOOKUP("[S10_AircraftPenaltiesImposed][12][InfringementType]",Submission!$O:$O,Submission!$H:$N,""))</f>
        <v/>
      </c>
      <c r="D182" s="285"/>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84" t="str">
        <f>_xlfn.CONCAT(_xlfn.XLOOKUP("[S10_AircraftPenaltiesImposed][13][InfringementType]",Submission!$O:$O,Submission!$H:$N,""))</f>
        <v/>
      </c>
      <c r="D183" s="285"/>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507" t="s">
        <v>1244</v>
      </c>
      <c r="C186" s="507"/>
      <c r="D186" s="507"/>
      <c r="E186" s="507"/>
      <c r="F186" s="507"/>
      <c r="G186" s="507"/>
      <c r="H186" s="508"/>
      <c r="I186" s="41" t="str">
        <f>_xlfn.CONCAT(_xlfn.XLOOKUP("[AircraftPriorPenaltiesEnforced][0][AircraftPriorPenaltiesEnforced]",Submission!$O:$O,Submission!$H:$N,""))</f>
        <v/>
      </c>
    </row>
    <row r="187" spans="1:9" ht="16.2" customHeight="1" x14ac:dyDescent="0.3">
      <c r="B187" s="293" t="s">
        <v>1245</v>
      </c>
      <c r="C187" s="294"/>
      <c r="D187" s="294"/>
      <c r="E187" s="294"/>
      <c r="F187" s="294"/>
      <c r="G187" s="294"/>
      <c r="H187" s="294"/>
      <c r="I187" s="294"/>
    </row>
    <row r="188" spans="1:9" x14ac:dyDescent="0.3">
      <c r="C188" s="444" t="s">
        <v>1224</v>
      </c>
      <c r="D188" s="445"/>
      <c r="E188" s="446"/>
      <c r="F188" s="444" t="s">
        <v>1246</v>
      </c>
      <c r="G188" s="446"/>
      <c r="H188" s="444" t="s">
        <v>1247</v>
      </c>
      <c r="I188" s="446"/>
    </row>
    <row r="189" spans="1:9" x14ac:dyDescent="0.3">
      <c r="C189" s="534" t="str">
        <f>_xlfn.CONCAT(_xlfn.XLOOKUP("[S10_AircraftPriorPenaltiesEnforcedDetail][1][TypeInfringement]",Submission!$O:$O,Submission!$H:$N,""))</f>
        <v/>
      </c>
      <c r="D189" s="536"/>
      <c r="E189" s="535"/>
      <c r="F189" s="532" t="str">
        <f>_xlfn.CONCAT(_xlfn.XLOOKUP("[S10_AircraftPriorPenaltiesEnforcedDetail][1][TypePenalty]",Submission!$O:$O,Submission!$H:$N,""))</f>
        <v/>
      </c>
      <c r="G189" s="533"/>
      <c r="H189" s="534" t="str">
        <f>_xlfn.CONCAT(_xlfn.XLOOKUP("[S10_AircraftPriorPenaltiesEnforcedDetail][1][ReportinYear]",Submission!$O:$O,Submission!$H:$N,""))</f>
        <v/>
      </c>
      <c r="I189" s="535"/>
    </row>
    <row r="190" spans="1:9" x14ac:dyDescent="0.3">
      <c r="C190" s="534" t="str">
        <f>_xlfn.CONCAT(_xlfn.XLOOKUP("[S10_AircraftPriorPenaltiesEnforcedDetail][2][TypeInfringement]",Submission!$O:$O,Submission!$H:$N,""))</f>
        <v/>
      </c>
      <c r="D190" s="536"/>
      <c r="E190" s="535"/>
      <c r="F190" s="532" t="str">
        <f>_xlfn.CONCAT(_xlfn.XLOOKUP("[S10_AircraftPriorPenaltiesEnforcedDetail][2][TypePenalty]",Submission!$O:$O,Submission!$H:$N,""))</f>
        <v/>
      </c>
      <c r="G190" s="533"/>
      <c r="H190" s="534" t="str">
        <f>_xlfn.CONCAT(_xlfn.XLOOKUP("[S10_AircraftPriorPenaltiesEnforcedDetail][2][ReportinYear]",Submission!$O:$O,Submission!$H:$N,""))</f>
        <v/>
      </c>
      <c r="I190" s="535"/>
    </row>
    <row r="191" spans="1:9" hidden="1" outlineLevel="1" x14ac:dyDescent="0.3">
      <c r="C191" s="534" t="str">
        <f>_xlfn.CONCAT(_xlfn.XLOOKUP("[S10_AircraftPriorPenaltiesEnforcedDetail][3][TypeInfringement]",Submission!$O:$O,Submission!$H:$N,""))</f>
        <v/>
      </c>
      <c r="D191" s="536"/>
      <c r="E191" s="535"/>
      <c r="F191" s="532" t="str">
        <f>_xlfn.CONCAT(_xlfn.XLOOKUP("[S10_AircraftPriorPenaltiesEnforcedDetail][3][TypePenalty]",Submission!$O:$O,Submission!$H:$N,""))</f>
        <v/>
      </c>
      <c r="G191" s="533"/>
      <c r="H191" s="534" t="str">
        <f>_xlfn.CONCAT(_xlfn.XLOOKUP("[S10_AircraftPriorPenaltiesEnforcedDetail][3][ReportinYear]",Submission!$O:$O,Submission!$H:$N,""))</f>
        <v/>
      </c>
      <c r="I191" s="535"/>
    </row>
    <row r="192" spans="1:9" hidden="1" outlineLevel="1" x14ac:dyDescent="0.3">
      <c r="C192" s="534" t="str">
        <f>_xlfn.CONCAT(_xlfn.XLOOKUP("[S10_AircraftPriorPenaltiesEnforcedDetail][4][TypeInfringement]",Submission!$O:$O,Submission!$H:$N,""))</f>
        <v/>
      </c>
      <c r="D192" s="536"/>
      <c r="E192" s="535"/>
      <c r="F192" s="532" t="str">
        <f>_xlfn.CONCAT(_xlfn.XLOOKUP("[S10_AircraftPriorPenaltiesEnforcedDetail][4][TypePenalty]",Submission!$O:$O,Submission!$H:$N,""))</f>
        <v/>
      </c>
      <c r="G192" s="533"/>
      <c r="H192" s="534" t="str">
        <f>_xlfn.CONCAT(_xlfn.XLOOKUP("[S10_AircraftPriorPenaltiesEnforcedDetail][4][ReportinYear]",Submission!$O:$O,Submission!$H:$N,""))</f>
        <v/>
      </c>
      <c r="I192" s="535"/>
    </row>
    <row r="193" spans="1:10" hidden="1" outlineLevel="1" x14ac:dyDescent="0.3">
      <c r="C193" s="534" t="str">
        <f>_xlfn.CONCAT(_xlfn.XLOOKUP("[S10_AircraftPriorPenaltiesEnforcedDetail][5][TypeInfringement]",Submission!$O:$O,Submission!$H:$N,""))</f>
        <v/>
      </c>
      <c r="D193" s="536"/>
      <c r="E193" s="535"/>
      <c r="F193" s="532" t="str">
        <f>_xlfn.CONCAT(_xlfn.XLOOKUP("[S10_AircraftPriorPenaltiesEnforcedDetail][5][TypePenalty]",Submission!$O:$O,Submission!$H:$N,""))</f>
        <v/>
      </c>
      <c r="G193" s="533"/>
      <c r="H193" s="534" t="str">
        <f>_xlfn.CONCAT(_xlfn.XLOOKUP("[S10_AircraftPriorPenaltiesEnforcedDetail][5][ReportinYear]",Submission!$O:$O,Submission!$H:$N,""))</f>
        <v/>
      </c>
      <c r="I193" s="535"/>
    </row>
    <row r="194" spans="1:10" hidden="1" outlineLevel="1" x14ac:dyDescent="0.3">
      <c r="C194" s="534" t="str">
        <f>_xlfn.CONCAT(_xlfn.XLOOKUP("[S10_AircraftPriorPenaltiesEnforcedDetail][6][TypeInfringement]",Submission!$O:$O,Submission!$H:$N,""))</f>
        <v/>
      </c>
      <c r="D194" s="536"/>
      <c r="E194" s="535"/>
      <c r="F194" s="532" t="str">
        <f>_xlfn.CONCAT(_xlfn.XLOOKUP("[S10_AircraftPriorPenaltiesEnforcedDetail][6][TypePenalty]",Submission!$O:$O,Submission!$H:$N,""))</f>
        <v/>
      </c>
      <c r="G194" s="533"/>
      <c r="H194" s="534" t="str">
        <f>_xlfn.CONCAT(_xlfn.XLOOKUP("[S10_AircraftPriorPenaltiesEnforcedDetail][6][ReportinYear]",Submission!$O:$O,Submission!$H:$N,""))</f>
        <v/>
      </c>
      <c r="I194" s="535"/>
    </row>
    <row r="195" spans="1:10" hidden="1" outlineLevel="1" x14ac:dyDescent="0.3">
      <c r="C195" s="534" t="str">
        <f>_xlfn.CONCAT(_xlfn.XLOOKUP("[S10_AircraftPriorPenaltiesEnforcedDetail][7][TypeInfringement]",Submission!$O:$O,Submission!$H:$N,""))</f>
        <v/>
      </c>
      <c r="D195" s="536"/>
      <c r="E195" s="535"/>
      <c r="F195" s="532" t="str">
        <f>_xlfn.CONCAT(_xlfn.XLOOKUP("[S10_AircraftPriorPenaltiesEnforcedDetail][7][TypePenalty]",Submission!$O:$O,Submission!$H:$N,""))</f>
        <v/>
      </c>
      <c r="G195" s="533"/>
      <c r="H195" s="534" t="str">
        <f>_xlfn.CONCAT(_xlfn.XLOOKUP("[S10_AircraftPriorPenaltiesEnforcedDetail][7][ReportinYear]",Submission!$O:$O,Submission!$H:$N,""))</f>
        <v/>
      </c>
      <c r="I195" s="535"/>
    </row>
    <row r="196" spans="1:10" hidden="1" outlineLevel="1" x14ac:dyDescent="0.3">
      <c r="C196" s="534" t="str">
        <f>_xlfn.CONCAT(_xlfn.XLOOKUP("[S10_AircraftPriorPenaltiesEnforcedDetail][8][TypeInfringement]",Submission!$O:$O,Submission!$H:$N,""))</f>
        <v/>
      </c>
      <c r="D196" s="536"/>
      <c r="E196" s="535"/>
      <c r="F196" s="532" t="str">
        <f>_xlfn.CONCAT(_xlfn.XLOOKUP("[S10_AircraftPriorPenaltiesEnforcedDetail][8][TypePenalty]",Submission!$O:$O,Submission!$H:$N,""))</f>
        <v/>
      </c>
      <c r="G196" s="533"/>
      <c r="H196" s="534" t="str">
        <f>_xlfn.CONCAT(_xlfn.XLOOKUP("[S10_AircraftPriorPenaltiesEnforcedDetail][8][ReportinYear]",Submission!$O:$O,Submission!$H:$N,""))</f>
        <v/>
      </c>
      <c r="I196" s="535"/>
    </row>
    <row r="197" spans="1:10" collapsed="1" x14ac:dyDescent="0.3">
      <c r="B197" s="26" t="s">
        <v>1000</v>
      </c>
      <c r="C197" s="16"/>
      <c r="D197" s="19"/>
      <c r="E197" s="11"/>
      <c r="F197" s="11"/>
      <c r="G197" s="11"/>
      <c r="H197" s="11"/>
      <c r="I197" s="11"/>
    </row>
    <row r="198" spans="1:10" x14ac:dyDescent="0.3">
      <c r="C198" s="449" t="s">
        <v>1248</v>
      </c>
      <c r="D198" s="498"/>
      <c r="E198" s="498"/>
      <c r="F198" s="498"/>
      <c r="G198" s="498"/>
      <c r="H198" s="498"/>
      <c r="I198" s="498"/>
      <c r="J198" s="498"/>
    </row>
    <row r="199" spans="1:10" ht="15.9" customHeight="1" x14ac:dyDescent="0.3">
      <c r="A199" s="13"/>
      <c r="B199" s="16"/>
      <c r="C199" s="20"/>
      <c r="D199" s="20"/>
      <c r="E199" s="20"/>
      <c r="F199" s="20"/>
      <c r="G199" s="20"/>
      <c r="H199" s="20"/>
      <c r="I199" s="20"/>
    </row>
    <row r="200" spans="1:10" ht="32.1" customHeight="1" x14ac:dyDescent="0.3">
      <c r="A200" s="12" t="s">
        <v>598</v>
      </c>
      <c r="B200" s="293" t="s">
        <v>1319</v>
      </c>
      <c r="C200" s="293"/>
      <c r="D200" s="293"/>
      <c r="E200" s="293"/>
      <c r="F200" s="293"/>
      <c r="G200" s="293"/>
      <c r="H200" s="293"/>
      <c r="I200" s="293"/>
    </row>
    <row r="201" spans="1:10" ht="15.9" customHeight="1" x14ac:dyDescent="0.3">
      <c r="A201" s="12"/>
      <c r="B201" s="22"/>
      <c r="C201" s="303" t="s">
        <v>1082</v>
      </c>
      <c r="D201" s="304"/>
      <c r="E201" s="305"/>
      <c r="F201" s="303" t="s">
        <v>1320</v>
      </c>
      <c r="G201" s="304"/>
      <c r="H201" s="304"/>
      <c r="I201" s="305"/>
    </row>
    <row r="202" spans="1:10" ht="15.9" customHeight="1" x14ac:dyDescent="0.3">
      <c r="A202" s="12"/>
      <c r="B202" s="23"/>
      <c r="C202" s="521" t="str">
        <f>_xlfn.CONCAT(_xlfn.XLOOKUP("[S10_AircraftPenalties][1][AircraftID]",Submission!$O:$O,Submission!$H:$N,""))</f>
        <v/>
      </c>
      <c r="D202" s="522"/>
      <c r="E202" s="523"/>
      <c r="F202" s="521" t="str">
        <f>_xlfn.CONCAT(_xlfn.XLOOKUP("[S10_AircraftPenalties][1][OperatorName]",Submission!$O:$O,Submission!$H:$N,""))</f>
        <v/>
      </c>
      <c r="G202" s="522"/>
      <c r="H202" s="522"/>
      <c r="I202" s="523"/>
    </row>
    <row r="203" spans="1:10" ht="15.9" customHeight="1" x14ac:dyDescent="0.3">
      <c r="A203" s="12"/>
      <c r="B203" s="23"/>
      <c r="C203" s="521" t="str">
        <f>_xlfn.CONCAT(_xlfn.XLOOKUP("[S10_AircraftPenalties][2][AircraftID]",Submission!$O:$O,Submission!$H:$N,""))</f>
        <v/>
      </c>
      <c r="D203" s="522"/>
      <c r="E203" s="523"/>
      <c r="F203" s="521" t="str">
        <f>_xlfn.CONCAT(_xlfn.XLOOKUP("[S10_AircraftPenalties][2][OperatorName]",Submission!$O:$O,Submission!$H:$N,""))</f>
        <v/>
      </c>
      <c r="G203" s="522"/>
      <c r="H203" s="522"/>
      <c r="I203" s="523"/>
    </row>
    <row r="204" spans="1:10" ht="15.9" hidden="1" customHeight="1" outlineLevel="1" x14ac:dyDescent="0.3">
      <c r="A204" s="12"/>
      <c r="B204" s="23"/>
      <c r="C204" s="521" t="str">
        <f>_xlfn.CONCAT(_xlfn.XLOOKUP("[S10_AircraftPenalties][3][AircraftID]",Submission!$O:$O,Submission!$H:$N,""))</f>
        <v/>
      </c>
      <c r="D204" s="522"/>
      <c r="E204" s="523"/>
      <c r="F204" s="521" t="str">
        <f>_xlfn.CONCAT(_xlfn.XLOOKUP("[S10_AircraftPenalties][3][OperatorName]",Submission!$O:$O,Submission!$H:$N,""))</f>
        <v/>
      </c>
      <c r="G204" s="522"/>
      <c r="H204" s="522"/>
      <c r="I204" s="523"/>
    </row>
    <row r="205" spans="1:10" ht="15.9" hidden="1" customHeight="1" outlineLevel="1" x14ac:dyDescent="0.3">
      <c r="A205" s="12"/>
      <c r="B205" s="23"/>
      <c r="C205" s="521" t="str">
        <f>_xlfn.CONCAT(_xlfn.XLOOKUP("[S10_AircraftPenalties][4][AircraftID]",Submission!$O:$O,Submission!$H:$N,""))</f>
        <v/>
      </c>
      <c r="D205" s="522"/>
      <c r="E205" s="523"/>
      <c r="F205" s="521" t="str">
        <f>_xlfn.CONCAT(_xlfn.XLOOKUP("[S10_AircraftPenalties][4][OperatorName]",Submission!$O:$O,Submission!$H:$N,""))</f>
        <v/>
      </c>
      <c r="G205" s="522"/>
      <c r="H205" s="522"/>
      <c r="I205" s="523"/>
    </row>
    <row r="206" spans="1:10" ht="15.9" hidden="1" customHeight="1" outlineLevel="1" x14ac:dyDescent="0.3">
      <c r="A206" s="12"/>
      <c r="B206" s="23"/>
      <c r="C206" s="521" t="str">
        <f>_xlfn.CONCAT(_xlfn.XLOOKUP("[S10_AircraftPenalties][5][AircraftID]",Submission!$O:$O,Submission!$H:$N,""))</f>
        <v/>
      </c>
      <c r="D206" s="522"/>
      <c r="E206" s="523"/>
      <c r="F206" s="521" t="str">
        <f>_xlfn.CONCAT(_xlfn.XLOOKUP("[S10_AircraftPenalties][5][OperatorName]",Submission!$O:$O,Submission!$H:$N,""))</f>
        <v/>
      </c>
      <c r="G206" s="522"/>
      <c r="H206" s="522"/>
      <c r="I206" s="523"/>
    </row>
    <row r="207" spans="1:10" ht="15.9" hidden="1" customHeight="1" outlineLevel="1" x14ac:dyDescent="0.3">
      <c r="A207" s="12"/>
      <c r="B207" s="23"/>
      <c r="C207" s="521" t="str">
        <f>_xlfn.CONCAT(_xlfn.XLOOKUP("[S10_AircraftPenalties][6][AircraftID]",Submission!$O:$O,Submission!$H:$N,""))</f>
        <v/>
      </c>
      <c r="D207" s="522"/>
      <c r="E207" s="523"/>
      <c r="F207" s="521" t="str">
        <f>_xlfn.CONCAT(_xlfn.XLOOKUP("[S10_AircraftPenalties][6][OperatorName]",Submission!$O:$O,Submission!$H:$N,""))</f>
        <v/>
      </c>
      <c r="G207" s="522"/>
      <c r="H207" s="522"/>
      <c r="I207" s="523"/>
    </row>
    <row r="208" spans="1:10" ht="15.9" hidden="1" customHeight="1" outlineLevel="1" x14ac:dyDescent="0.3">
      <c r="A208" s="12"/>
      <c r="B208" s="23"/>
      <c r="C208" s="521" t="str">
        <f>_xlfn.CONCAT(_xlfn.XLOOKUP("[S10_AircraftPenalties][7][AircraftID]",Submission!$O:$O,Submission!$H:$N,""))</f>
        <v/>
      </c>
      <c r="D208" s="522"/>
      <c r="E208" s="523"/>
      <c r="F208" s="521" t="str">
        <f>_xlfn.CONCAT(_xlfn.XLOOKUP("[S10_AircraftPenalties][7][OperatorName]",Submission!$O:$O,Submission!$H:$N,""))</f>
        <v/>
      </c>
      <c r="G208" s="522"/>
      <c r="H208" s="522"/>
      <c r="I208" s="523"/>
    </row>
    <row r="209" spans="1:9" ht="15.9" hidden="1" customHeight="1" outlineLevel="1" x14ac:dyDescent="0.3">
      <c r="A209" s="12"/>
      <c r="B209" s="23"/>
      <c r="C209" s="521" t="str">
        <f>_xlfn.CONCAT(_xlfn.XLOOKUP("[S10_AircraftPenalties][8][AircraftID]",Submission!$O:$O,Submission!$H:$N,""))</f>
        <v/>
      </c>
      <c r="D209" s="522"/>
      <c r="E209" s="523"/>
      <c r="F209" s="521" t="str">
        <f>_xlfn.CONCAT(_xlfn.XLOOKUP("[S10_AircraftPenalties][8][OperatorName]",Submission!$O:$O,Submission!$H:$N,""))</f>
        <v/>
      </c>
      <c r="G209" s="522"/>
      <c r="H209" s="522"/>
      <c r="I209" s="523"/>
    </row>
    <row r="210" spans="1:9" ht="15.9" hidden="1" customHeight="1" outlineLevel="1" x14ac:dyDescent="0.3">
      <c r="A210" s="12"/>
      <c r="B210" s="23"/>
      <c r="C210" s="521" t="str">
        <f>_xlfn.CONCAT(_xlfn.XLOOKUP("[S10_AircraftPenalties][9][AircraftID]",Submission!$O:$O,Submission!$H:$N,""))</f>
        <v/>
      </c>
      <c r="D210" s="522"/>
      <c r="E210" s="523"/>
      <c r="F210" s="521" t="str">
        <f>_xlfn.CONCAT(_xlfn.XLOOKUP("[S10_AircraftPenalties][9][OperatorName]",Submission!$O:$O,Submission!$H:$N,""))</f>
        <v/>
      </c>
      <c r="G210" s="522"/>
      <c r="H210" s="522"/>
      <c r="I210" s="523"/>
    </row>
    <row r="211" spans="1:9" ht="15.9" hidden="1" customHeight="1" outlineLevel="1" x14ac:dyDescent="0.3">
      <c r="A211" s="12"/>
      <c r="B211" s="23"/>
      <c r="C211" s="521" t="str">
        <f>_xlfn.CONCAT(_xlfn.XLOOKUP("[S10_AircraftPenalties][10][AircraftID]",Submission!$O:$O,Submission!$H:$N,""))</f>
        <v/>
      </c>
      <c r="D211" s="522"/>
      <c r="E211" s="523"/>
      <c r="F211" s="521" t="str">
        <f>_xlfn.CONCAT(_xlfn.XLOOKUP("[S10_AircraftPenalties][10][OperatorName]",Submission!$O:$O,Submission!$H:$N,""))</f>
        <v/>
      </c>
      <c r="G211" s="522"/>
      <c r="H211" s="522"/>
      <c r="I211" s="523"/>
    </row>
    <row r="212" spans="1:9" ht="15.9" hidden="1" customHeight="1" outlineLevel="1" x14ac:dyDescent="0.3">
      <c r="A212" s="12"/>
      <c r="B212" s="23"/>
      <c r="C212" s="521" t="str">
        <f>_xlfn.CONCAT(_xlfn.XLOOKUP("[S10_AircraftPenalties][11][AircraftID]",Submission!$O:$O,Submission!$H:$N,""))</f>
        <v/>
      </c>
      <c r="D212" s="522"/>
      <c r="E212" s="523"/>
      <c r="F212" s="521" t="str">
        <f>_xlfn.CONCAT(_xlfn.XLOOKUP("[S10_AircraftPenalties][11][OperatorName]",Submission!$O:$O,Submission!$H:$N,""))</f>
        <v/>
      </c>
      <c r="G212" s="522"/>
      <c r="H212" s="522"/>
      <c r="I212" s="523"/>
    </row>
    <row r="213" spans="1:9" ht="15.9" hidden="1" customHeight="1" outlineLevel="1" x14ac:dyDescent="0.3">
      <c r="A213" s="12"/>
      <c r="B213" s="23"/>
      <c r="C213" s="521" t="str">
        <f>_xlfn.CONCAT(_xlfn.XLOOKUP("[S10_AircraftPenalties][12][AircraftID]",Submission!$O:$O,Submission!$H:$N,""))</f>
        <v/>
      </c>
      <c r="D213" s="522"/>
      <c r="E213" s="523"/>
      <c r="F213" s="521" t="str">
        <f>_xlfn.CONCAT(_xlfn.XLOOKUP("[S10_AircraftPenalties][12][OperatorName]",Submission!$O:$O,Submission!$H:$N,""))</f>
        <v/>
      </c>
      <c r="G213" s="522"/>
      <c r="H213" s="522"/>
      <c r="I213" s="523"/>
    </row>
    <row r="214" spans="1:9" ht="15.9" customHeight="1" collapsed="1" x14ac:dyDescent="0.3">
      <c r="A214" s="13"/>
      <c r="B214" s="26" t="s">
        <v>1000</v>
      </c>
      <c r="C214" s="19"/>
    </row>
    <row r="215" spans="1:9" ht="15.9" customHeight="1" x14ac:dyDescent="0.3">
      <c r="A215" s="13"/>
      <c r="B215" s="16"/>
      <c r="C215" s="248" t="s">
        <v>1087</v>
      </c>
      <c r="D215" s="249"/>
      <c r="E215" s="249"/>
      <c r="F215" s="249"/>
      <c r="G215" s="249"/>
      <c r="H215" s="249"/>
      <c r="I215" s="249"/>
    </row>
    <row r="216" spans="1:9" ht="15.9" customHeight="1" x14ac:dyDescent="0.3">
      <c r="A216" s="13"/>
      <c r="B216" s="16"/>
      <c r="C216" s="20"/>
      <c r="D216" s="24"/>
      <c r="E216" s="24"/>
      <c r="F216" s="24"/>
      <c r="G216" s="24"/>
      <c r="H216" s="24"/>
      <c r="I216" s="24"/>
    </row>
    <row r="217" spans="1:9" ht="15.9" customHeight="1" x14ac:dyDescent="0.25">
      <c r="A217" s="12" t="s">
        <v>602</v>
      </c>
      <c r="B217" s="377" t="s">
        <v>1321</v>
      </c>
      <c r="C217" s="403"/>
      <c r="D217" s="403"/>
      <c r="E217" s="403"/>
      <c r="F217" s="403"/>
      <c r="G217" s="403"/>
      <c r="H217" s="403"/>
      <c r="I217" s="403"/>
    </row>
    <row r="218" spans="1:9" ht="32.1" customHeight="1" x14ac:dyDescent="0.3">
      <c r="A218" s="13"/>
      <c r="B218" s="293" t="s">
        <v>1322</v>
      </c>
      <c r="C218" s="294"/>
      <c r="D218" s="294"/>
      <c r="E218" s="294"/>
      <c r="F218" s="294"/>
      <c r="G218" s="294"/>
      <c r="H218" s="294"/>
      <c r="I218" s="294"/>
    </row>
    <row r="219" spans="1:9" ht="31.95" customHeight="1" x14ac:dyDescent="0.3">
      <c r="C219" s="529" t="str">
        <f>_xlfn.CONCAT(_xlfn.XLOOKUP("[OperatingBanRequestMeasures][0][OperatingBanRequestMeasures]",Submission!$O:$O,Submission!$H:$N,""))</f>
        <v>A request for an operating ban would be a last resort measure once the normal enforcement measures stipulated by Maltese law fail to ensure compliance. These include the procedure leading to the imposition of administrative fines, which can be contested in, and reviewed by, Maltese courts.</v>
      </c>
      <c r="D219" s="530"/>
      <c r="E219" s="530"/>
      <c r="F219" s="530"/>
      <c r="G219" s="530"/>
      <c r="H219" s="530"/>
      <c r="I219" s="531"/>
    </row>
  </sheetData>
  <mergeCells count="263">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3" t="s">
        <v>1792</v>
      </c>
      <c r="B1" s="193"/>
      <c r="C1" s="193"/>
      <c r="D1" s="193"/>
      <c r="E1" s="193"/>
      <c r="F1" s="193"/>
      <c r="G1" s="193"/>
      <c r="H1" s="193"/>
      <c r="I1" s="193"/>
    </row>
    <row r="2" spans="1:11" s="7" customFormat="1" ht="4.95" customHeight="1" x14ac:dyDescent="0.3">
      <c r="A2" s="8"/>
    </row>
    <row r="3" spans="1:11" s="11" customFormat="1" ht="18.899999999999999" customHeight="1" x14ac:dyDescent="0.35">
      <c r="A3" s="62">
        <v>11</v>
      </c>
      <c r="B3" s="553" t="s">
        <v>607</v>
      </c>
      <c r="C3" s="553"/>
      <c r="D3" s="553"/>
      <c r="E3" s="553"/>
      <c r="F3" s="553"/>
      <c r="G3" s="553"/>
      <c r="H3" s="553"/>
      <c r="I3" s="553"/>
    </row>
    <row r="4" spans="1:11" ht="15.9" customHeight="1" x14ac:dyDescent="0.3">
      <c r="A4" s="8"/>
      <c r="B4" s="269" t="s">
        <v>1323</v>
      </c>
      <c r="C4" s="270"/>
      <c r="D4" s="270"/>
      <c r="E4" s="270"/>
      <c r="F4" s="270"/>
      <c r="G4" s="270"/>
      <c r="H4" s="270"/>
      <c r="I4" s="270"/>
    </row>
    <row r="5" spans="1:11" ht="15.9" customHeight="1" x14ac:dyDescent="0.3">
      <c r="A5" s="12" t="s">
        <v>608</v>
      </c>
      <c r="B5" s="293" t="s">
        <v>1324</v>
      </c>
      <c r="C5" s="294"/>
      <c r="D5" s="294"/>
      <c r="E5" s="294"/>
      <c r="F5" s="294"/>
      <c r="G5" s="294"/>
      <c r="H5" s="294"/>
      <c r="I5" s="294"/>
    </row>
    <row r="6" spans="1:11" ht="48" customHeight="1" x14ac:dyDescent="0.3">
      <c r="C6" s="284" t="str">
        <f>_xlfn.CONCAT(_xlfn.XLOOKUP("[LegalNatureOfEmissionAllowance][0][LegalNatureOfEmissionAllowance]",Submission!$O:$O,Submission!$H:$N,""))</f>
        <v>An allowances is considered to be an asset.</v>
      </c>
      <c r="D6" s="349"/>
      <c r="E6" s="349"/>
      <c r="F6" s="349"/>
      <c r="G6" s="349"/>
      <c r="H6" s="349"/>
      <c r="I6" s="282"/>
    </row>
    <row r="7" spans="1:11" ht="22.2" customHeight="1" x14ac:dyDescent="0.3">
      <c r="D7" s="11"/>
    </row>
    <row r="8" spans="1:11" ht="15.9" customHeight="1" x14ac:dyDescent="0.3">
      <c r="A8" s="12" t="s">
        <v>613</v>
      </c>
      <c r="B8" s="293" t="s">
        <v>1325</v>
      </c>
      <c r="C8" s="294"/>
      <c r="D8" s="294"/>
      <c r="E8" s="294"/>
      <c r="F8" s="294"/>
      <c r="G8" s="294"/>
      <c r="H8" s="294"/>
      <c r="I8" s="294"/>
    </row>
    <row r="9" spans="1:11" ht="48" customHeight="1" x14ac:dyDescent="0.3">
      <c r="C9" s="284" t="str">
        <f>_xlfn.CONCAT(_xlfn.XLOOKUP("[AccountingTreatmentOfEmissionAllowances][0][AccountingTreatmentOfEmissionAllowances]",Submission!$O:$O,Submission!$H:$N,""))</f>
        <v>An allowance is considered to be an asset for purposes of accounting and any income deriving from the transfer of allowances is subject to taxation.</v>
      </c>
      <c r="D9" s="348"/>
      <c r="E9" s="348"/>
      <c r="F9" s="348"/>
      <c r="G9" s="348"/>
      <c r="H9" s="348"/>
      <c r="I9" s="285"/>
    </row>
    <row r="10" spans="1:11" ht="24.6" customHeight="1" x14ac:dyDescent="0.3">
      <c r="D10" s="11"/>
    </row>
    <row r="11" spans="1:11" ht="18" customHeight="1" x14ac:dyDescent="0.3">
      <c r="A11" s="12" t="s">
        <v>616</v>
      </c>
      <c r="B11" s="293" t="s">
        <v>1326</v>
      </c>
      <c r="C11" s="294"/>
      <c r="D11" s="294"/>
      <c r="E11" s="294"/>
      <c r="F11" s="294"/>
      <c r="G11" s="294"/>
      <c r="H11" s="295"/>
      <c r="I11" s="41" t="str">
        <f>_xlfn.CONCAT(_xlfn.XLOOKUP("[VATdueEmissionAllowancesIssuance][0][VATdueEmissionAllowancesIssuance]",Submission!$O:$O,Submission!$H:$N,""))</f>
        <v>Yes</v>
      </c>
    </row>
    <row r="12" spans="1:11" ht="7.5" customHeight="1" x14ac:dyDescent="0.3">
      <c r="A12" s="12"/>
      <c r="B12" s="18"/>
      <c r="C12" s="31"/>
      <c r="D12" s="31"/>
      <c r="E12" s="31"/>
      <c r="F12" s="31"/>
      <c r="G12" s="31"/>
      <c r="H12" s="31"/>
      <c r="I12" s="31"/>
      <c r="J12" s="31"/>
      <c r="K12" s="31"/>
    </row>
    <row r="13" spans="1:11" ht="18" customHeight="1" x14ac:dyDescent="0.3">
      <c r="A13" s="12"/>
      <c r="B13" s="293" t="s">
        <v>1327</v>
      </c>
      <c r="C13" s="294"/>
      <c r="D13" s="294"/>
      <c r="E13" s="294"/>
      <c r="F13" s="294"/>
      <c r="G13" s="294"/>
      <c r="H13" s="295"/>
      <c r="I13" s="41" t="str">
        <f>_xlfn.CONCAT(_xlfn.XLOOKUP("[ReverseChargeMechanismEmissionAllowances][0][ReverseChargeMechanismEmissionAllowances]",Submission!$O:$O,Submission!$H:$N,""))</f>
        <v>No</v>
      </c>
    </row>
    <row r="14" spans="1:11" ht="31.2" customHeight="1" x14ac:dyDescent="0.3"/>
    <row r="15" spans="1:11" ht="18" customHeight="1" x14ac:dyDescent="0.3">
      <c r="A15" s="12" t="s">
        <v>620</v>
      </c>
      <c r="B15" s="293" t="s">
        <v>1328</v>
      </c>
      <c r="C15" s="294"/>
      <c r="D15" s="294"/>
      <c r="E15" s="294"/>
      <c r="F15" s="294"/>
      <c r="G15" s="294"/>
      <c r="H15" s="295"/>
      <c r="I15" s="41" t="str">
        <f>_xlfn.CONCAT(_xlfn.XLOOKUP("[EmissionAllowancesTaxed][0][EmissionAllowancesTaxed]",Submission!$O:$O,Submission!$H:$N,""))</f>
        <v>No</v>
      </c>
    </row>
    <row r="16" spans="1:11" ht="18" customHeight="1" x14ac:dyDescent="0.3">
      <c r="A16" s="13"/>
      <c r="B16" s="293" t="s">
        <v>1329</v>
      </c>
      <c r="C16" s="294"/>
      <c r="D16" s="294"/>
      <c r="E16" s="294"/>
      <c r="F16" s="294"/>
      <c r="G16" s="294"/>
      <c r="H16" s="294"/>
      <c r="I16" s="294"/>
    </row>
    <row r="17" spans="2:9" ht="15.9" customHeight="1" x14ac:dyDescent="0.3">
      <c r="C17" s="315" t="s">
        <v>1330</v>
      </c>
      <c r="D17" s="379"/>
      <c r="E17" s="379"/>
      <c r="F17" s="336"/>
      <c r="G17" s="315" t="s">
        <v>1331</v>
      </c>
      <c r="H17" s="379"/>
      <c r="I17" s="336"/>
    </row>
    <row r="18" spans="2:9" ht="15.9" customHeight="1" x14ac:dyDescent="0.3">
      <c r="C18" s="284" t="str">
        <f>_xlfn.CONCAT(_xlfn.XLOOKUP("[S11_TypeOfTaxRatesApplied][1][TypeOfTax]",Submission!$O:$O,Submission!$H:$N,""))</f>
        <v/>
      </c>
      <c r="D18" s="348"/>
      <c r="E18" s="348"/>
      <c r="F18" s="285"/>
      <c r="G18" s="284" t="str">
        <f>_xlfn.CONCAT(_xlfn.XLOOKUP("[S11_TypeOfTaxRatesApplied][1][TaxRateApplied]",Submission!$O:$O,Submission!$H:$N,""))</f>
        <v/>
      </c>
      <c r="H18" s="348"/>
      <c r="I18" s="285"/>
    </row>
    <row r="19" spans="2:9" ht="15.9" customHeight="1" x14ac:dyDescent="0.3">
      <c r="C19" s="284" t="str">
        <f>_xlfn.CONCAT(_xlfn.XLOOKUP("[S11_TypeOfTaxRatesApplied][2][TypeOfTax]",Submission!$O:$O,Submission!$H:$N,""))</f>
        <v/>
      </c>
      <c r="D19" s="348"/>
      <c r="E19" s="348"/>
      <c r="F19" s="285"/>
      <c r="G19" s="284" t="str">
        <f>_xlfn.CONCAT(_xlfn.XLOOKUP("[S11_TypeOfTaxRatesApplied][2][TaxRateApplied]",Submission!$O:$O,Submission!$H:$N,""))</f>
        <v/>
      </c>
      <c r="H19" s="348"/>
      <c r="I19" s="285"/>
    </row>
    <row r="20" spans="2:9" ht="15.9" hidden="1" customHeight="1" outlineLevel="1" x14ac:dyDescent="0.3">
      <c r="C20" s="284" t="str">
        <f>_xlfn.CONCAT(_xlfn.XLOOKUP("[S11_TypeOfTaxRatesApplied][3][TypeOfTax]",Submission!$O:$O,Submission!$H:$N,""))</f>
        <v/>
      </c>
      <c r="D20" s="348"/>
      <c r="E20" s="348"/>
      <c r="F20" s="285"/>
      <c r="G20" s="284" t="str">
        <f>_xlfn.CONCAT(_xlfn.XLOOKUP("[S11_TypeOfTaxRatesApplied][3][TaxRateApplied]",Submission!$O:$O,Submission!$H:$N,""))</f>
        <v/>
      </c>
      <c r="H20" s="348"/>
      <c r="I20" s="285"/>
    </row>
    <row r="21" spans="2:9" ht="15.9" hidden="1" customHeight="1" outlineLevel="1" x14ac:dyDescent="0.3">
      <c r="C21" s="284" t="str">
        <f>_xlfn.CONCAT(_xlfn.XLOOKUP("[S11_TypeOfTaxRatesApplied][4][TypeOfTax]",Submission!$O:$O,Submission!$H:$N,""))</f>
        <v/>
      </c>
      <c r="D21" s="348"/>
      <c r="E21" s="348"/>
      <c r="F21" s="285"/>
      <c r="G21" s="284" t="str">
        <f>_xlfn.CONCAT(_xlfn.XLOOKUP("[S11_TypeOfTaxRatesApplied][4][TaxRateApplied]",Submission!$O:$O,Submission!$H:$N,""))</f>
        <v/>
      </c>
      <c r="H21" s="348"/>
      <c r="I21" s="285"/>
    </row>
    <row r="22" spans="2:9" ht="15.9" hidden="1" customHeight="1" outlineLevel="1" x14ac:dyDescent="0.3">
      <c r="C22" s="284" t="str">
        <f>_xlfn.CONCAT(_xlfn.XLOOKUP("[S11_TypeOfTaxRatesApplied][5][TypeOfTax]",Submission!$O:$O,Submission!$H:$N,""))</f>
        <v/>
      </c>
      <c r="D22" s="348"/>
      <c r="E22" s="348"/>
      <c r="F22" s="285"/>
      <c r="G22" s="284" t="str">
        <f>_xlfn.CONCAT(_xlfn.XLOOKUP("[S11_TypeOfTaxRatesApplied][5][TaxRateApplied]",Submission!$O:$O,Submission!$H:$N,""))</f>
        <v/>
      </c>
      <c r="H22" s="348"/>
      <c r="I22" s="285"/>
    </row>
    <row r="23" spans="2:9" ht="15.9" hidden="1" customHeight="1" outlineLevel="1" x14ac:dyDescent="0.3">
      <c r="C23" s="284" t="str">
        <f>_xlfn.CONCAT(_xlfn.XLOOKUP("[S11_TypeOfTaxRatesApplied][6][TypeOfTax]",Submission!$O:$O,Submission!$H:$N,""))</f>
        <v/>
      </c>
      <c r="D23" s="348"/>
      <c r="E23" s="348"/>
      <c r="F23" s="285"/>
      <c r="G23" s="284" t="str">
        <f>_xlfn.CONCAT(_xlfn.XLOOKUP("[S11_TypeOfTaxRatesApplied][6][TaxRateApplied]",Submission!$O:$O,Submission!$H:$N,""))</f>
        <v/>
      </c>
      <c r="H23" s="348"/>
      <c r="I23" s="285"/>
    </row>
    <row r="24" spans="2:9" collapsed="1" x14ac:dyDescent="0.3">
      <c r="B24" s="26" t="s">
        <v>1000</v>
      </c>
    </row>
  </sheetData>
  <mergeCells count="25">
    <mergeCell ref="B3:I3"/>
    <mergeCell ref="B4:I4"/>
    <mergeCell ref="B5:I5"/>
    <mergeCell ref="C6:I6"/>
    <mergeCell ref="C20:F20"/>
    <mergeCell ref="G20:I20"/>
    <mergeCell ref="G18:I18"/>
    <mergeCell ref="C19:F19"/>
    <mergeCell ref="G19:I19"/>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12</v>
      </c>
      <c r="B3" s="327" t="s">
        <v>624</v>
      </c>
      <c r="C3" s="327"/>
      <c r="D3" s="327"/>
      <c r="E3" s="327"/>
      <c r="F3" s="327"/>
      <c r="G3" s="327"/>
      <c r="H3" s="327"/>
      <c r="I3" s="327"/>
    </row>
    <row r="4" spans="1:9" ht="15.9" customHeight="1" x14ac:dyDescent="0.3">
      <c r="A4" s="12" t="s">
        <v>625</v>
      </c>
      <c r="B4" s="269" t="s">
        <v>1332</v>
      </c>
      <c r="C4" s="270"/>
      <c r="D4" s="270"/>
      <c r="E4" s="270"/>
      <c r="F4" s="270"/>
      <c r="G4" s="270"/>
      <c r="H4" s="270"/>
      <c r="I4" s="270"/>
    </row>
    <row r="5" spans="1:9" ht="18.600000000000001" customHeight="1" x14ac:dyDescent="0.3">
      <c r="B5" s="293" t="s">
        <v>1333</v>
      </c>
      <c r="C5" s="294"/>
      <c r="D5" s="294"/>
      <c r="E5" s="294"/>
      <c r="F5" s="294"/>
      <c r="G5" s="294"/>
      <c r="H5" s="294"/>
      <c r="I5" s="294"/>
    </row>
    <row r="6" spans="1:9" ht="15.9" customHeight="1" x14ac:dyDescent="0.3">
      <c r="C6" s="303" t="s">
        <v>1334</v>
      </c>
      <c r="D6" s="330"/>
      <c r="E6" s="330"/>
      <c r="F6" s="309"/>
      <c r="G6" s="303" t="s">
        <v>1335</v>
      </c>
      <c r="H6" s="330"/>
      <c r="I6" s="309"/>
    </row>
    <row r="7" spans="1:9" ht="45" customHeight="1" x14ac:dyDescent="0.3">
      <c r="C7" s="246" t="s">
        <v>1336</v>
      </c>
      <c r="D7" s="283"/>
      <c r="E7" s="283"/>
      <c r="F7" s="239"/>
      <c r="G7" s="284" t="str">
        <f>_xlfn.CONCAT(_xlfn.XLOOKUP("[S12_FraudFreeAllocationOfAllowances][1][DetailsOfProceduresInNationalLaw]",Submission!$O:$O,Submission!$H:$N,""))</f>
        <v>Arrangements and procedures are established in the Criminal Code, Chapter 9, of the Laws of Malta. These arrangements and procedures do not necessarily and specifically refer to matters relating to allowances.</v>
      </c>
      <c r="H7" s="348"/>
      <c r="I7" s="285"/>
    </row>
    <row r="8" spans="1:9" ht="45" customHeight="1" x14ac:dyDescent="0.3">
      <c r="C8" s="246" t="s">
        <v>1337</v>
      </c>
      <c r="D8" s="283"/>
      <c r="E8" s="283"/>
      <c r="F8" s="239"/>
      <c r="G8" s="284" t="str">
        <f>_xlfn.CONCAT(_xlfn.XLOOKUP("[S12_FraudFreeAllocationOfAllowances][2][DetailsOfProceduresInNationalLaw]",Submission!$O:$O,Submission!$H:$N,""))</f>
        <v>Arrangements and procedures are established in the Criminal Code, Chapter 9, of the Laws of Malta. These arrangements and procedures do not necessarily and specifically refer to matters relating to allowances.</v>
      </c>
      <c r="H8" s="348"/>
      <c r="I8" s="285"/>
    </row>
    <row r="9" spans="1:9" ht="45" customHeight="1" x14ac:dyDescent="0.3">
      <c r="C9" s="246" t="s">
        <v>1338</v>
      </c>
      <c r="D9" s="283"/>
      <c r="E9" s="283"/>
      <c r="F9" s="239"/>
      <c r="G9" s="284" t="str">
        <f>_xlfn.CONCAT(_xlfn.XLOOKUP("[S12_FraudFreeAllocationOfAllowances][3][DetailsOfProceduresInNationalLaw]",Submission!$O:$O,Submission!$H:$N,""))</f>
        <v/>
      </c>
      <c r="H9" s="348"/>
      <c r="I9" s="285"/>
    </row>
    <row r="10" spans="1:9" ht="45" customHeight="1" x14ac:dyDescent="0.3">
      <c r="C10" s="246" t="s">
        <v>1339</v>
      </c>
      <c r="D10" s="283"/>
      <c r="E10" s="283"/>
      <c r="F10" s="239"/>
      <c r="G10" s="284" t="str">
        <f>_xlfn.CONCAT(_xlfn.XLOOKUP("[S12_FraudFreeAllocationOfAllowances][4][DetailsOfProceduresInNationalLaw]",Submission!$O:$O,Submission!$H:$N,""))</f>
        <v>Arrangements and procedures are established in the Criminal Code, Chapter 9, of the Laws of Malta. These arrangements and procedures do not necessarily and specifically refer to matters relating to allowances.</v>
      </c>
      <c r="H10" s="348"/>
      <c r="I10" s="285"/>
    </row>
    <row r="11" spans="1:9" ht="45" customHeight="1" x14ac:dyDescent="0.3">
      <c r="C11" s="246" t="s">
        <v>1340</v>
      </c>
      <c r="D11" s="283"/>
      <c r="E11" s="283"/>
      <c r="F11" s="239"/>
      <c r="G11" s="284" t="str">
        <f>_xlfn.CONCAT(_xlfn.XLOOKUP("[S12_FraudFreeAllocationOfAllowances][5][DetailsOfProceduresInNationalLaw]",Submission!$O:$O,Submission!$H:$N,""))</f>
        <v>Arrangements and procedures are established in the Criminal Code, Chapter 9, of the Laws of Malta. These arrangements and procedures do not necessarily and specifically refer to matters relating to allowances.</v>
      </c>
      <c r="H11" s="348"/>
      <c r="I11" s="285"/>
    </row>
    <row r="12" spans="1:9" ht="45" customHeight="1" x14ac:dyDescent="0.3">
      <c r="C12" s="246" t="s">
        <v>1341</v>
      </c>
      <c r="D12" s="283"/>
      <c r="E12" s="283"/>
      <c r="F12" s="239"/>
      <c r="G12" s="284" t="str">
        <f>_xlfn.CONCAT(_xlfn.XLOOKUP("[S12_FraudFreeAllocationOfAllowances][6][DetailsOfProceduresInNationalLaw]",Submission!$O:$O,Submission!$H:$N,""))</f>
        <v>Penalties relating to fraudulent activities are established in the Criminal Code, Chapter 9, of the Laws of Malta.</v>
      </c>
      <c r="H12" s="348"/>
      <c r="I12" s="285"/>
    </row>
    <row r="13" spans="1:9" ht="15.9" customHeight="1" x14ac:dyDescent="0.3">
      <c r="D13" s="11"/>
    </row>
    <row r="14" spans="1:9" ht="15.9" customHeight="1" x14ac:dyDescent="0.3">
      <c r="A14" s="12" t="s">
        <v>633</v>
      </c>
      <c r="B14" s="555" t="s">
        <v>1342</v>
      </c>
      <c r="C14" s="556"/>
      <c r="D14" s="556"/>
      <c r="E14" s="556"/>
      <c r="F14" s="556"/>
      <c r="G14" s="556"/>
      <c r="H14" s="556"/>
      <c r="I14" s="556"/>
    </row>
    <row r="15" spans="1:9" ht="32.1" customHeight="1" x14ac:dyDescent="0.3">
      <c r="B15" s="293" t="s">
        <v>1343</v>
      </c>
      <c r="C15" s="294"/>
      <c r="D15" s="294"/>
      <c r="E15" s="294"/>
      <c r="F15" s="294"/>
      <c r="G15" s="294"/>
      <c r="H15" s="294"/>
      <c r="I15" s="294"/>
    </row>
    <row r="16" spans="1:9" ht="15.9" customHeight="1" x14ac:dyDescent="0.3">
      <c r="C16" s="303" t="s">
        <v>1344</v>
      </c>
      <c r="D16" s="330"/>
      <c r="E16" s="330"/>
      <c r="F16" s="309"/>
      <c r="G16" s="303" t="s">
        <v>1345</v>
      </c>
      <c r="H16" s="330"/>
      <c r="I16" s="309"/>
    </row>
    <row r="17" spans="1:9" ht="42.6" customHeight="1" x14ac:dyDescent="0.3">
      <c r="C17" s="246" t="s">
        <v>1346</v>
      </c>
      <c r="D17" s="283"/>
      <c r="E17" s="283"/>
      <c r="F17" s="239"/>
      <c r="G17" s="284" t="str">
        <f>_xlfn.CONCAT(_xlfn.XLOOKUP("[S12_CompetentAuthoritiesAwareOfFraud][1][DetailsOfArrangementsAndProcedures]",Submission!$O:$O,Submission!$H:$N,""))</f>
        <v/>
      </c>
      <c r="H17" s="348"/>
      <c r="I17" s="285"/>
    </row>
    <row r="18" spans="1:9" ht="40.200000000000003" customHeight="1" x14ac:dyDescent="0.3">
      <c r="C18" s="246" t="s">
        <v>1347</v>
      </c>
      <c r="D18" s="283"/>
      <c r="E18" s="283"/>
      <c r="F18" s="239"/>
      <c r="G18" s="284" t="str">
        <f>_xlfn.CONCAT(_xlfn.XLOOKUP("[S12_CompetentAuthoritiesAwareOfFraud][2][DetailsOfArrangementsAndProcedures]",Submission!$O:$O,Submission!$H:$N,""))</f>
        <v/>
      </c>
      <c r="H18" s="348"/>
      <c r="I18" s="285"/>
    </row>
    <row r="19" spans="1:9" ht="40.200000000000003" customHeight="1" x14ac:dyDescent="0.3">
      <c r="C19" s="246" t="s">
        <v>1348</v>
      </c>
      <c r="D19" s="283"/>
      <c r="E19" s="283"/>
      <c r="F19" s="239"/>
      <c r="G19" s="284" t="str">
        <f>_xlfn.CONCAT(_xlfn.XLOOKUP("[S12_CompetentAuthoritiesAwareOfFraud][3][DetailsOfArrangementsAndProcedures]",Submission!$O:$O,Submission!$H:$N,""))</f>
        <v/>
      </c>
      <c r="H19" s="348"/>
      <c r="I19" s="285"/>
    </row>
    <row r="20" spans="1:9" ht="40.200000000000003" customHeight="1" x14ac:dyDescent="0.3">
      <c r="C20" s="246" t="s">
        <v>1349</v>
      </c>
      <c r="D20" s="283"/>
      <c r="E20" s="283"/>
      <c r="F20" s="239"/>
      <c r="G20" s="284" t="str">
        <f>_xlfn.CONCAT(_xlfn.XLOOKUP("[S12_CompetentAuthoritiesAwareOfFraud][4][DetailsOfArrangementsAndProcedures]",Submission!$O:$O,Submission!$H:$N,""))</f>
        <v/>
      </c>
      <c r="H20" s="348"/>
      <c r="I20" s="285"/>
    </row>
    <row r="21" spans="1:9" ht="15.9" customHeight="1" x14ac:dyDescent="0.3">
      <c r="D21" s="11"/>
    </row>
    <row r="22" spans="1:9" ht="32.1" customHeight="1" x14ac:dyDescent="0.3">
      <c r="A22" s="12" t="s">
        <v>637</v>
      </c>
      <c r="B22" s="293" t="s">
        <v>1350</v>
      </c>
      <c r="C22" s="294"/>
      <c r="D22" s="294"/>
      <c r="E22" s="294"/>
      <c r="F22" s="294"/>
      <c r="G22" s="294"/>
      <c r="H22" s="294"/>
      <c r="I22" s="294"/>
    </row>
    <row r="23" spans="1:9" ht="17.399999999999999" customHeight="1" x14ac:dyDescent="0.3">
      <c r="B23" s="15" t="s">
        <v>8</v>
      </c>
      <c r="C23" s="362" t="s">
        <v>1351</v>
      </c>
      <c r="D23" s="272"/>
      <c r="E23" s="272"/>
      <c r="F23" s="272"/>
      <c r="G23" s="272"/>
      <c r="H23" s="272"/>
      <c r="I23" s="272"/>
    </row>
    <row r="24" spans="1:9" ht="17.399999999999999" customHeight="1" x14ac:dyDescent="0.3">
      <c r="B24" s="15" t="s">
        <v>8</v>
      </c>
      <c r="C24" s="362" t="s">
        <v>1352</v>
      </c>
      <c r="D24" s="272"/>
      <c r="E24" s="272"/>
      <c r="F24" s="272"/>
      <c r="G24" s="272"/>
      <c r="H24" s="272"/>
      <c r="I24" s="272"/>
    </row>
    <row r="25" spans="1:9" ht="17.399999999999999" customHeight="1" x14ac:dyDescent="0.3">
      <c r="B25" s="15" t="s">
        <v>8</v>
      </c>
      <c r="C25" s="362" t="s">
        <v>1353</v>
      </c>
      <c r="D25" s="272"/>
      <c r="E25" s="272"/>
      <c r="F25" s="272"/>
      <c r="G25" s="272"/>
      <c r="H25" s="272"/>
      <c r="I25" s="272"/>
    </row>
    <row r="26" spans="1:9" ht="17.399999999999999" customHeight="1" x14ac:dyDescent="0.3">
      <c r="B26" s="15" t="s">
        <v>8</v>
      </c>
      <c r="C26" s="363" t="s">
        <v>1354</v>
      </c>
      <c r="D26" s="554"/>
      <c r="E26" s="554"/>
      <c r="F26" s="554"/>
      <c r="G26" s="554"/>
      <c r="H26" s="554"/>
      <c r="I26" s="554"/>
    </row>
    <row r="27" spans="1:9" ht="15.9" customHeight="1" x14ac:dyDescent="0.3">
      <c r="C27" s="315" t="s">
        <v>1355</v>
      </c>
      <c r="D27" s="379"/>
      <c r="E27" s="379"/>
      <c r="F27" s="379"/>
      <c r="G27" s="336"/>
      <c r="H27" s="315" t="s">
        <v>726</v>
      </c>
      <c r="I27" s="336"/>
    </row>
    <row r="28" spans="1:9" ht="20.399999999999999" customHeight="1" x14ac:dyDescent="0.3">
      <c r="C28" s="246" t="s">
        <v>1356</v>
      </c>
      <c r="D28" s="283"/>
      <c r="E28" s="283"/>
      <c r="F28" s="283"/>
      <c r="G28" s="239"/>
      <c r="H28" s="341" t="str">
        <f>_xlfn.CONCAT(_xlfn.XLOOKUP("[S12_InformationOnFraudActivities][1][NumberOfActivities]",Submission!$O:$O,Submission!$H:$N,""))</f>
        <v>0</v>
      </c>
      <c r="I28" s="342"/>
    </row>
    <row r="29" spans="1:9" ht="20.399999999999999" customHeight="1" x14ac:dyDescent="0.3">
      <c r="C29" s="246" t="s">
        <v>1357</v>
      </c>
      <c r="D29" s="283"/>
      <c r="E29" s="283"/>
      <c r="F29" s="283"/>
      <c r="G29" s="239"/>
      <c r="H29" s="341" t="str">
        <f>_xlfn.CONCAT(_xlfn.XLOOKUP("[S12_InformationOnFraudActivities][2][NumberOfActivities]",Submission!$O:$O,Submission!$H:$N,""))</f>
        <v>0</v>
      </c>
      <c r="I29" s="342"/>
    </row>
    <row r="30" spans="1:9" ht="20.399999999999999" customHeight="1" x14ac:dyDescent="0.3">
      <c r="C30" s="246" t="s">
        <v>1358</v>
      </c>
      <c r="D30" s="283"/>
      <c r="E30" s="283"/>
      <c r="F30" s="283"/>
      <c r="G30" s="239"/>
      <c r="H30" s="341" t="str">
        <f>_xlfn.CONCAT(_xlfn.XLOOKUP("[S12_InformationOnFraudActivities][3][NumberOfActivities]",Submission!$O:$O,Submission!$H:$N,""))</f>
        <v>0</v>
      </c>
      <c r="I30" s="342"/>
    </row>
    <row r="31" spans="1:9" ht="20.399999999999999" customHeight="1" x14ac:dyDescent="0.3">
      <c r="C31" s="246" t="s">
        <v>1359</v>
      </c>
      <c r="D31" s="283"/>
      <c r="E31" s="283"/>
      <c r="F31" s="283"/>
      <c r="G31" s="239"/>
      <c r="H31" s="341" t="str">
        <f>_xlfn.CONCAT(_xlfn.XLOOKUP("[S12_InformationOnFraudActivities][4][NumberOfActivities]",Submission!$O:$O,Submission!$H:$N,""))</f>
        <v>0</v>
      </c>
      <c r="I31" s="342"/>
    </row>
  </sheetData>
  <mergeCells count="45">
    <mergeCell ref="B3:I3"/>
    <mergeCell ref="B4:I4"/>
    <mergeCell ref="B5:I5"/>
    <mergeCell ref="C6:F6"/>
    <mergeCell ref="G6:I6"/>
    <mergeCell ref="C7:F7"/>
    <mergeCell ref="G7:I7"/>
    <mergeCell ref="C8:F8"/>
    <mergeCell ref="G8:I8"/>
    <mergeCell ref="C9:F9"/>
    <mergeCell ref="G9:I9"/>
    <mergeCell ref="C10:F10"/>
    <mergeCell ref="G10:I10"/>
    <mergeCell ref="C11:F11"/>
    <mergeCell ref="G11:I11"/>
    <mergeCell ref="C12:F12"/>
    <mergeCell ref="G12:I12"/>
    <mergeCell ref="C26:I26"/>
    <mergeCell ref="B14:I14"/>
    <mergeCell ref="B15:I15"/>
    <mergeCell ref="C16:F16"/>
    <mergeCell ref="G16:I16"/>
    <mergeCell ref="C17:F17"/>
    <mergeCell ref="G17:I17"/>
    <mergeCell ref="G20:I20"/>
    <mergeCell ref="B22:I22"/>
    <mergeCell ref="C23:I23"/>
    <mergeCell ref="C24:I24"/>
    <mergeCell ref="C25:I2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13</v>
      </c>
      <c r="B3" s="327" t="s">
        <v>641</v>
      </c>
      <c r="C3" s="327"/>
      <c r="D3" s="327"/>
      <c r="E3" s="327"/>
      <c r="F3" s="327"/>
      <c r="G3" s="327"/>
      <c r="H3" s="327"/>
      <c r="I3" s="327"/>
    </row>
    <row r="4" spans="1:9" ht="24.6" customHeight="1" x14ac:dyDescent="0.3">
      <c r="A4" s="12" t="s">
        <v>642</v>
      </c>
      <c r="B4" s="560" t="s">
        <v>1360</v>
      </c>
      <c r="C4" s="561"/>
      <c r="D4" s="561"/>
      <c r="E4" s="561"/>
      <c r="F4" s="561"/>
      <c r="G4" s="561"/>
      <c r="H4" s="561"/>
      <c r="I4" s="561"/>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48" t="str">
        <f>_xlfn.CONCAT(_xlfn.XLOOKUP("[S13_AnyOtherIssues][1][OtherInformationOrIssues]",Submission!$O:$O,Submission!$H:$N,""))</f>
        <v/>
      </c>
      <c r="F7" s="348"/>
      <c r="G7" s="348"/>
      <c r="H7" s="348"/>
      <c r="I7" s="285"/>
    </row>
    <row r="8" spans="1:9" ht="27" customHeight="1" x14ac:dyDescent="0.3">
      <c r="C8" s="96" t="s">
        <v>1365</v>
      </c>
      <c r="D8" s="160"/>
      <c r="E8" s="348" t="str">
        <f>_xlfn.CONCAT(_xlfn.XLOOKUP("[S13_AnyOtherIssues][2][OtherInformationOrIssues]",Submission!$O:$O,Submission!$H:$N,""))</f>
        <v/>
      </c>
      <c r="F8" s="348"/>
      <c r="G8" s="348"/>
      <c r="H8" s="348"/>
      <c r="I8" s="285"/>
    </row>
    <row r="9" spans="1:9" ht="27" customHeight="1" x14ac:dyDescent="0.3">
      <c r="C9" s="557" t="s">
        <v>1366</v>
      </c>
      <c r="D9" s="161" t="str">
        <f>_xlfn.CONCAT(_xlfn.XLOOKUP("[S13_AnyOtherIssues][3][QuestionnaireSubQuestion]",Submission!$O:$O,Submission!$H:$N,""))</f>
        <v>Question 2.2</v>
      </c>
      <c r="E9" s="348" t="str">
        <f>_xlfn.CONCAT(_xlfn.XLOOKUP("[S13_AnyOtherIssues][3][OtherInformationOrIssues]",Submission!$O:$O,Submission!$H:$N,""))</f>
        <v>It is to note that no installations in Malta are eligible or required to submit activity level changes reports.</v>
      </c>
      <c r="F9" s="348"/>
      <c r="G9" s="348"/>
      <c r="H9" s="348"/>
      <c r="I9" s="285"/>
    </row>
    <row r="10" spans="1:9" ht="27" customHeight="1" x14ac:dyDescent="0.3">
      <c r="C10" s="558"/>
      <c r="D10" s="161" t="str">
        <f>_xlfn.CONCAT(_xlfn.XLOOKUP("[S13_AnyOtherIssues][4][QuestionnaireSubQuestion]",Submission!$O:$O,Submission!$H:$N,""))</f>
        <v>Question 2.2</v>
      </c>
      <c r="E10" s="348" t="str">
        <f>_xlfn.CONCAT(_xlfn.XLOOKUP("[S13_AnyOtherIssues][4][OtherInformationOrIssues]",Submission!$O:$O,Submission!$H:$N,""))</f>
        <v>It is to note that Malta has not unilaterally included any activity or gases in accordance with Article 24.</v>
      </c>
      <c r="F10" s="348"/>
      <c r="G10" s="348"/>
      <c r="H10" s="348"/>
      <c r="I10" s="285"/>
    </row>
    <row r="11" spans="1:9" ht="27" hidden="1" customHeight="1" outlineLevel="1" x14ac:dyDescent="0.3">
      <c r="C11" s="558"/>
      <c r="D11" s="161" t="str">
        <f>_xlfn.CONCAT(_xlfn.XLOOKUP("[S13_AnyOtherIssues][5][QuestionnaireSubQuestion]",Submission!$O:$O,Submission!$H:$N,""))</f>
        <v/>
      </c>
      <c r="E11" s="348" t="str">
        <f>_xlfn.CONCAT(_xlfn.XLOOKUP("[S13_AnyOtherIssues][5][OtherInformationOrIssues]",Submission!$O:$O,Submission!$H:$N,""))</f>
        <v/>
      </c>
      <c r="F11" s="348"/>
      <c r="G11" s="348"/>
      <c r="H11" s="348"/>
      <c r="I11" s="285"/>
    </row>
    <row r="12" spans="1:9" ht="27" hidden="1" customHeight="1" outlineLevel="1" x14ac:dyDescent="0.3">
      <c r="C12" s="559"/>
      <c r="D12" s="161" t="str">
        <f>_xlfn.CONCAT(_xlfn.XLOOKUP("[S13_AnyOtherIssues][6][QuestionnaireSubQuestion]",Submission!$O:$O,Submission!$H:$N,""))</f>
        <v/>
      </c>
      <c r="E12" s="348" t="str">
        <f>_xlfn.CONCAT(_xlfn.XLOOKUP("[S13_AnyOtherIssues][6][OtherInformationOrIssues]",Submission!$O:$O,Submission!$H:$N,""))</f>
        <v/>
      </c>
      <c r="F12" s="348"/>
      <c r="G12" s="348"/>
      <c r="H12" s="348"/>
      <c r="I12" s="285"/>
    </row>
    <row r="13" spans="1:9" ht="27" customHeight="1" collapsed="1" x14ac:dyDescent="0.3">
      <c r="C13" s="557" t="s">
        <v>1367</v>
      </c>
      <c r="D13" s="161" t="str">
        <f>_xlfn.CONCAT(_xlfn.XLOOKUP("[S13_AnyOtherIssues][7][QuestionnaireSubQuestion]",Submission!$O:$O,Submission!$H:$N,""))</f>
        <v/>
      </c>
      <c r="E13" s="348" t="str">
        <f>_xlfn.CONCAT(_xlfn.XLOOKUP("[S13_AnyOtherIssues][7][OtherInformationOrIssues]",Submission!$O:$O,Submission!$H:$N,""))</f>
        <v/>
      </c>
      <c r="F13" s="348"/>
      <c r="G13" s="348"/>
      <c r="H13" s="348"/>
      <c r="I13" s="285"/>
    </row>
    <row r="14" spans="1:9" ht="27" customHeight="1" x14ac:dyDescent="0.3">
      <c r="C14" s="558"/>
      <c r="D14" s="161" t="str">
        <f>_xlfn.CONCAT(_xlfn.XLOOKUP("[S13_AnyOtherIssues][8][QuestionnaireSubQuestion]",Submission!$O:$O,Submission!$H:$N,""))</f>
        <v/>
      </c>
      <c r="E14" s="348" t="str">
        <f>_xlfn.CONCAT(_xlfn.XLOOKUP("[S13_AnyOtherIssues][8][OtherInformationOrIssues]",Submission!$O:$O,Submission!$H:$N,""))</f>
        <v/>
      </c>
      <c r="F14" s="348"/>
      <c r="G14" s="348"/>
      <c r="H14" s="348"/>
      <c r="I14" s="285"/>
    </row>
    <row r="15" spans="1:9" ht="27" hidden="1" customHeight="1" outlineLevel="1" x14ac:dyDescent="0.3">
      <c r="C15" s="559"/>
      <c r="D15" s="161" t="str">
        <f>_xlfn.CONCAT(_xlfn.XLOOKUP("[S13_AnyOtherIssues][9][QuestionnaireSubQuestion]",Submission!$O:$O,Submission!$H:$N,""))</f>
        <v/>
      </c>
      <c r="E15" s="348" t="str">
        <f>_xlfn.CONCAT(_xlfn.XLOOKUP("[S13_AnyOtherIssues][9][OtherInformationOrIssues]",Submission!$O:$O,Submission!$H:$N,""))</f>
        <v/>
      </c>
      <c r="F15" s="348"/>
      <c r="G15" s="348"/>
      <c r="H15" s="348"/>
      <c r="I15" s="285"/>
    </row>
    <row r="16" spans="1:9" ht="27" customHeight="1" collapsed="1" x14ac:dyDescent="0.3">
      <c r="C16" s="557" t="s">
        <v>1368</v>
      </c>
      <c r="D16" s="161" t="str">
        <f>_xlfn.CONCAT(_xlfn.XLOOKUP("[S13_AnyOtherIssues][10][QuestionnaireSubQuestion]",Submission!$O:$O,Submission!$H:$N,""))</f>
        <v/>
      </c>
      <c r="E16" s="348" t="str">
        <f>_xlfn.CONCAT(_xlfn.XLOOKUP("[S13_AnyOtherIssues][10][OtherInformationOrIssues]",Submission!$O:$O,Submission!$H:$N,""))</f>
        <v/>
      </c>
      <c r="F16" s="348"/>
      <c r="G16" s="348"/>
      <c r="H16" s="348"/>
      <c r="I16" s="285"/>
    </row>
    <row r="17" spans="3:11" ht="27" customHeight="1" x14ac:dyDescent="0.3">
      <c r="C17" s="559"/>
      <c r="D17" s="161" t="str">
        <f>_xlfn.CONCAT(_xlfn.XLOOKUP("[S13_AnyOtherIssues][11][QuestionnaireSubQuestion]",Submission!$O:$O,Submission!$H:$N,""))</f>
        <v/>
      </c>
      <c r="E17" s="348" t="str">
        <f>_xlfn.CONCAT(_xlfn.XLOOKUP("[S13_AnyOtherIssues][11][OtherInformationOrIssues]",Submission!$O:$O,Submission!$H:$N,""))</f>
        <v/>
      </c>
      <c r="F17" s="348"/>
      <c r="G17" s="348"/>
      <c r="H17" s="348"/>
      <c r="I17" s="285"/>
    </row>
    <row r="18" spans="3:11" ht="27" customHeight="1" x14ac:dyDescent="0.3">
      <c r="C18" s="557" t="s">
        <v>1369</v>
      </c>
      <c r="D18" s="161" t="str">
        <f>_xlfn.CONCAT(_xlfn.XLOOKUP("[S13_AnyOtherIssues][12][QuestionnaireSubQuestion]",Submission!$O:$O,Submission!$H:$N,""))</f>
        <v>Question 5.6</v>
      </c>
      <c r="E18" s="348" t="str">
        <f>_xlfn.CONCAT(_xlfn.XLOOKUP("[S13_AnyOtherIssues][12][OtherInformationOrIssues]",Submission!$O:$O,Submission!$H:$N,""))</f>
        <v>With reference to reported process emissions, in the national GHG inventory these are reported under category 2D3. This category is not listed in the drop down list provided in this template.</v>
      </c>
      <c r="F18" s="348"/>
      <c r="G18" s="348"/>
      <c r="H18" s="348"/>
      <c r="I18" s="285"/>
      <c r="K18" s="186"/>
    </row>
    <row r="19" spans="3:11" ht="27" customHeight="1" x14ac:dyDescent="0.3">
      <c r="C19" s="558"/>
      <c r="D19" s="161" t="str">
        <f>_xlfn.CONCAT(_xlfn.XLOOKUP("[S13_AnyOtherIssues][13][QuestionnaireSubQuestion]",Submission!$O:$O,Submission!$H:$N,""))</f>
        <v>Question 5.7</v>
      </c>
      <c r="E19" s="348" t="str">
        <f>_xlfn.CONCAT(_xlfn.XLOOKUP("[S13_AnyOtherIssues][13][OtherInformationOrIssues]",Submission!$O:$O,Submission!$H:$N,""))</f>
        <v>To clarify that for this material type, the emission factor approved by the competent authority is derived from the stoichiometric equation in consultation with IPCC Guidelines.</v>
      </c>
      <c r="F19" s="348"/>
      <c r="G19" s="348"/>
      <c r="H19" s="348"/>
      <c r="I19" s="285"/>
    </row>
    <row r="20" spans="3:11" ht="27" hidden="1" customHeight="1" outlineLevel="1" x14ac:dyDescent="0.3">
      <c r="C20" s="558"/>
      <c r="D20" s="161" t="str">
        <f>_xlfn.CONCAT(_xlfn.XLOOKUP("[S13_AnyOtherIssues][14][QuestionnaireSubQuestion]",Submission!$O:$O,Submission!$H:$N,""))</f>
        <v>Question 5.12</v>
      </c>
      <c r="E20" s="348" t="str">
        <f>_xlfn.CONCAT(_xlfn.XLOOKUP("[S13_AnyOtherIssues][14][OtherInformationOrIssues]",Submission!$O:$O,Submission!$H:$N,""))</f>
        <v>No installation was required to submit an improvement report in 2021 (for annual emissions reporting in respect of 2020)</v>
      </c>
      <c r="F20" s="348"/>
      <c r="G20" s="348"/>
      <c r="H20" s="348"/>
      <c r="I20" s="285"/>
    </row>
    <row r="21" spans="3:11" ht="27" hidden="1" customHeight="1" outlineLevel="1" x14ac:dyDescent="0.3">
      <c r="C21" s="558"/>
      <c r="D21" s="161" t="str">
        <f>_xlfn.CONCAT(_xlfn.XLOOKUP("[S13_AnyOtherIssues][15][QuestionnaireSubQuestion]",Submission!$O:$O,Submission!$H:$N,""))</f>
        <v>Question 5.18</v>
      </c>
      <c r="E21" s="348" t="str">
        <f>_xlfn.CONCAT(_xlfn.XLOOKUP("[S13_AnyOtherIssues][15][OtherInformationOrIssues]",Submission!$O:$O,Submission!$H:$N,""))</f>
        <v>No aircraft operators were categorized as small emitters in respect of 2021 aviation activities.</v>
      </c>
      <c r="F21" s="348"/>
      <c r="G21" s="348"/>
      <c r="H21" s="348"/>
      <c r="I21" s="285"/>
    </row>
    <row r="22" spans="3:11" ht="27" hidden="1" customHeight="1" outlineLevel="1" x14ac:dyDescent="0.3">
      <c r="C22" s="558"/>
      <c r="D22" s="161" t="str">
        <f>_xlfn.CONCAT(_xlfn.XLOOKUP("[S13_AnyOtherIssues][16][QuestionnaireSubQuestion]",Submission!$O:$O,Submission!$H:$N,""))</f>
        <v/>
      </c>
      <c r="E22" s="348" t="str">
        <f>_xlfn.CONCAT(_xlfn.XLOOKUP("[S13_AnyOtherIssues][16][OtherInformationOrIssues]",Submission!$O:$O,Submission!$H:$N,""))</f>
        <v/>
      </c>
      <c r="F22" s="348"/>
      <c r="G22" s="348"/>
      <c r="H22" s="348"/>
      <c r="I22" s="285"/>
    </row>
    <row r="23" spans="3:11" ht="27" hidden="1" customHeight="1" outlineLevel="1" x14ac:dyDescent="0.3">
      <c r="C23" s="558"/>
      <c r="D23" s="161" t="str">
        <f>_xlfn.CONCAT(_xlfn.XLOOKUP("[S13_AnyOtherIssues][17][QuestionnaireSubQuestion]",Submission!$O:$O,Submission!$H:$N,""))</f>
        <v/>
      </c>
      <c r="E23" s="348" t="str">
        <f>_xlfn.CONCAT(_xlfn.XLOOKUP("[S13_AnyOtherIssues][17][OtherInformationOrIssues]",Submission!$O:$O,Submission!$H:$N,""))</f>
        <v/>
      </c>
      <c r="F23" s="348"/>
      <c r="G23" s="348"/>
      <c r="H23" s="348"/>
      <c r="I23" s="285"/>
    </row>
    <row r="24" spans="3:11" ht="27" hidden="1" customHeight="1" outlineLevel="1" x14ac:dyDescent="0.3">
      <c r="C24" s="558"/>
      <c r="D24" s="161" t="str">
        <f>_xlfn.CONCAT(_xlfn.XLOOKUP("[S13_AnyOtherIssues][18][QuestionnaireSubQuestion]",Submission!$O:$O,Submission!$H:$N,""))</f>
        <v/>
      </c>
      <c r="E24" s="348" t="str">
        <f>_xlfn.CONCAT(_xlfn.XLOOKUP("[S13_AnyOtherIssues][18][OtherInformationOrIssues]",Submission!$O:$O,Submission!$H:$N,""))</f>
        <v/>
      </c>
      <c r="F24" s="348"/>
      <c r="G24" s="348"/>
      <c r="H24" s="348"/>
      <c r="I24" s="285"/>
    </row>
    <row r="25" spans="3:11" ht="27" hidden="1" customHeight="1" outlineLevel="1" x14ac:dyDescent="0.3">
      <c r="C25" s="558"/>
      <c r="D25" s="161" t="str">
        <f>_xlfn.CONCAT(_xlfn.XLOOKUP("[S13_AnyOtherIssues][19][QuestionnaireSubQuestion]",Submission!$O:$O,Submission!$H:$N,""))</f>
        <v/>
      </c>
      <c r="E25" s="348" t="str">
        <f>_xlfn.CONCAT(_xlfn.XLOOKUP("[S13_AnyOtherIssues][19][OtherInformationOrIssues]",Submission!$O:$O,Submission!$H:$N,""))</f>
        <v/>
      </c>
      <c r="F25" s="348"/>
      <c r="G25" s="348"/>
      <c r="H25" s="348"/>
      <c r="I25" s="285"/>
    </row>
    <row r="26" spans="3:11" ht="27" hidden="1" customHeight="1" outlineLevel="1" x14ac:dyDescent="0.3">
      <c r="C26" s="558"/>
      <c r="D26" s="161" t="str">
        <f>_xlfn.CONCAT(_xlfn.XLOOKUP("[S13_AnyOtherIssues][20][QuestionnaireSubQuestion]",Submission!$O:$O,Submission!$H:$N,""))</f>
        <v/>
      </c>
      <c r="E26" s="348" t="str">
        <f>_xlfn.CONCAT(_xlfn.XLOOKUP("[S13_AnyOtherIssues][20][OtherInformationOrIssues]",Submission!$O:$O,Submission!$H:$N,""))</f>
        <v/>
      </c>
      <c r="F26" s="348"/>
      <c r="G26" s="348"/>
      <c r="H26" s="348"/>
      <c r="I26" s="285"/>
    </row>
    <row r="27" spans="3:11" ht="27" hidden="1" customHeight="1" outlineLevel="1" x14ac:dyDescent="0.3">
      <c r="C27" s="558"/>
      <c r="D27" s="161" t="str">
        <f>_xlfn.CONCAT(_xlfn.XLOOKUP("[S13_AnyOtherIssues][21][QuestionnaireSubQuestion]",Submission!$O:$O,Submission!$H:$N,""))</f>
        <v/>
      </c>
      <c r="E27" s="348" t="str">
        <f>_xlfn.CONCAT(_xlfn.XLOOKUP("[S13_AnyOtherIssues][21][OtherInformationOrIssues]",Submission!$O:$O,Submission!$H:$N,""))</f>
        <v/>
      </c>
      <c r="F27" s="348"/>
      <c r="G27" s="348"/>
      <c r="H27" s="348"/>
      <c r="I27" s="285"/>
    </row>
    <row r="28" spans="3:11" ht="27" hidden="1" customHeight="1" outlineLevel="1" x14ac:dyDescent="0.3">
      <c r="C28" s="558"/>
      <c r="D28" s="161" t="str">
        <f>_xlfn.CONCAT(_xlfn.XLOOKUP("[S13_AnyOtherIssues][22][QuestionnaireSubQuestion]",Submission!$O:$O,Submission!$H:$N,""))</f>
        <v/>
      </c>
      <c r="E28" s="348" t="str">
        <f>_xlfn.CONCAT(_xlfn.XLOOKUP("[S13_AnyOtherIssues][22][OtherInformationOrIssues]",Submission!$O:$O,Submission!$H:$N,""))</f>
        <v/>
      </c>
      <c r="F28" s="348"/>
      <c r="G28" s="348"/>
      <c r="H28" s="348"/>
      <c r="I28" s="285"/>
    </row>
    <row r="29" spans="3:11" ht="27" hidden="1" customHeight="1" outlineLevel="1" x14ac:dyDescent="0.3">
      <c r="C29" s="558"/>
      <c r="D29" s="161" t="str">
        <f>_xlfn.CONCAT(_xlfn.XLOOKUP("[S13_AnyOtherIssues][23][QuestionnaireSubQuestion]",Submission!$O:$O,Submission!$H:$N,""))</f>
        <v/>
      </c>
      <c r="E29" s="348" t="str">
        <f>_xlfn.CONCAT(_xlfn.XLOOKUP("[S13_AnyOtherIssues][23][OtherInformationOrIssues]",Submission!$O:$O,Submission!$H:$N,""))</f>
        <v/>
      </c>
      <c r="F29" s="348"/>
      <c r="G29" s="348"/>
      <c r="H29" s="348"/>
      <c r="I29" s="285"/>
    </row>
    <row r="30" spans="3:11" ht="27" hidden="1" customHeight="1" outlineLevel="1" x14ac:dyDescent="0.3">
      <c r="C30" s="558"/>
      <c r="D30" s="161" t="str">
        <f>_xlfn.CONCAT(_xlfn.XLOOKUP("[S13_AnyOtherIssues][24][QuestionnaireSubQuestion]",Submission!$O:$O,Submission!$H:$N,""))</f>
        <v/>
      </c>
      <c r="E30" s="348" t="str">
        <f>_xlfn.CONCAT(_xlfn.XLOOKUP("[S13_AnyOtherIssues][24][OtherInformationOrIssues]",Submission!$O:$O,Submission!$H:$N,""))</f>
        <v/>
      </c>
      <c r="F30" s="348"/>
      <c r="G30" s="348"/>
      <c r="H30" s="348"/>
      <c r="I30" s="285"/>
    </row>
    <row r="31" spans="3:11" ht="27" hidden="1" customHeight="1" outlineLevel="1" x14ac:dyDescent="0.3">
      <c r="C31" s="558"/>
      <c r="D31" s="161" t="str">
        <f>_xlfn.CONCAT(_xlfn.XLOOKUP("[S13_AnyOtherIssues][25][QuestionnaireSubQuestion]",Submission!$O:$O,Submission!$H:$N,""))</f>
        <v/>
      </c>
      <c r="E31" s="348" t="str">
        <f>_xlfn.CONCAT(_xlfn.XLOOKUP("[S13_AnyOtherIssues][25][OtherInformationOrIssues]",Submission!$O:$O,Submission!$H:$N,""))</f>
        <v/>
      </c>
      <c r="F31" s="348"/>
      <c r="G31" s="348"/>
      <c r="H31" s="348"/>
      <c r="I31" s="285"/>
    </row>
    <row r="32" spans="3:11" ht="27" hidden="1" customHeight="1" outlineLevel="1" x14ac:dyDescent="0.3">
      <c r="C32" s="558"/>
      <c r="D32" s="161" t="str">
        <f>_xlfn.CONCAT(_xlfn.XLOOKUP("[S13_AnyOtherIssues][26][QuestionnaireSubQuestion]",Submission!$O:$O,Submission!$H:$N,""))</f>
        <v/>
      </c>
      <c r="E32" s="348" t="str">
        <f>_xlfn.CONCAT(_xlfn.XLOOKUP("[S13_AnyOtherIssues][26][OtherInformationOrIssues]",Submission!$O:$O,Submission!$H:$N,""))</f>
        <v/>
      </c>
      <c r="F32" s="348"/>
      <c r="G32" s="348"/>
      <c r="H32" s="348"/>
      <c r="I32" s="285"/>
    </row>
    <row r="33" spans="3:9" ht="27" hidden="1" customHeight="1" outlineLevel="1" x14ac:dyDescent="0.3">
      <c r="C33" s="558"/>
      <c r="D33" s="161" t="str">
        <f>_xlfn.CONCAT(_xlfn.XLOOKUP("[S13_AnyOtherIssues][27][QuestionnaireSubQuestion]",Submission!$O:$O,Submission!$H:$N,""))</f>
        <v/>
      </c>
      <c r="E33" s="348" t="str">
        <f>_xlfn.CONCAT(_xlfn.XLOOKUP("[S13_AnyOtherIssues][27][OtherInformationOrIssues]",Submission!$O:$O,Submission!$H:$N,""))</f>
        <v/>
      </c>
      <c r="F33" s="348"/>
      <c r="G33" s="348"/>
      <c r="H33" s="348"/>
      <c r="I33" s="285"/>
    </row>
    <row r="34" spans="3:9" ht="27" hidden="1" customHeight="1" outlineLevel="1" x14ac:dyDescent="0.3">
      <c r="C34" s="558"/>
      <c r="D34" s="161" t="str">
        <f>_xlfn.CONCAT(_xlfn.XLOOKUP("[S13_AnyOtherIssues][28][QuestionnaireSubQuestion]",Submission!$O:$O,Submission!$H:$N,""))</f>
        <v/>
      </c>
      <c r="E34" s="348" t="str">
        <f>_xlfn.CONCAT(_xlfn.XLOOKUP("[S13_AnyOtherIssues][28][OtherInformationOrIssues]",Submission!$O:$O,Submission!$H:$N,""))</f>
        <v/>
      </c>
      <c r="F34" s="348"/>
      <c r="G34" s="348"/>
      <c r="H34" s="348"/>
      <c r="I34" s="285"/>
    </row>
    <row r="35" spans="3:9" ht="27" hidden="1" customHeight="1" outlineLevel="1" x14ac:dyDescent="0.3">
      <c r="C35" s="558"/>
      <c r="D35" s="161" t="str">
        <f>_xlfn.CONCAT(_xlfn.XLOOKUP("[S13_AnyOtherIssues][29][QuestionnaireSubQuestion]",Submission!$O:$O,Submission!$H:$N,""))</f>
        <v/>
      </c>
      <c r="E35" s="348" t="str">
        <f>_xlfn.CONCAT(_xlfn.XLOOKUP("[S13_AnyOtherIssues][29][OtherInformationOrIssues]",Submission!$O:$O,Submission!$H:$N,""))</f>
        <v/>
      </c>
      <c r="F35" s="348"/>
      <c r="G35" s="348"/>
      <c r="H35" s="348"/>
      <c r="I35" s="285"/>
    </row>
    <row r="36" spans="3:9" ht="27" hidden="1" customHeight="1" outlineLevel="1" x14ac:dyDescent="0.3">
      <c r="C36" s="558"/>
      <c r="D36" s="161" t="str">
        <f>_xlfn.CONCAT(_xlfn.XLOOKUP("[S13_AnyOtherIssues][30][QuestionnaireSubQuestion]",Submission!$O:$O,Submission!$H:$N,""))</f>
        <v/>
      </c>
      <c r="E36" s="348" t="str">
        <f>_xlfn.CONCAT(_xlfn.XLOOKUP("[S13_AnyOtherIssues][30][OtherInformationOrIssues]",Submission!$O:$O,Submission!$H:$N,""))</f>
        <v/>
      </c>
      <c r="F36" s="348"/>
      <c r="G36" s="348"/>
      <c r="H36" s="348"/>
      <c r="I36" s="285"/>
    </row>
    <row r="37" spans="3:9" ht="27" hidden="1" customHeight="1" outlineLevel="1" x14ac:dyDescent="0.3">
      <c r="C37" s="558"/>
      <c r="D37" s="161" t="str">
        <f>_xlfn.CONCAT(_xlfn.XLOOKUP("[S13_AnyOtherIssues][31][QuestionnaireSubQuestion]",Submission!$O:$O,Submission!$H:$N,""))</f>
        <v/>
      </c>
      <c r="E37" s="348" t="str">
        <f>_xlfn.CONCAT(_xlfn.XLOOKUP("[S13_AnyOtherIssues][31][OtherInformationOrIssues]",Submission!$O:$O,Submission!$H:$N,""))</f>
        <v/>
      </c>
      <c r="F37" s="348"/>
      <c r="G37" s="348"/>
      <c r="H37" s="348"/>
      <c r="I37" s="285"/>
    </row>
    <row r="38" spans="3:9" ht="27" hidden="1" customHeight="1" outlineLevel="1" x14ac:dyDescent="0.3">
      <c r="C38" s="558"/>
      <c r="D38" s="161" t="str">
        <f>_xlfn.CONCAT(_xlfn.XLOOKUP("[S13_AnyOtherIssues][32][QuestionnaireSubQuestion]",Submission!$O:$O,Submission!$H:$N,""))</f>
        <v/>
      </c>
      <c r="E38" s="348" t="str">
        <f>_xlfn.CONCAT(_xlfn.XLOOKUP("[S13_AnyOtherIssues][32][OtherInformationOrIssues]",Submission!$O:$O,Submission!$H:$N,""))</f>
        <v/>
      </c>
      <c r="F38" s="348"/>
      <c r="G38" s="348"/>
      <c r="H38" s="348"/>
      <c r="I38" s="285"/>
    </row>
    <row r="39" spans="3:9" ht="27" hidden="1" customHeight="1" outlineLevel="1" x14ac:dyDescent="0.3">
      <c r="C39" s="558"/>
      <c r="D39" s="161" t="str">
        <f>_xlfn.CONCAT(_xlfn.XLOOKUP("[S13_AnyOtherIssues][33][QuestionnaireSubQuestion]",Submission!$O:$O,Submission!$H:$N,""))</f>
        <v/>
      </c>
      <c r="E39" s="348" t="str">
        <f>_xlfn.CONCAT(_xlfn.XLOOKUP("[S13_AnyOtherIssues][33][OtherInformationOrIssues]",Submission!$O:$O,Submission!$H:$N,""))</f>
        <v/>
      </c>
      <c r="F39" s="348"/>
      <c r="G39" s="348"/>
      <c r="H39" s="348"/>
      <c r="I39" s="285"/>
    </row>
    <row r="40" spans="3:9" ht="27" hidden="1" customHeight="1" outlineLevel="1" x14ac:dyDescent="0.3">
      <c r="C40" s="559"/>
      <c r="D40" s="161" t="str">
        <f>_xlfn.CONCAT(_xlfn.XLOOKUP("[S13_AnyOtherIssues][34][QuestionnaireSubQuestion]",Submission!$O:$O,Submission!$H:$N,""))</f>
        <v/>
      </c>
      <c r="E40" s="348" t="str">
        <f>_xlfn.CONCAT(_xlfn.XLOOKUP("[S13_AnyOtherIssues][34][OtherInformationOrIssues]",Submission!$O:$O,Submission!$H:$N,""))</f>
        <v/>
      </c>
      <c r="F40" s="348"/>
      <c r="G40" s="348"/>
      <c r="H40" s="348"/>
      <c r="I40" s="285"/>
    </row>
    <row r="41" spans="3:9" ht="27" customHeight="1" collapsed="1" x14ac:dyDescent="0.3">
      <c r="C41" s="557" t="s">
        <v>1370</v>
      </c>
      <c r="D41" s="161" t="str">
        <f>_xlfn.CONCAT(_xlfn.XLOOKUP("[S13_AnyOtherIssues][35][QuestionnaireSubQuestion]",Submission!$O:$O,Submission!$H:$N,""))</f>
        <v>Question 6.12</v>
      </c>
      <c r="E41" s="348" t="str">
        <f>_xlfn.CONCAT(_xlfn.XLOOKUP("[S13_AnyOtherIssues][35][OtherInformationOrIssues]",Submission!$O:$O,Submission!$H:$N,""))</f>
        <v>The response to this question takes into account aircraft operators who had EU ETS/CH ETS obligations, or CORSIA obligations, or both.</v>
      </c>
      <c r="F41" s="348"/>
      <c r="G41" s="348"/>
      <c r="H41" s="348"/>
      <c r="I41" s="285"/>
    </row>
    <row r="42" spans="3:9" ht="27" customHeight="1" x14ac:dyDescent="0.3">
      <c r="C42" s="558"/>
      <c r="D42" s="161" t="str">
        <f>_xlfn.CONCAT(_xlfn.XLOOKUP("[S13_AnyOtherIssues][36][QuestionnaireSubQuestion]",Submission!$O:$O,Submission!$H:$N,""))</f>
        <v/>
      </c>
      <c r="E42" s="348" t="str">
        <f>_xlfn.CONCAT(_xlfn.XLOOKUP("[S13_AnyOtherIssues][36][OtherInformationOrIssues]",Submission!$O:$O,Submission!$H:$N,""))</f>
        <v/>
      </c>
      <c r="F42" s="348"/>
      <c r="G42" s="348"/>
      <c r="H42" s="348"/>
      <c r="I42" s="285"/>
    </row>
    <row r="43" spans="3:9" ht="27" hidden="1" customHeight="1" outlineLevel="1" x14ac:dyDescent="0.3">
      <c r="C43" s="558"/>
      <c r="D43" s="161" t="str">
        <f>_xlfn.CONCAT(_xlfn.XLOOKUP("[S13_AnyOtherIssues][37][QuestionnaireSubQuestion]",Submission!$O:$O,Submission!$H:$N,""))</f>
        <v/>
      </c>
      <c r="E43" s="348" t="str">
        <f>_xlfn.CONCAT(_xlfn.XLOOKUP("[S13_AnyOtherIssues][37][OtherInformationOrIssues]",Submission!$O:$O,Submission!$H:$N,""))</f>
        <v/>
      </c>
      <c r="F43" s="348"/>
      <c r="G43" s="348"/>
      <c r="H43" s="348"/>
      <c r="I43" s="285"/>
    </row>
    <row r="44" spans="3:9" ht="27" hidden="1" customHeight="1" outlineLevel="1" x14ac:dyDescent="0.3">
      <c r="C44" s="558"/>
      <c r="D44" s="161" t="str">
        <f>_xlfn.CONCAT(_xlfn.XLOOKUP("[S13_AnyOtherIssues][38][QuestionnaireSubQuestion]",Submission!$O:$O,Submission!$H:$N,""))</f>
        <v/>
      </c>
      <c r="E44" s="348" t="str">
        <f>_xlfn.CONCAT(_xlfn.XLOOKUP("[S13_AnyOtherIssues][38][OtherInformationOrIssues]",Submission!$O:$O,Submission!$H:$N,""))</f>
        <v/>
      </c>
      <c r="F44" s="348"/>
      <c r="G44" s="348"/>
      <c r="H44" s="348"/>
      <c r="I44" s="285"/>
    </row>
    <row r="45" spans="3:9" ht="27" hidden="1" customHeight="1" outlineLevel="1" x14ac:dyDescent="0.3">
      <c r="C45" s="558"/>
      <c r="D45" s="161" t="str">
        <f>_xlfn.CONCAT(_xlfn.XLOOKUP("[S13_AnyOtherIssues][39][QuestionnaireSubQuestion]",Submission!$O:$O,Submission!$H:$N,""))</f>
        <v/>
      </c>
      <c r="E45" s="348" t="str">
        <f>_xlfn.CONCAT(_xlfn.XLOOKUP("[S13_AnyOtherIssues][39][OtherInformationOrIssues]",Submission!$O:$O,Submission!$H:$N,""))</f>
        <v/>
      </c>
      <c r="F45" s="348"/>
      <c r="G45" s="348"/>
      <c r="H45" s="348"/>
      <c r="I45" s="285"/>
    </row>
    <row r="46" spans="3:9" ht="27" hidden="1" customHeight="1" outlineLevel="1" x14ac:dyDescent="0.3">
      <c r="C46" s="558"/>
      <c r="D46" s="161" t="str">
        <f>_xlfn.CONCAT(_xlfn.XLOOKUP("[S13_AnyOtherIssues][40][QuestionnaireSubQuestion]",Submission!$O:$O,Submission!$H:$N,""))</f>
        <v/>
      </c>
      <c r="E46" s="348" t="str">
        <f>_xlfn.CONCAT(_xlfn.XLOOKUP("[S13_AnyOtherIssues][40][OtherInformationOrIssues]",Submission!$O:$O,Submission!$H:$N,""))</f>
        <v/>
      </c>
      <c r="F46" s="348"/>
      <c r="G46" s="348"/>
      <c r="H46" s="348"/>
      <c r="I46" s="285"/>
    </row>
    <row r="47" spans="3:9" ht="27" hidden="1" customHeight="1" outlineLevel="1" x14ac:dyDescent="0.3">
      <c r="C47" s="558"/>
      <c r="D47" s="161" t="str">
        <f>_xlfn.CONCAT(_xlfn.XLOOKUP("[S13_AnyOtherIssues][41][QuestionnaireSubQuestion]",Submission!$O:$O,Submission!$H:$N,""))</f>
        <v/>
      </c>
      <c r="E47" s="348" t="str">
        <f>_xlfn.CONCAT(_xlfn.XLOOKUP("[S13_AnyOtherIssues][41][OtherInformationOrIssues]",Submission!$O:$O,Submission!$H:$N,""))</f>
        <v/>
      </c>
      <c r="F47" s="348"/>
      <c r="G47" s="348"/>
      <c r="H47" s="348"/>
      <c r="I47" s="285"/>
    </row>
    <row r="48" spans="3:9" ht="27" hidden="1" customHeight="1" outlineLevel="1" x14ac:dyDescent="0.3">
      <c r="C48" s="558"/>
      <c r="D48" s="161" t="str">
        <f>_xlfn.CONCAT(_xlfn.XLOOKUP("[S13_AnyOtherIssues][42][QuestionnaireSubQuestion]",Submission!$O:$O,Submission!$H:$N,""))</f>
        <v/>
      </c>
      <c r="E48" s="348" t="str">
        <f>_xlfn.CONCAT(_xlfn.XLOOKUP("[S13_AnyOtherIssues][42][OtherInformationOrIssues]",Submission!$O:$O,Submission!$H:$N,""))</f>
        <v/>
      </c>
      <c r="F48" s="348"/>
      <c r="G48" s="348"/>
      <c r="H48" s="348"/>
      <c r="I48" s="285"/>
    </row>
    <row r="49" spans="3:9" ht="27" hidden="1" customHeight="1" outlineLevel="1" x14ac:dyDescent="0.3">
      <c r="C49" s="558"/>
      <c r="D49" s="161" t="str">
        <f>_xlfn.CONCAT(_xlfn.XLOOKUP("[S13_AnyOtherIssues][43][QuestionnaireSubQuestion]",Submission!$O:$O,Submission!$H:$N,""))</f>
        <v/>
      </c>
      <c r="E49" s="348" t="str">
        <f>_xlfn.CONCAT(_xlfn.XLOOKUP("[S13_AnyOtherIssues][43][OtherInformationOrIssues]",Submission!$O:$O,Submission!$H:$N,""))</f>
        <v/>
      </c>
      <c r="F49" s="348"/>
      <c r="G49" s="348"/>
      <c r="H49" s="348"/>
      <c r="I49" s="285"/>
    </row>
    <row r="50" spans="3:9" ht="27" hidden="1" customHeight="1" outlineLevel="1" x14ac:dyDescent="0.3">
      <c r="C50" s="558"/>
      <c r="D50" s="161" t="str">
        <f>_xlfn.CONCAT(_xlfn.XLOOKUP("[S13_AnyOtherIssues][44][QuestionnaireSubQuestion]",Submission!$O:$O,Submission!$H:$N,""))</f>
        <v/>
      </c>
      <c r="E50" s="348" t="str">
        <f>_xlfn.CONCAT(_xlfn.XLOOKUP("[S13_AnyOtherIssues][44][OtherInformationOrIssues]",Submission!$O:$O,Submission!$H:$N,""))</f>
        <v/>
      </c>
      <c r="F50" s="348"/>
      <c r="G50" s="348"/>
      <c r="H50" s="348"/>
      <c r="I50" s="285"/>
    </row>
    <row r="51" spans="3:9" ht="27" hidden="1" customHeight="1" outlineLevel="1" x14ac:dyDescent="0.3">
      <c r="C51" s="558"/>
      <c r="D51" s="161" t="str">
        <f>_xlfn.CONCAT(_xlfn.XLOOKUP("[S13_AnyOtherIssues][45][QuestionnaireSubQuestion]",Submission!$O:$O,Submission!$H:$N,""))</f>
        <v/>
      </c>
      <c r="E51" s="348" t="str">
        <f>_xlfn.CONCAT(_xlfn.XLOOKUP("[S13_AnyOtherIssues][45][OtherInformationOrIssues]",Submission!$O:$O,Submission!$H:$N,""))</f>
        <v/>
      </c>
      <c r="F51" s="348"/>
      <c r="G51" s="348"/>
      <c r="H51" s="348"/>
      <c r="I51" s="285"/>
    </row>
    <row r="52" spans="3:9" ht="27" hidden="1" customHeight="1" outlineLevel="1" x14ac:dyDescent="0.3">
      <c r="C52" s="559"/>
      <c r="D52" s="161" t="str">
        <f>_xlfn.CONCAT(_xlfn.XLOOKUP("[S13_AnyOtherIssues][46][QuestionnaireSubQuestion]",Submission!$O:$O,Submission!$H:$N,""))</f>
        <v/>
      </c>
      <c r="E52" s="348" t="str">
        <f>_xlfn.CONCAT(_xlfn.XLOOKUP("[S13_AnyOtherIssues][46][OtherInformationOrIssues]",Submission!$O:$O,Submission!$H:$N,""))</f>
        <v/>
      </c>
      <c r="F52" s="348"/>
      <c r="G52" s="348"/>
      <c r="H52" s="348"/>
      <c r="I52" s="285"/>
    </row>
    <row r="53" spans="3:9" ht="27" customHeight="1" collapsed="1" x14ac:dyDescent="0.3">
      <c r="C53" s="557" t="s">
        <v>1371</v>
      </c>
      <c r="D53" s="161" t="str">
        <f>_xlfn.CONCAT(_xlfn.XLOOKUP("[S13_AnyOtherIssues][47][QuestionnaireSubQuestion]",Submission!$O:$O,Submission!$H:$N,""))</f>
        <v/>
      </c>
      <c r="E53" s="348" t="str">
        <f>_xlfn.CONCAT(_xlfn.XLOOKUP("[S13_AnyOtherIssues][47][OtherInformationOrIssues]",Submission!$O:$O,Submission!$H:$N,""))</f>
        <v/>
      </c>
      <c r="F53" s="348"/>
      <c r="G53" s="348"/>
      <c r="H53" s="348"/>
      <c r="I53" s="285"/>
    </row>
    <row r="54" spans="3:9" ht="27" customHeight="1" x14ac:dyDescent="0.3">
      <c r="C54" s="558"/>
      <c r="D54" s="161" t="str">
        <f>_xlfn.CONCAT(_xlfn.XLOOKUP("[S13_AnyOtherIssues][48][QuestionnaireSubQuestion]",Submission!$O:$O,Submission!$H:$N,""))</f>
        <v/>
      </c>
      <c r="E54" s="348" t="str">
        <f>_xlfn.CONCAT(_xlfn.XLOOKUP("[S13_AnyOtherIssues][48][OtherInformationOrIssues]",Submission!$O:$O,Submission!$H:$N,""))</f>
        <v/>
      </c>
      <c r="F54" s="348"/>
      <c r="G54" s="348"/>
      <c r="H54" s="348"/>
      <c r="I54" s="285"/>
    </row>
    <row r="55" spans="3:9" ht="27" hidden="1" customHeight="1" outlineLevel="1" x14ac:dyDescent="0.3">
      <c r="C55" s="559"/>
      <c r="D55" s="161" t="str">
        <f>_xlfn.CONCAT(_xlfn.XLOOKUP("[S13_AnyOtherIssues][49][QuestionnaireSubQuestion]",Submission!$O:$O,Submission!$H:$N,""))</f>
        <v/>
      </c>
      <c r="E55" s="348" t="str">
        <f>_xlfn.CONCAT(_xlfn.XLOOKUP("[S13_AnyOtherIssues][49][OtherInformationOrIssues]",Submission!$O:$O,Submission!$H:$N,""))</f>
        <v/>
      </c>
      <c r="F55" s="348"/>
      <c r="G55" s="348"/>
      <c r="H55" s="348"/>
      <c r="I55" s="285"/>
    </row>
    <row r="56" spans="3:9" ht="27" customHeight="1" collapsed="1" x14ac:dyDescent="0.3">
      <c r="C56" s="557" t="s">
        <v>1372</v>
      </c>
      <c r="D56" s="161" t="str">
        <f>_xlfn.CONCAT(_xlfn.XLOOKUP("[S13_AnyOtherIssues][50][QuestionnaireSubQuestion]",Submission!$O:$O,Submission!$H:$N,""))</f>
        <v/>
      </c>
      <c r="E56" s="348" t="str">
        <f>_xlfn.CONCAT(_xlfn.XLOOKUP("[S13_AnyOtherIssues][50][OtherInformationOrIssues]",Submission!$O:$O,Submission!$H:$N,""))</f>
        <v>It is to note that there are no EU ETS installations in Malta that are eligible for free allowances. To this effect, this section is not relevant for Malta.</v>
      </c>
      <c r="F56" s="348"/>
      <c r="G56" s="348"/>
      <c r="H56" s="348"/>
      <c r="I56" s="285"/>
    </row>
    <row r="57" spans="3:9" ht="27" customHeight="1" x14ac:dyDescent="0.3">
      <c r="C57" s="558"/>
      <c r="D57" s="161" t="str">
        <f>_xlfn.CONCAT(_xlfn.XLOOKUP("[S13_AnyOtherIssues][51][QuestionnaireSubQuestion]",Submission!$O:$O,Submission!$H:$N,""))</f>
        <v/>
      </c>
      <c r="E57" s="348" t="str">
        <f>_xlfn.CONCAT(_xlfn.XLOOKUP("[S13_AnyOtherIssues][51][OtherInformationOrIssues]",Submission!$O:$O,Submission!$H:$N,""))</f>
        <v/>
      </c>
      <c r="F57" s="348"/>
      <c r="G57" s="348"/>
      <c r="H57" s="348"/>
      <c r="I57" s="285"/>
    </row>
    <row r="58" spans="3:9" ht="27" hidden="1" customHeight="1" outlineLevel="1" x14ac:dyDescent="0.3">
      <c r="C58" s="558"/>
      <c r="D58" s="161" t="str">
        <f>_xlfn.CONCAT(_xlfn.XLOOKUP("[S13_AnyOtherIssues][52][QuestionnaireSubQuestion]",Submission!$O:$O,Submission!$H:$N,""))</f>
        <v/>
      </c>
      <c r="E58" s="348" t="str">
        <f>_xlfn.CONCAT(_xlfn.XLOOKUP("[S13_AnyOtherIssues][52][OtherInformationOrIssues]",Submission!$O:$O,Submission!$H:$N,""))</f>
        <v/>
      </c>
      <c r="F58" s="348"/>
      <c r="G58" s="348"/>
      <c r="H58" s="348"/>
      <c r="I58" s="285"/>
    </row>
    <row r="59" spans="3:9" ht="27" hidden="1" customHeight="1" outlineLevel="1" x14ac:dyDescent="0.3">
      <c r="C59" s="558"/>
      <c r="D59" s="161" t="str">
        <f>_xlfn.CONCAT(_xlfn.XLOOKUP("[S13_AnyOtherIssues][53][QuestionnaireSubQuestion]",Submission!$O:$O,Submission!$H:$N,""))</f>
        <v/>
      </c>
      <c r="E59" s="348" t="str">
        <f>_xlfn.CONCAT(_xlfn.XLOOKUP("[S13_AnyOtherIssues][53][OtherInformationOrIssues]",Submission!$O:$O,Submission!$H:$N,""))</f>
        <v/>
      </c>
      <c r="F59" s="348"/>
      <c r="G59" s="348"/>
      <c r="H59" s="348"/>
      <c r="I59" s="285"/>
    </row>
    <row r="60" spans="3:9" ht="27" hidden="1" customHeight="1" outlineLevel="1" x14ac:dyDescent="0.3">
      <c r="C60" s="558"/>
      <c r="D60" s="161" t="str">
        <f>_xlfn.CONCAT(_xlfn.XLOOKUP("[S13_AnyOtherIssues][54][QuestionnaireSubQuestion]",Submission!$O:$O,Submission!$H:$N,""))</f>
        <v/>
      </c>
      <c r="E60" s="348" t="str">
        <f>_xlfn.CONCAT(_xlfn.XLOOKUP("[S13_AnyOtherIssues][54][OtherInformationOrIssues]",Submission!$O:$O,Submission!$H:$N,""))</f>
        <v/>
      </c>
      <c r="F60" s="348"/>
      <c r="G60" s="348"/>
      <c r="H60" s="348"/>
      <c r="I60" s="285"/>
    </row>
    <row r="61" spans="3:9" ht="27" hidden="1" customHeight="1" outlineLevel="1" x14ac:dyDescent="0.3">
      <c r="C61" s="558"/>
      <c r="D61" s="161" t="str">
        <f>_xlfn.CONCAT(_xlfn.XLOOKUP("[S13_AnyOtherIssues][55][QuestionnaireSubQuestion]",Submission!$O:$O,Submission!$H:$N,""))</f>
        <v/>
      </c>
      <c r="E61" s="348" t="str">
        <f>_xlfn.CONCAT(_xlfn.XLOOKUP("[S13_AnyOtherIssues][55][OtherInformationOrIssues]",Submission!$O:$O,Submission!$H:$N,""))</f>
        <v/>
      </c>
      <c r="F61" s="348"/>
      <c r="G61" s="348"/>
      <c r="H61" s="348"/>
      <c r="I61" s="285"/>
    </row>
    <row r="62" spans="3:9" ht="27" hidden="1" customHeight="1" outlineLevel="1" x14ac:dyDescent="0.3">
      <c r="C62" s="558"/>
      <c r="D62" s="161" t="str">
        <f>_xlfn.CONCAT(_xlfn.XLOOKUP("[S13_AnyOtherIssues][56][QuestionnaireSubQuestion]",Submission!$O:$O,Submission!$H:$N,""))</f>
        <v/>
      </c>
      <c r="E62" s="348" t="str">
        <f>_xlfn.CONCAT(_xlfn.XLOOKUP("[S13_AnyOtherIssues][56][OtherInformationOrIssues]",Submission!$O:$O,Submission!$H:$N,""))</f>
        <v/>
      </c>
      <c r="F62" s="348"/>
      <c r="G62" s="348"/>
      <c r="H62" s="348"/>
      <c r="I62" s="285"/>
    </row>
    <row r="63" spans="3:9" ht="27" hidden="1" customHeight="1" outlineLevel="1" x14ac:dyDescent="0.3">
      <c r="C63" s="558"/>
      <c r="D63" s="161" t="str">
        <f>_xlfn.CONCAT(_xlfn.XLOOKUP("[S13_AnyOtherIssues][57][QuestionnaireSubQuestion]",Submission!$O:$O,Submission!$H:$N,""))</f>
        <v/>
      </c>
      <c r="E63" s="348" t="str">
        <f>_xlfn.CONCAT(_xlfn.XLOOKUP("[S13_AnyOtherIssues][57][OtherInformationOrIssues]",Submission!$O:$O,Submission!$H:$N,""))</f>
        <v/>
      </c>
      <c r="F63" s="348"/>
      <c r="G63" s="348"/>
      <c r="H63" s="348"/>
      <c r="I63" s="285"/>
    </row>
    <row r="64" spans="3:9" ht="27" hidden="1" customHeight="1" outlineLevel="1" x14ac:dyDescent="0.3">
      <c r="C64" s="558"/>
      <c r="D64" s="161" t="str">
        <f>_xlfn.CONCAT(_xlfn.XLOOKUP("[S13_AnyOtherIssues][58][QuestionnaireSubQuestion]",Submission!$O:$O,Submission!$H:$N,""))</f>
        <v/>
      </c>
      <c r="E64" s="348" t="str">
        <f>_xlfn.CONCAT(_xlfn.XLOOKUP("[S13_AnyOtherIssues][58][OtherInformationOrIssues]",Submission!$O:$O,Submission!$H:$N,""))</f>
        <v/>
      </c>
      <c r="F64" s="348"/>
      <c r="G64" s="348"/>
      <c r="H64" s="348"/>
      <c r="I64" s="285"/>
    </row>
    <row r="65" spans="3:9" ht="27" hidden="1" customHeight="1" outlineLevel="1" x14ac:dyDescent="0.3">
      <c r="C65" s="558"/>
      <c r="D65" s="161" t="str">
        <f>_xlfn.CONCAT(_xlfn.XLOOKUP("[S13_AnyOtherIssues][59][QuestionnaireSubQuestion]",Submission!$O:$O,Submission!$H:$N,""))</f>
        <v/>
      </c>
      <c r="E65" s="348" t="str">
        <f>_xlfn.CONCAT(_xlfn.XLOOKUP("[S13_AnyOtherIssues][59][OtherInformationOrIssues]",Submission!$O:$O,Submission!$H:$N,""))</f>
        <v/>
      </c>
      <c r="F65" s="348"/>
      <c r="G65" s="348"/>
      <c r="H65" s="348"/>
      <c r="I65" s="285"/>
    </row>
    <row r="66" spans="3:9" ht="27" hidden="1" customHeight="1" outlineLevel="1" x14ac:dyDescent="0.3">
      <c r="C66" s="558"/>
      <c r="D66" s="161" t="str">
        <f>_xlfn.CONCAT(_xlfn.XLOOKUP("[S13_AnyOtherIssues][60][QuestionnaireSubQuestion]",Submission!$O:$O,Submission!$H:$N,""))</f>
        <v/>
      </c>
      <c r="E66" s="348" t="str">
        <f>_xlfn.CONCAT(_xlfn.XLOOKUP("[S13_AnyOtherIssues][60][OtherInformationOrIssues]",Submission!$O:$O,Submission!$H:$N,""))</f>
        <v/>
      </c>
      <c r="F66" s="348"/>
      <c r="G66" s="348"/>
      <c r="H66" s="348"/>
      <c r="I66" s="285"/>
    </row>
    <row r="67" spans="3:9" ht="27" hidden="1" customHeight="1" outlineLevel="1" x14ac:dyDescent="0.3">
      <c r="C67" s="558"/>
      <c r="D67" s="161" t="str">
        <f>_xlfn.CONCAT(_xlfn.XLOOKUP("[S13_AnyOtherIssues][61][QuestionnaireSubQuestion]",Submission!$O:$O,Submission!$H:$N,""))</f>
        <v/>
      </c>
      <c r="E67" s="348" t="str">
        <f>_xlfn.CONCAT(_xlfn.XLOOKUP("[S13_AnyOtherIssues][61][OtherInformationOrIssues]",Submission!$O:$O,Submission!$H:$N,""))</f>
        <v/>
      </c>
      <c r="F67" s="348"/>
      <c r="G67" s="348"/>
      <c r="H67" s="348"/>
      <c r="I67" s="285"/>
    </row>
    <row r="68" spans="3:9" ht="27" hidden="1" customHeight="1" outlineLevel="1" x14ac:dyDescent="0.3">
      <c r="C68" s="558"/>
      <c r="D68" s="161" t="str">
        <f>_xlfn.CONCAT(_xlfn.XLOOKUP("[S13_AnyOtherIssues][62][QuestionnaireSubQuestion]",Submission!$O:$O,Submission!$H:$N,""))</f>
        <v/>
      </c>
      <c r="E68" s="348" t="str">
        <f>_xlfn.CONCAT(_xlfn.XLOOKUP("[S13_AnyOtherIssues][62][OtherInformationOrIssues]",Submission!$O:$O,Submission!$H:$N,""))</f>
        <v/>
      </c>
      <c r="F68" s="348"/>
      <c r="G68" s="348"/>
      <c r="H68" s="348"/>
      <c r="I68" s="285"/>
    </row>
    <row r="69" spans="3:9" ht="27" hidden="1" customHeight="1" outlineLevel="1" x14ac:dyDescent="0.3">
      <c r="C69" s="558"/>
      <c r="D69" s="161" t="str">
        <f>_xlfn.CONCAT(_xlfn.XLOOKUP("[S13_AnyOtherIssues][63][QuestionnaireSubQuestion]",Submission!$O:$O,Submission!$H:$N,""))</f>
        <v/>
      </c>
      <c r="E69" s="348" t="str">
        <f>_xlfn.CONCAT(_xlfn.XLOOKUP("[S13_AnyOtherIssues][63][OtherInformationOrIssues]",Submission!$O:$O,Submission!$H:$N,""))</f>
        <v/>
      </c>
      <c r="F69" s="348"/>
      <c r="G69" s="348"/>
      <c r="H69" s="348"/>
      <c r="I69" s="285"/>
    </row>
    <row r="70" spans="3:9" ht="27" hidden="1" customHeight="1" outlineLevel="1" x14ac:dyDescent="0.3">
      <c r="C70" s="558"/>
      <c r="D70" s="161" t="str">
        <f>_xlfn.CONCAT(_xlfn.XLOOKUP("[S13_AnyOtherIssues][64][QuestionnaireSubQuestion]",Submission!$O:$O,Submission!$H:$N,""))</f>
        <v/>
      </c>
      <c r="E70" s="348" t="str">
        <f>_xlfn.CONCAT(_xlfn.XLOOKUP("[S13_AnyOtherIssues][64][OtherInformationOrIssues]",Submission!$O:$O,Submission!$H:$N,""))</f>
        <v/>
      </c>
      <c r="F70" s="348"/>
      <c r="G70" s="348"/>
      <c r="H70" s="348"/>
      <c r="I70" s="285"/>
    </row>
    <row r="71" spans="3:9" ht="27" hidden="1" customHeight="1" outlineLevel="1" x14ac:dyDescent="0.3">
      <c r="C71" s="558"/>
      <c r="D71" s="161" t="str">
        <f>_xlfn.CONCAT(_xlfn.XLOOKUP("[S13_AnyOtherIssues][65][QuestionnaireSubQuestion]",Submission!$O:$O,Submission!$H:$N,""))</f>
        <v/>
      </c>
      <c r="E71" s="348" t="str">
        <f>_xlfn.CONCAT(_xlfn.XLOOKUP("[S13_AnyOtherIssues][65][OtherInformationOrIssues]",Submission!$O:$O,Submission!$H:$N,""))</f>
        <v/>
      </c>
      <c r="F71" s="348"/>
      <c r="G71" s="348"/>
      <c r="H71" s="348"/>
      <c r="I71" s="285"/>
    </row>
    <row r="72" spans="3:9" ht="27" hidden="1" customHeight="1" outlineLevel="1" x14ac:dyDescent="0.3">
      <c r="C72" s="558"/>
      <c r="D72" s="161" t="str">
        <f>_xlfn.CONCAT(_xlfn.XLOOKUP("[S13_AnyOtherIssues][66][QuestionnaireSubQuestion]",Submission!$O:$O,Submission!$H:$N,""))</f>
        <v/>
      </c>
      <c r="E72" s="348" t="str">
        <f>_xlfn.CONCAT(_xlfn.XLOOKUP("[S13_AnyOtherIssues][66][OtherInformationOrIssues]",Submission!$O:$O,Submission!$H:$N,""))</f>
        <v/>
      </c>
      <c r="F72" s="348"/>
      <c r="G72" s="348"/>
      <c r="H72" s="348"/>
      <c r="I72" s="285"/>
    </row>
    <row r="73" spans="3:9" ht="27" hidden="1" customHeight="1" outlineLevel="1" x14ac:dyDescent="0.3">
      <c r="C73" s="559"/>
      <c r="D73" s="161" t="str">
        <f>_xlfn.CONCAT(_xlfn.XLOOKUP("[S13_AnyOtherIssues][67][QuestionnaireSubQuestion]",Submission!$O:$O,Submission!$H:$N,""))</f>
        <v/>
      </c>
      <c r="E73" s="348" t="str">
        <f>_xlfn.CONCAT(_xlfn.XLOOKUP("[S13_AnyOtherIssues][67][OtherInformationOrIssues]",Submission!$O:$O,Submission!$H:$N,""))</f>
        <v/>
      </c>
      <c r="F73" s="348"/>
      <c r="G73" s="348"/>
      <c r="H73" s="348"/>
      <c r="I73" s="285"/>
    </row>
    <row r="74" spans="3:9" ht="27" customHeight="1" collapsed="1" x14ac:dyDescent="0.3">
      <c r="C74" s="557" t="s">
        <v>1373</v>
      </c>
      <c r="D74" s="161" t="str">
        <f>_xlfn.CONCAT(_xlfn.XLOOKUP("[S13_AnyOtherIssues][68][QuestionnaireSubQuestion]",Submission!$O:$O,Submission!$H:$N,""))</f>
        <v>Question 9.3</v>
      </c>
      <c r="E74" s="348" t="str">
        <f>_xlfn.CONCAT(_xlfn.XLOOKUP("[S13_AnyOtherIssues][68][OtherInformationOrIssues]",Submission!$O:$O,Submission!$H:$N,""))</f>
        <v>It is to note that the competent authority and the national registry administrator in Malta do not charge any fees to operators of installations or aircraft operators for purposes relating to the EU ETS, CH ETS or CORSIA.</v>
      </c>
      <c r="F74" s="348"/>
      <c r="G74" s="348"/>
      <c r="H74" s="348"/>
      <c r="I74" s="285"/>
    </row>
    <row r="75" spans="3:9" ht="27" customHeight="1" x14ac:dyDescent="0.3">
      <c r="C75" s="558"/>
      <c r="D75" s="161" t="str">
        <f>_xlfn.CONCAT(_xlfn.XLOOKUP("[S13_AnyOtherIssues][69][QuestionnaireSubQuestion]",Submission!$O:$O,Submission!$H:$N,""))</f>
        <v/>
      </c>
      <c r="E75" s="348" t="str">
        <f>_xlfn.CONCAT(_xlfn.XLOOKUP("[S13_AnyOtherIssues][69][OtherInformationOrIssues]",Submission!$O:$O,Submission!$H:$N,""))</f>
        <v/>
      </c>
      <c r="F75" s="348"/>
      <c r="G75" s="348"/>
      <c r="H75" s="348"/>
      <c r="I75" s="285"/>
    </row>
    <row r="76" spans="3:9" ht="27" hidden="1" customHeight="1" outlineLevel="1" x14ac:dyDescent="0.3">
      <c r="C76" s="559"/>
      <c r="D76" s="161" t="str">
        <f>_xlfn.CONCAT(_xlfn.XLOOKUP("[S13_AnyOtherIssues][70][QuestionnaireSubQuestion]",Submission!$O:$O,Submission!$H:$N,""))</f>
        <v/>
      </c>
      <c r="E76" s="348" t="str">
        <f>_xlfn.CONCAT(_xlfn.XLOOKUP("[S13_AnyOtherIssues][70][OtherInformationOrIssues]",Submission!$O:$O,Submission!$H:$N,""))</f>
        <v/>
      </c>
      <c r="F76" s="348"/>
      <c r="G76" s="348"/>
      <c r="H76" s="348"/>
      <c r="I76" s="285"/>
    </row>
    <row r="77" spans="3:9" ht="27" customHeight="1" collapsed="1" x14ac:dyDescent="0.3">
      <c r="C77" s="557" t="s">
        <v>1374</v>
      </c>
      <c r="D77" s="161" t="str">
        <f>_xlfn.CONCAT(_xlfn.XLOOKUP("[S13_AnyOtherIssues][71][QuestionnaireSubQuestion]",Submission!$O:$O,Submission!$H:$N,""))</f>
        <v/>
      </c>
      <c r="E77" s="348" t="str">
        <f>_xlfn.CONCAT(_xlfn.XLOOKUP("[S13_AnyOtherIssues][71][OtherInformationOrIssues]",Submission!$O:$O,Submission!$H:$N,""))</f>
        <v/>
      </c>
      <c r="F77" s="348"/>
      <c r="G77" s="348"/>
      <c r="H77" s="348"/>
      <c r="I77" s="285"/>
    </row>
    <row r="78" spans="3:9" ht="27" customHeight="1" x14ac:dyDescent="0.3">
      <c r="C78" s="558"/>
      <c r="D78" s="161" t="str">
        <f>_xlfn.CONCAT(_xlfn.XLOOKUP("[S13_AnyOtherIssues][72][QuestionnaireSubQuestion]",Submission!$O:$O,Submission!$H:$N,""))</f>
        <v/>
      </c>
      <c r="E78" s="348" t="str">
        <f>_xlfn.CONCAT(_xlfn.XLOOKUP("[S13_AnyOtherIssues][72][OtherInformationOrIssues]",Submission!$O:$O,Submission!$H:$N,""))</f>
        <v/>
      </c>
      <c r="F78" s="348"/>
      <c r="G78" s="348"/>
      <c r="H78" s="348"/>
      <c r="I78" s="285"/>
    </row>
    <row r="79" spans="3:9" ht="27" hidden="1" customHeight="1" outlineLevel="1" x14ac:dyDescent="0.3">
      <c r="C79" s="558"/>
      <c r="D79" s="161" t="str">
        <f>_xlfn.CONCAT(_xlfn.XLOOKUP("[S13_AnyOtherIssues][73][QuestionnaireSubQuestion]",Submission!$O:$O,Submission!$H:$N,""))</f>
        <v/>
      </c>
      <c r="E79" s="348" t="str">
        <f>_xlfn.CONCAT(_xlfn.XLOOKUP("[S13_AnyOtherIssues][73][OtherInformationOrIssues]",Submission!$O:$O,Submission!$H:$N,""))</f>
        <v/>
      </c>
      <c r="F79" s="348"/>
      <c r="G79" s="348"/>
      <c r="H79" s="348"/>
      <c r="I79" s="285"/>
    </row>
    <row r="80" spans="3:9" ht="27" hidden="1" customHeight="1" outlineLevel="1" x14ac:dyDescent="0.3">
      <c r="C80" s="558"/>
      <c r="D80" s="161" t="str">
        <f>_xlfn.CONCAT(_xlfn.XLOOKUP("[S13_AnyOtherIssues][74][QuestionnaireSubQuestion]",Submission!$O:$O,Submission!$H:$N,""))</f>
        <v/>
      </c>
      <c r="E80" s="348" t="str">
        <f>_xlfn.CONCAT(_xlfn.XLOOKUP("[S13_AnyOtherIssues][74][OtherInformationOrIssues]",Submission!$O:$O,Submission!$H:$N,""))</f>
        <v/>
      </c>
      <c r="F80" s="348"/>
      <c r="G80" s="348"/>
      <c r="H80" s="348"/>
      <c r="I80" s="285"/>
    </row>
    <row r="81" spans="1:9" ht="27" hidden="1" customHeight="1" outlineLevel="1" x14ac:dyDescent="0.3">
      <c r="C81" s="558"/>
      <c r="D81" s="161" t="str">
        <f>_xlfn.CONCAT(_xlfn.XLOOKUP("[S13_AnyOtherIssues][75][QuestionnaireSubQuestion]",Submission!$O:$O,Submission!$H:$N,""))</f>
        <v/>
      </c>
      <c r="E81" s="348" t="str">
        <f>_xlfn.CONCAT(_xlfn.XLOOKUP("[S13_AnyOtherIssues][75][OtherInformationOrIssues]",Submission!$O:$O,Submission!$H:$N,""))</f>
        <v/>
      </c>
      <c r="F81" s="348"/>
      <c r="G81" s="348"/>
      <c r="H81" s="348"/>
      <c r="I81" s="285"/>
    </row>
    <row r="82" spans="1:9" ht="27" hidden="1" customHeight="1" outlineLevel="1" x14ac:dyDescent="0.3">
      <c r="C82" s="558"/>
      <c r="D82" s="161" t="str">
        <f>_xlfn.CONCAT(_xlfn.XLOOKUP("[S13_AnyOtherIssues][76][QuestionnaireSubQuestion]",Submission!$O:$O,Submission!$H:$N,""))</f>
        <v/>
      </c>
      <c r="E82" s="348" t="str">
        <f>_xlfn.CONCAT(_xlfn.XLOOKUP("[S13_AnyOtherIssues][76][OtherInformationOrIssues]",Submission!$O:$O,Submission!$H:$N,""))</f>
        <v/>
      </c>
      <c r="F82" s="348"/>
      <c r="G82" s="348"/>
      <c r="H82" s="348"/>
      <c r="I82" s="285"/>
    </row>
    <row r="83" spans="1:9" ht="27" hidden="1" customHeight="1" outlineLevel="1" x14ac:dyDescent="0.3">
      <c r="C83" s="558"/>
      <c r="D83" s="161" t="str">
        <f>_xlfn.CONCAT(_xlfn.XLOOKUP("[S13_AnyOtherIssues][77][QuestionnaireSubQuestion]",Submission!$O:$O,Submission!$H:$N,""))</f>
        <v/>
      </c>
      <c r="E83" s="348" t="str">
        <f>_xlfn.CONCAT(_xlfn.XLOOKUP("[S13_AnyOtherIssues][77][OtherInformationOrIssues]",Submission!$O:$O,Submission!$H:$N,""))</f>
        <v/>
      </c>
      <c r="F83" s="348"/>
      <c r="G83" s="348"/>
      <c r="H83" s="348"/>
      <c r="I83" s="285"/>
    </row>
    <row r="84" spans="1:9" ht="27" hidden="1" customHeight="1" outlineLevel="1" x14ac:dyDescent="0.3">
      <c r="C84" s="558"/>
      <c r="D84" s="161" t="str">
        <f>_xlfn.CONCAT(_xlfn.XLOOKUP("[S13_AnyOtherIssues][78][QuestionnaireSubQuestion]",Submission!$O:$O,Submission!$H:$N,""))</f>
        <v/>
      </c>
      <c r="E84" s="348" t="str">
        <f>_xlfn.CONCAT(_xlfn.XLOOKUP("[S13_AnyOtherIssues][78][OtherInformationOrIssues]",Submission!$O:$O,Submission!$H:$N,""))</f>
        <v/>
      </c>
      <c r="F84" s="348"/>
      <c r="G84" s="348"/>
      <c r="H84" s="348"/>
      <c r="I84" s="285"/>
    </row>
    <row r="85" spans="1:9" ht="27" hidden="1" customHeight="1" outlineLevel="1" x14ac:dyDescent="0.3">
      <c r="C85" s="559"/>
      <c r="D85" s="161" t="str">
        <f>_xlfn.CONCAT(_xlfn.XLOOKUP("[S13_AnyOtherIssues][79][QuestionnaireSubQuestion]",Submission!$O:$O,Submission!$H:$N,""))</f>
        <v/>
      </c>
      <c r="E85" s="348" t="str">
        <f>_xlfn.CONCAT(_xlfn.XLOOKUP("[S13_AnyOtherIssues][79][OtherInformationOrIssues]",Submission!$O:$O,Submission!$H:$N,""))</f>
        <v/>
      </c>
      <c r="F85" s="348"/>
      <c r="G85" s="348"/>
      <c r="H85" s="348"/>
      <c r="I85" s="285"/>
    </row>
    <row r="86" spans="1:9" ht="27" customHeight="1" collapsed="1" x14ac:dyDescent="0.3">
      <c r="C86" s="557" t="s">
        <v>1375</v>
      </c>
      <c r="D86" s="161" t="str">
        <f>_xlfn.CONCAT(_xlfn.XLOOKUP("[S13_AnyOtherIssues][80][QuestionnaireSubQuestion]",Submission!$O:$O,Submission!$H:$N,""))</f>
        <v/>
      </c>
      <c r="E86" s="348" t="str">
        <f>_xlfn.CONCAT(_xlfn.XLOOKUP("[S13_AnyOtherIssues][80][OtherInformationOrIssues]",Submission!$O:$O,Submission!$H:$N,""))</f>
        <v/>
      </c>
      <c r="F86" s="348"/>
      <c r="G86" s="348"/>
      <c r="H86" s="348"/>
      <c r="I86" s="285"/>
    </row>
    <row r="87" spans="1:9" ht="27" customHeight="1" x14ac:dyDescent="0.3">
      <c r="C87" s="558"/>
      <c r="D87" s="161" t="str">
        <f>_xlfn.CONCAT(_xlfn.XLOOKUP("[S13_AnyOtherIssues][81][QuestionnaireSubQuestion]",Submission!$O:$O,Submission!$H:$N,""))</f>
        <v/>
      </c>
      <c r="E87" s="348" t="str">
        <f>_xlfn.CONCAT(_xlfn.XLOOKUP("[S13_AnyOtherIssues][81][OtherInformationOrIssues]",Submission!$O:$O,Submission!$H:$N,""))</f>
        <v/>
      </c>
      <c r="F87" s="348"/>
      <c r="G87" s="348"/>
      <c r="H87" s="348"/>
      <c r="I87" s="285"/>
    </row>
    <row r="88" spans="1:9" ht="27" hidden="1" customHeight="1" outlineLevel="1" x14ac:dyDescent="0.3">
      <c r="C88" s="558"/>
      <c r="D88" s="161" t="str">
        <f>_xlfn.CONCAT(_xlfn.XLOOKUP("[S13_AnyOtherIssues][82][QuestionnaireSubQuestion]",Submission!$O:$O,Submission!$H:$N,""))</f>
        <v/>
      </c>
      <c r="E88" s="348" t="str">
        <f>_xlfn.CONCAT(_xlfn.XLOOKUP("[S13_AnyOtherIssues][82][OtherInformationOrIssues]",Submission!$O:$O,Submission!$H:$N,""))</f>
        <v/>
      </c>
      <c r="F88" s="348"/>
      <c r="G88" s="348"/>
      <c r="H88" s="348"/>
      <c r="I88" s="285"/>
    </row>
    <row r="89" spans="1:9" ht="27" hidden="1" customHeight="1" outlineLevel="1" x14ac:dyDescent="0.3">
      <c r="C89" s="559"/>
      <c r="D89" s="161" t="str">
        <f>_xlfn.CONCAT(_xlfn.XLOOKUP("[S13_AnyOtherIssues][83][QuestionnaireSubQuestion]",Submission!$O:$O,Submission!$H:$N,""))</f>
        <v/>
      </c>
      <c r="E89" s="348" t="str">
        <f>_xlfn.CONCAT(_xlfn.XLOOKUP("[S13_AnyOtherIssues][83][OtherInformationOrIssues]",Submission!$O:$O,Submission!$H:$N,""))</f>
        <v/>
      </c>
      <c r="F89" s="348"/>
      <c r="G89" s="348"/>
      <c r="H89" s="348"/>
      <c r="I89" s="285"/>
    </row>
    <row r="90" spans="1:9" ht="27" customHeight="1" collapsed="1" x14ac:dyDescent="0.3">
      <c r="C90" s="354" t="s">
        <v>1376</v>
      </c>
      <c r="D90" s="161" t="str">
        <f>_xlfn.CONCAT(_xlfn.XLOOKUP("[S13_AnyOtherIssues][84][QuestionnaireSubQuestion]",Submission!$O:$O,Submission!$H:$N,""))</f>
        <v/>
      </c>
      <c r="E90" s="348" t="str">
        <f>_xlfn.CONCAT(_xlfn.XLOOKUP("[S13_AnyOtherIssues][84][OtherInformationOrIssues]",Submission!$O:$O,Submission!$H:$N,""))</f>
        <v/>
      </c>
      <c r="F90" s="348"/>
      <c r="G90" s="348"/>
      <c r="H90" s="348"/>
      <c r="I90" s="285"/>
    </row>
    <row r="91" spans="1:9" ht="27" customHeight="1" x14ac:dyDescent="0.3">
      <c r="C91" s="354"/>
      <c r="D91" s="161" t="str">
        <f>_xlfn.CONCAT(_xlfn.XLOOKUP("[S13_AnyOtherIssues][85][QuestionnaireSubQuestion]",Submission!$O:$O,Submission!$H:$N,""))</f>
        <v/>
      </c>
      <c r="E91" s="348" t="str">
        <f>_xlfn.CONCAT(_xlfn.XLOOKUP("[S13_AnyOtherIssues][85][OtherInformationOrIssues]",Submission!$O:$O,Submission!$H:$N,""))</f>
        <v/>
      </c>
      <c r="F91" s="348"/>
      <c r="G91" s="348"/>
      <c r="H91" s="348"/>
      <c r="I91" s="285"/>
    </row>
    <row r="92" spans="1:9" ht="27" hidden="1" customHeight="1" outlineLevel="1" x14ac:dyDescent="0.3">
      <c r="C92" s="354"/>
      <c r="D92" s="161" t="str">
        <f>_xlfn.CONCAT(_xlfn.XLOOKUP("[S13_AnyOtherIssues][86][QuestionnaireSubQuestion]",Submission!$O:$O,Submission!$H:$N,""))</f>
        <v/>
      </c>
      <c r="E92" s="349" t="str">
        <f>_xlfn.CONCAT(_xlfn.XLOOKUP("[S13_AnyOtherIssues][86][OtherInformationOrIssues]",Submission!$O:$O,Submission!$H:$N,""))</f>
        <v/>
      </c>
      <c r="F92" s="349"/>
      <c r="G92" s="349"/>
      <c r="H92" s="349"/>
      <c r="I92" s="282"/>
    </row>
    <row r="93" spans="1:9" ht="15.9" customHeight="1" collapsed="1" x14ac:dyDescent="0.3">
      <c r="C93" s="162" t="s">
        <v>1361</v>
      </c>
    </row>
    <row r="94" spans="1:9" ht="15.9" customHeight="1" x14ac:dyDescent="0.3"/>
    <row r="95" spans="1:9" ht="15.9" customHeight="1" x14ac:dyDescent="0.3">
      <c r="A95" s="12" t="s">
        <v>648</v>
      </c>
      <c r="B95" s="293" t="s">
        <v>1377</v>
      </c>
      <c r="C95" s="294"/>
      <c r="D95" s="294"/>
      <c r="E95" s="294"/>
      <c r="F95" s="294"/>
      <c r="G95" s="294"/>
      <c r="H95" s="295"/>
      <c r="I95" s="41" t="str">
        <f>_xlfn.CONCAT(_xlfn.XLOOKUP("[QuestionnaireFilledConfirmation][0][QuestionnaireFilledConfirmation]",Submission!$O:$O,Submission!$H:$N,""))</f>
        <v>Yes</v>
      </c>
    </row>
    <row r="96" spans="1:9" ht="15.9" customHeight="1" x14ac:dyDescent="0.3">
      <c r="A96" s="13"/>
      <c r="B96" s="293" t="s">
        <v>1378</v>
      </c>
      <c r="C96" s="294"/>
      <c r="D96" s="294"/>
      <c r="E96" s="294"/>
      <c r="F96" s="294"/>
      <c r="G96" s="294"/>
      <c r="H96" s="294"/>
      <c r="I96" s="294"/>
    </row>
  </sheetData>
  <mergeCells count="102">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7:I27"/>
    <mergeCell ref="E28:I28"/>
    <mergeCell ref="E29:I29"/>
    <mergeCell ref="E30:I30"/>
    <mergeCell ref="E31:I31"/>
    <mergeCell ref="E22:I22"/>
    <mergeCell ref="E23:I23"/>
    <mergeCell ref="E24:I24"/>
    <mergeCell ref="E25:I25"/>
    <mergeCell ref="E26:I2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57:I57"/>
    <mergeCell ref="E58:I58"/>
    <mergeCell ref="E59:I59"/>
    <mergeCell ref="E60:I60"/>
    <mergeCell ref="E61:I61"/>
    <mergeCell ref="E52:I52"/>
    <mergeCell ref="E53:I53"/>
    <mergeCell ref="E54:I54"/>
    <mergeCell ref="E55:I55"/>
    <mergeCell ref="E56:I56"/>
    <mergeCell ref="E67:I67"/>
    <mergeCell ref="E68:I68"/>
    <mergeCell ref="E69:I69"/>
    <mergeCell ref="E70:I70"/>
    <mergeCell ref="E71:I71"/>
    <mergeCell ref="E62:I62"/>
    <mergeCell ref="E63:I63"/>
    <mergeCell ref="E64:I64"/>
    <mergeCell ref="E65:I65"/>
    <mergeCell ref="E66:I66"/>
    <mergeCell ref="E78:I78"/>
    <mergeCell ref="E79:I79"/>
    <mergeCell ref="E80:I80"/>
    <mergeCell ref="E81:I81"/>
    <mergeCell ref="E72:I72"/>
    <mergeCell ref="E73:I73"/>
    <mergeCell ref="E74:I74"/>
    <mergeCell ref="E75:I75"/>
    <mergeCell ref="E76:I76"/>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I22" sqref="I22"/>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1776</v>
      </c>
      <c r="AQ1" s="151"/>
      <c r="AR1" s="151"/>
      <c r="AT1" s="150" t="s">
        <v>1770</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14</v>
      </c>
      <c r="AL2">
        <f>IFERROR(MATCH("",$AL$3:$AL$19,0)-1,0)</f>
        <v>12</v>
      </c>
      <c r="AM2" t="s">
        <v>1</v>
      </c>
      <c r="AP2" s="151" t="s">
        <v>1777</v>
      </c>
      <c r="AQ2" s="151" t="str" cm="1">
        <f t="array" ref="AQ2">LOOKUP(2,1/(AP:AP&lt;&gt;""),AP:AP)</f>
        <v>v2.0</v>
      </c>
      <c r="AR2" s="152" cm="1">
        <f t="array" ref="AR2">LOOKUP(2,1/(AR:AR&lt;&gt;""),AR:AR)</f>
        <v>45049</v>
      </c>
      <c r="AT2" s="151" t="s">
        <v>1771</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4"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MRA</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1756</v>
      </c>
      <c r="B5" t="s">
        <v>1477</v>
      </c>
      <c r="C5" t="s">
        <v>1478</v>
      </c>
      <c r="D5" t="s">
        <v>1227</v>
      </c>
      <c r="E5" s="61" t="s">
        <v>1479</v>
      </c>
      <c r="F5" t="str">
        <f>'Q 2'!D8</f>
        <v>TD-MFE</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1772</v>
      </c>
      <c r="AU5" s="151" t="s">
        <v>1773</v>
      </c>
      <c r="AV5" s="163">
        <v>44728</v>
      </c>
    </row>
    <row r="6" spans="1:48" ht="15.9" customHeight="1" x14ac:dyDescent="0.3">
      <c r="B6" t="s">
        <v>1756</v>
      </c>
      <c r="C6" t="s">
        <v>1502</v>
      </c>
      <c r="E6" t="s">
        <v>1227</v>
      </c>
      <c r="F6" t="str">
        <f>'Q 2'!D9</f>
        <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1774</v>
      </c>
      <c r="AU6" s="151" t="s">
        <v>1775</v>
      </c>
      <c r="AV6" s="152">
        <v>45041</v>
      </c>
    </row>
    <row r="7" spans="1:48" ht="14.4" customHeight="1" x14ac:dyDescent="0.3">
      <c r="C7" t="s">
        <v>1518</v>
      </c>
      <c r="F7" t="str">
        <f>'Q 2'!D10</f>
        <v/>
      </c>
      <c r="I7" s="164"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4"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4" t="s">
        <v>1570</v>
      </c>
      <c r="P13" t="s">
        <v>1565</v>
      </c>
      <c r="V13" t="s">
        <v>1571</v>
      </c>
      <c r="AK13" t="s">
        <v>1296</v>
      </c>
      <c r="AL13" t="s">
        <v>1314</v>
      </c>
      <c r="AM13" t="s">
        <v>1572</v>
      </c>
      <c r="AP13" s="153" t="s">
        <v>1738</v>
      </c>
      <c r="AQ13" s="153" t="s">
        <v>1739</v>
      </c>
      <c r="AR13" s="163">
        <v>44727</v>
      </c>
    </row>
    <row r="14" spans="1:48" ht="14.4" customHeight="1" x14ac:dyDescent="0.3">
      <c r="C14" t="s">
        <v>1573</v>
      </c>
      <c r="F14" t="str">
        <f>'Q 2'!D17</f>
        <v/>
      </c>
      <c r="I14" s="164" t="s">
        <v>1574</v>
      </c>
      <c r="J14" s="164" t="s">
        <v>1575</v>
      </c>
      <c r="V14" t="s">
        <v>1576</v>
      </c>
      <c r="AK14" t="s">
        <v>1297</v>
      </c>
      <c r="AL14" t="s">
        <v>1315</v>
      </c>
      <c r="AM14" t="s">
        <v>1</v>
      </c>
      <c r="AP14" s="153" t="s">
        <v>1750</v>
      </c>
      <c r="AQ14" s="153" t="s">
        <v>1751</v>
      </c>
      <c r="AR14" s="163">
        <v>44728</v>
      </c>
    </row>
    <row r="15" spans="1:48" x14ac:dyDescent="0.3">
      <c r="C15" t="s">
        <v>1577</v>
      </c>
      <c r="F15" t="str">
        <f>'Q 2'!D18</f>
        <v/>
      </c>
      <c r="I15" s="164" t="s">
        <v>1578</v>
      </c>
      <c r="J15" s="164" t="s">
        <v>1579</v>
      </c>
      <c r="V15" t="s">
        <v>1580</v>
      </c>
      <c r="AK15" t="str">
        <f>'Q 10'!D32</f>
        <v>Failure to notify planned or effective changes to capacity, activity levels and operation of an installations by 31 December of the reporting period in accordance with Article 24 of Decision 2011/278/EU</v>
      </c>
      <c r="AL15" t="str">
        <f>'Q 10'!D158</f>
        <v/>
      </c>
      <c r="AM15" t="s">
        <v>1581</v>
      </c>
      <c r="AN15" s="56"/>
      <c r="AP15" s="153" t="s">
        <v>1753</v>
      </c>
      <c r="AQ15" s="153" t="s">
        <v>1778</v>
      </c>
      <c r="AR15" s="163">
        <v>44735</v>
      </c>
    </row>
    <row r="16" spans="1:48" x14ac:dyDescent="0.3">
      <c r="C16" t="s">
        <v>1582</v>
      </c>
      <c r="F16" t="str">
        <f>'Q 2'!D19</f>
        <v/>
      </c>
      <c r="I16" s="164" t="s">
        <v>1583</v>
      </c>
      <c r="J16" s="164" t="s">
        <v>1584</v>
      </c>
      <c r="V16" t="s">
        <v>1585</v>
      </c>
      <c r="AC16" s="60"/>
      <c r="AD16" s="56"/>
      <c r="AE16" s="56"/>
      <c r="AF16" s="56"/>
      <c r="AG16" s="56"/>
      <c r="AH16" s="56"/>
      <c r="AI16" s="56"/>
      <c r="AK16" t="str">
        <f>'Q 10'!D33</f>
        <v>Failure to notify a change in the name of the operator of the installation.</v>
      </c>
      <c r="AL16" t="str">
        <f>'Q 10'!D159</f>
        <v/>
      </c>
      <c r="AM16" t="s">
        <v>1586</v>
      </c>
      <c r="AP16" s="153" t="s">
        <v>1754</v>
      </c>
      <c r="AQ16" s="153" t="s">
        <v>1779</v>
      </c>
      <c r="AR16" s="163">
        <v>44739</v>
      </c>
    </row>
    <row r="17" spans="3:44" x14ac:dyDescent="0.3">
      <c r="C17" t="s">
        <v>1587</v>
      </c>
      <c r="F17" t="str">
        <f>'Q 2'!D20</f>
        <v/>
      </c>
      <c r="I17" s="164" t="s">
        <v>1588</v>
      </c>
      <c r="J17" t="s">
        <v>1589</v>
      </c>
      <c r="V17" t="s">
        <v>1590</v>
      </c>
      <c r="AJ17" s="56"/>
      <c r="AK17" t="str">
        <f>'Q 10'!D34</f>
        <v/>
      </c>
      <c r="AL17" t="str">
        <f>'Q 10'!D160</f>
        <v/>
      </c>
      <c r="AM17" t="s">
        <v>1591</v>
      </c>
      <c r="AP17" s="151" t="s">
        <v>1764</v>
      </c>
      <c r="AQ17" s="151" t="s">
        <v>1765</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4" t="s">
        <v>1614</v>
      </c>
      <c r="V22" t="s">
        <v>1615</v>
      </c>
      <c r="AK22" t="str">
        <f>'Q 10'!D39</f>
        <v/>
      </c>
      <c r="AM22" t="s">
        <v>1616</v>
      </c>
    </row>
    <row r="23" spans="3:44" ht="14.4" customHeight="1" x14ac:dyDescent="0.3">
      <c r="C23" t="s">
        <v>1617</v>
      </c>
      <c r="F23" t="str">
        <f>'Q 2'!D26</f>
        <v/>
      </c>
      <c r="I23" t="s">
        <v>1618</v>
      </c>
      <c r="J23" s="164"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1780</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4" t="s">
        <v>1652</v>
      </c>
      <c r="J30" t="s">
        <v>1648</v>
      </c>
      <c r="V30" t="s">
        <v>1654</v>
      </c>
      <c r="AK30" t="str">
        <f>'Q 10'!D47</f>
        <v/>
      </c>
      <c r="AM30" t="s">
        <v>1655</v>
      </c>
    </row>
    <row r="31" spans="3:44" ht="14.4" customHeight="1" x14ac:dyDescent="0.3">
      <c r="C31" t="s">
        <v>1656</v>
      </c>
      <c r="I31" s="164" t="s">
        <v>1657</v>
      </c>
      <c r="J31" t="s">
        <v>1653</v>
      </c>
      <c r="V31" t="s">
        <v>1659</v>
      </c>
      <c r="AK31" t="str">
        <f>'Q 10'!D48</f>
        <v/>
      </c>
      <c r="AM31" t="s">
        <v>1660</v>
      </c>
    </row>
    <row r="32" spans="3:44" ht="14.4" customHeight="1" x14ac:dyDescent="0.3">
      <c r="I32" s="164"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1781</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3" t="s">
        <v>1790</v>
      </c>
      <c r="B1" s="193"/>
      <c r="C1" s="193"/>
      <c r="D1" s="193"/>
      <c r="E1" s="193"/>
      <c r="F1" s="193"/>
      <c r="G1" s="193"/>
      <c r="H1" s="193"/>
      <c r="I1" s="193"/>
    </row>
    <row r="2" spans="1:9" s="100" customFormat="1" ht="6.6" customHeight="1" x14ac:dyDescent="0.35">
      <c r="A2" s="194"/>
      <c r="B2" s="194"/>
      <c r="C2" s="194"/>
      <c r="D2" s="194"/>
      <c r="E2" s="194"/>
      <c r="F2" s="194"/>
      <c r="G2" s="194"/>
      <c r="H2" s="194"/>
      <c r="I2" s="194"/>
    </row>
    <row r="3" spans="1:9" s="2" customFormat="1" ht="16.95" customHeight="1" x14ac:dyDescent="0.35">
      <c r="A3" s="101"/>
      <c r="B3" s="195" t="s">
        <v>0</v>
      </c>
      <c r="C3" s="196"/>
      <c r="D3" s="196"/>
      <c r="E3" s="196"/>
      <c r="F3" s="196"/>
      <c r="G3" s="196"/>
      <c r="H3" s="196"/>
      <c r="I3" s="196"/>
    </row>
    <row r="4" spans="1:9" ht="12.9" customHeight="1" x14ac:dyDescent="0.3">
      <c r="B4" s="143"/>
      <c r="C4" s="111"/>
      <c r="E4" s="110"/>
      <c r="F4" s="112"/>
      <c r="G4" s="112"/>
      <c r="H4" s="112"/>
      <c r="I4" s="112"/>
    </row>
    <row r="5" spans="1:9" ht="12.9" customHeight="1" x14ac:dyDescent="0.3">
      <c r="A5" s="113"/>
      <c r="B5" s="190" t="s">
        <v>1791</v>
      </c>
      <c r="C5" s="111"/>
      <c r="E5" s="110"/>
      <c r="F5" s="112"/>
      <c r="G5" s="112"/>
      <c r="H5" s="112"/>
      <c r="I5" s="112"/>
    </row>
    <row r="6" spans="1:9" ht="15" customHeight="1" x14ac:dyDescent="0.3">
      <c r="C6" s="199" t="s">
        <v>1783</v>
      </c>
      <c r="D6" s="199"/>
      <c r="E6" s="199"/>
      <c r="F6" s="191" t="s">
        <v>1784</v>
      </c>
      <c r="G6" s="56"/>
      <c r="H6" s="56"/>
      <c r="I6" s="56"/>
    </row>
    <row r="7" spans="1:9" ht="16.95" customHeight="1" x14ac:dyDescent="0.3">
      <c r="C7" s="197" t="s">
        <v>1782</v>
      </c>
      <c r="D7" s="198"/>
      <c r="E7" s="198"/>
      <c r="F7" s="198"/>
      <c r="G7" s="198"/>
      <c r="H7" s="198"/>
      <c r="I7" s="198"/>
    </row>
    <row r="8" spans="1:9" ht="12.9" customHeight="1" x14ac:dyDescent="0.3"/>
    <row r="9" spans="1:9" ht="12.9" customHeight="1" x14ac:dyDescent="0.3">
      <c r="B9" s="190" t="s">
        <v>1785</v>
      </c>
      <c r="C9" s="111"/>
      <c r="E9" s="110"/>
      <c r="F9" s="112"/>
      <c r="G9" s="112"/>
      <c r="H9" s="112"/>
      <c r="I9" s="112"/>
    </row>
    <row r="10" spans="1:9" ht="12.9" customHeight="1" x14ac:dyDescent="0.3">
      <c r="C10" s="197" t="s">
        <v>1786</v>
      </c>
      <c r="D10" s="198"/>
      <c r="E10" s="198"/>
      <c r="F10" s="198"/>
      <c r="G10" s="198"/>
      <c r="H10" s="198"/>
      <c r="I10" s="198"/>
    </row>
    <row r="11" spans="1:9" ht="18.899999999999999" customHeight="1" x14ac:dyDescent="0.3"/>
    <row r="12" spans="1:9" ht="15.9" customHeight="1" x14ac:dyDescent="0.3">
      <c r="B12" s="190" t="s">
        <v>1789</v>
      </c>
      <c r="D12" s="192" t="s">
        <v>1767</v>
      </c>
    </row>
    <row r="13" spans="1:9" ht="15.9" customHeight="1" x14ac:dyDescent="0.3">
      <c r="B13" s="190"/>
      <c r="D13" s="192"/>
    </row>
    <row r="14" spans="1:9" ht="15" customHeight="1" x14ac:dyDescent="0.3"/>
    <row r="15" spans="1:9" ht="13.8" customHeight="1" x14ac:dyDescent="0.3">
      <c r="B15" s="187" t="s">
        <v>1787</v>
      </c>
      <c r="C15" s="188" t="s">
        <v>1788</v>
      </c>
    </row>
    <row r="16" spans="1:9" ht="13.8" customHeight="1" x14ac:dyDescent="0.3">
      <c r="B16" s="187" t="s">
        <v>1768</v>
      </c>
      <c r="C16" s="189">
        <v>45076</v>
      </c>
    </row>
    <row r="17" spans="2:3" ht="13.8" customHeight="1" x14ac:dyDescent="0.3">
      <c r="B17" s="187" t="s">
        <v>1769</v>
      </c>
      <c r="C17" s="188" t="s">
        <v>1755</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66" customWidth="1"/>
    <col min="3" max="3" width="22.88671875" style="166" customWidth="1"/>
    <col min="4" max="4" width="30.5546875" style="166" customWidth="1"/>
    <col min="5" max="5" width="19.88671875" style="166" customWidth="1"/>
    <col min="6" max="6" width="22.88671875" style="166" customWidth="1"/>
    <col min="7" max="7" width="19.88671875" style="166" customWidth="1"/>
    <col min="8" max="9" width="22.88671875" style="166" customWidth="1"/>
    <col min="10" max="16384" width="9.109375" style="2"/>
  </cols>
  <sheetData>
    <row r="1" spans="1:9" s="100" customFormat="1" ht="21" x14ac:dyDescent="0.3">
      <c r="A1" s="193" t="s">
        <v>1752</v>
      </c>
      <c r="B1" s="193"/>
      <c r="C1" s="193"/>
      <c r="D1" s="193"/>
      <c r="E1" s="193"/>
      <c r="F1" s="193"/>
      <c r="G1" s="193"/>
      <c r="H1" s="193"/>
      <c r="I1" s="193"/>
    </row>
    <row r="2" spans="1:9" s="100" customFormat="1" ht="21.75" customHeight="1" x14ac:dyDescent="0.3">
      <c r="A2" s="236" t="s">
        <v>3</v>
      </c>
      <c r="B2" s="236"/>
      <c r="C2" s="236"/>
      <c r="D2" s="236"/>
      <c r="E2" s="236"/>
      <c r="F2" s="236"/>
      <c r="G2" s="236"/>
      <c r="H2" s="236"/>
      <c r="I2" s="236"/>
    </row>
    <row r="3" spans="1:9" ht="18.899999999999999" customHeight="1" x14ac:dyDescent="0.35">
      <c r="A3" s="174" t="s">
        <v>4</v>
      </c>
      <c r="B3" s="195" t="s">
        <v>5</v>
      </c>
      <c r="C3" s="196"/>
      <c r="D3" s="196"/>
      <c r="E3" s="196"/>
      <c r="F3" s="196"/>
      <c r="G3" s="196"/>
      <c r="H3" s="196"/>
      <c r="I3" s="196"/>
    </row>
    <row r="4" spans="1:9" ht="15" customHeight="1" x14ac:dyDescent="0.3">
      <c r="A4" s="56"/>
      <c r="B4" s="231" t="s">
        <v>6</v>
      </c>
      <c r="C4" s="232"/>
      <c r="D4" s="232"/>
      <c r="E4" s="232"/>
      <c r="F4" s="232"/>
      <c r="G4" s="232"/>
      <c r="H4" s="232"/>
      <c r="I4" s="232"/>
    </row>
    <row r="5" spans="1:9" ht="15" customHeight="1" x14ac:dyDescent="0.3">
      <c r="A5" s="60"/>
      <c r="B5" s="233" t="s">
        <v>7</v>
      </c>
      <c r="C5" s="232"/>
      <c r="D5" s="232"/>
      <c r="E5" s="232"/>
      <c r="F5" s="232"/>
      <c r="G5" s="232"/>
      <c r="H5" s="232"/>
      <c r="I5" s="232"/>
    </row>
    <row r="6" spans="1:9" ht="15" customHeight="1" x14ac:dyDescent="0.3">
      <c r="A6" s="170"/>
      <c r="B6" s="234"/>
      <c r="C6" s="235"/>
      <c r="D6" s="235"/>
      <c r="E6" s="235"/>
      <c r="F6" s="235"/>
      <c r="G6" s="235"/>
      <c r="H6" s="235"/>
      <c r="I6" s="235"/>
    </row>
    <row r="7" spans="1:9" ht="15" customHeight="1" x14ac:dyDescent="0.3">
      <c r="A7" s="60"/>
      <c r="B7" s="231" t="s">
        <v>0</v>
      </c>
      <c r="C7" s="232"/>
      <c r="D7" s="232"/>
      <c r="E7" s="232"/>
      <c r="F7" s="232"/>
      <c r="G7" s="232"/>
      <c r="H7" s="232"/>
      <c r="I7" s="232"/>
    </row>
    <row r="8" spans="1:9" ht="15" customHeight="1" x14ac:dyDescent="0.3">
      <c r="A8" s="2"/>
      <c r="B8" s="166" t="s">
        <v>8</v>
      </c>
      <c r="C8" s="233" t="s">
        <v>9</v>
      </c>
      <c r="D8" s="232"/>
      <c r="E8" s="232"/>
      <c r="F8" s="232"/>
      <c r="G8" s="232"/>
      <c r="H8" s="232"/>
      <c r="I8" s="232"/>
    </row>
    <row r="9" spans="1:9" ht="15" customHeight="1" x14ac:dyDescent="0.3">
      <c r="A9" s="170"/>
      <c r="B9" s="234"/>
      <c r="C9" s="235"/>
      <c r="D9" s="235"/>
      <c r="E9" s="235"/>
      <c r="F9" s="235"/>
      <c r="G9" s="235"/>
      <c r="H9" s="235"/>
      <c r="I9" s="235"/>
    </row>
    <row r="10" spans="1:9" ht="18.899999999999999" customHeight="1" x14ac:dyDescent="0.35">
      <c r="A10" s="142" t="s">
        <v>10</v>
      </c>
      <c r="B10" s="195" t="s">
        <v>11</v>
      </c>
      <c r="C10" s="196"/>
      <c r="D10" s="196"/>
      <c r="E10" s="196"/>
      <c r="F10" s="196"/>
      <c r="G10" s="196"/>
      <c r="H10" s="196"/>
      <c r="I10" s="196"/>
    </row>
    <row r="11" spans="1:9" ht="26.1" customHeight="1" x14ac:dyDescent="0.3">
      <c r="A11" s="3" t="s">
        <v>12</v>
      </c>
      <c r="B11" s="203" t="s">
        <v>13</v>
      </c>
      <c r="C11" s="198"/>
      <c r="D11" s="198"/>
      <c r="E11" s="198"/>
      <c r="F11" s="198"/>
      <c r="G11" s="198"/>
      <c r="H11" s="198"/>
      <c r="I11" s="198"/>
    </row>
    <row r="12" spans="1:9" ht="15" customHeight="1" x14ac:dyDescent="0.3">
      <c r="A12" s="60"/>
      <c r="B12" s="204" t="s">
        <v>6</v>
      </c>
      <c r="C12" s="198"/>
      <c r="D12" s="198"/>
      <c r="E12" s="198"/>
      <c r="F12" s="198"/>
      <c r="G12" s="198"/>
      <c r="H12" s="198"/>
      <c r="I12" s="198"/>
    </row>
    <row r="13" spans="1:9" ht="26.1" customHeight="1" x14ac:dyDescent="0.3">
      <c r="A13" s="60"/>
      <c r="B13" s="200" t="s">
        <v>14</v>
      </c>
      <c r="C13" s="198"/>
      <c r="D13" s="198"/>
      <c r="E13" s="198"/>
      <c r="F13" s="198"/>
      <c r="G13" s="198"/>
      <c r="H13" s="198"/>
      <c r="I13" s="198"/>
    </row>
    <row r="14" spans="1:9" ht="11.1" customHeight="1" x14ac:dyDescent="0.3">
      <c r="C14" s="171"/>
      <c r="D14" s="165"/>
      <c r="E14" s="165"/>
      <c r="F14" s="165"/>
      <c r="G14" s="165"/>
      <c r="H14" s="165"/>
      <c r="I14" s="165"/>
    </row>
    <row r="15" spans="1:9" ht="15" customHeight="1" x14ac:dyDescent="0.3">
      <c r="A15" s="60"/>
      <c r="B15" s="204" t="s">
        <v>0</v>
      </c>
      <c r="C15" s="198"/>
      <c r="D15" s="198"/>
      <c r="E15" s="198"/>
      <c r="F15" s="198"/>
      <c r="G15" s="198"/>
      <c r="H15" s="198"/>
      <c r="I15" s="198"/>
    </row>
    <row r="16" spans="1:9" ht="15" customHeight="1" x14ac:dyDescent="0.3">
      <c r="B16" s="166" t="s">
        <v>8</v>
      </c>
      <c r="C16" s="200" t="s">
        <v>15</v>
      </c>
      <c r="D16" s="198"/>
      <c r="E16" s="198"/>
      <c r="F16" s="198"/>
      <c r="G16" s="198"/>
      <c r="H16" s="198"/>
      <c r="I16" s="198"/>
    </row>
    <row r="17" spans="1:9" ht="15.6" customHeight="1" x14ac:dyDescent="0.3">
      <c r="B17" s="166" t="s">
        <v>8</v>
      </c>
      <c r="C17" s="200" t="s">
        <v>16</v>
      </c>
      <c r="D17" s="198"/>
      <c r="E17" s="198"/>
      <c r="F17" s="198"/>
      <c r="G17" s="198"/>
      <c r="H17" s="198"/>
      <c r="I17" s="198"/>
    </row>
    <row r="18" spans="1:9" ht="38.4" customHeight="1" x14ac:dyDescent="0.3">
      <c r="A18" s="170"/>
      <c r="B18" s="166" t="s">
        <v>8</v>
      </c>
      <c r="C18" s="200" t="s">
        <v>17</v>
      </c>
      <c r="D18" s="198"/>
      <c r="E18" s="198"/>
      <c r="F18" s="198"/>
      <c r="G18" s="198"/>
      <c r="H18" s="198"/>
      <c r="I18" s="198"/>
    </row>
    <row r="19" spans="1:9" ht="15" customHeight="1" x14ac:dyDescent="0.3">
      <c r="A19" s="3" t="s">
        <v>18</v>
      </c>
      <c r="B19" s="203" t="s">
        <v>19</v>
      </c>
      <c r="C19" s="198"/>
      <c r="D19" s="198"/>
      <c r="E19" s="198"/>
      <c r="F19" s="198"/>
      <c r="G19" s="198"/>
      <c r="H19" s="198"/>
      <c r="I19" s="198"/>
    </row>
    <row r="20" spans="1:9" ht="15" customHeight="1" x14ac:dyDescent="0.3">
      <c r="A20" s="60"/>
      <c r="B20" s="204" t="s">
        <v>6</v>
      </c>
      <c r="C20" s="198"/>
      <c r="D20" s="198"/>
      <c r="E20" s="198"/>
      <c r="F20" s="198"/>
      <c r="G20" s="198"/>
      <c r="H20" s="198"/>
      <c r="I20" s="198"/>
    </row>
    <row r="21" spans="1:9" ht="51.6" customHeight="1" x14ac:dyDescent="0.3">
      <c r="A21" s="60"/>
      <c r="B21" s="200" t="s">
        <v>20</v>
      </c>
      <c r="C21" s="198"/>
      <c r="D21" s="198"/>
      <c r="E21" s="198"/>
      <c r="F21" s="198"/>
      <c r="G21" s="198"/>
      <c r="H21" s="198"/>
      <c r="I21" s="198"/>
    </row>
    <row r="22" spans="1:9" ht="31.5" customHeight="1" x14ac:dyDescent="0.3">
      <c r="B22" s="166" t="s">
        <v>21</v>
      </c>
      <c r="C22" s="207" t="s">
        <v>22</v>
      </c>
      <c r="D22" s="208"/>
      <c r="E22" s="208"/>
      <c r="F22" s="208"/>
      <c r="G22" s="208"/>
      <c r="H22" s="208"/>
      <c r="I22" s="208"/>
    </row>
    <row r="23" spans="1:9" ht="29.1" customHeight="1" x14ac:dyDescent="0.3">
      <c r="B23" s="166" t="s">
        <v>23</v>
      </c>
      <c r="C23" s="207" t="s">
        <v>24</v>
      </c>
      <c r="D23" s="208"/>
      <c r="E23" s="208"/>
      <c r="F23" s="208"/>
      <c r="G23" s="208"/>
      <c r="H23" s="208"/>
      <c r="I23" s="208"/>
    </row>
    <row r="24" spans="1:9" ht="31.5" customHeight="1" x14ac:dyDescent="0.3">
      <c r="B24" s="166" t="s">
        <v>25</v>
      </c>
      <c r="C24" s="207" t="s">
        <v>26</v>
      </c>
      <c r="D24" s="208"/>
      <c r="E24" s="208"/>
      <c r="F24" s="208"/>
      <c r="G24" s="208"/>
      <c r="H24" s="208"/>
      <c r="I24" s="208"/>
    </row>
    <row r="25" spans="1:9" ht="30" customHeight="1" x14ac:dyDescent="0.3">
      <c r="B25" s="166" t="s">
        <v>27</v>
      </c>
      <c r="C25" s="207" t="s">
        <v>28</v>
      </c>
      <c r="D25" s="208"/>
      <c r="E25" s="208"/>
      <c r="F25" s="208"/>
      <c r="G25" s="208"/>
      <c r="H25" s="208"/>
      <c r="I25" s="208"/>
    </row>
    <row r="26" spans="1:9" ht="29.1" customHeight="1" x14ac:dyDescent="0.3">
      <c r="B26" s="166" t="s">
        <v>29</v>
      </c>
      <c r="C26" s="207" t="s">
        <v>30</v>
      </c>
      <c r="D26" s="208"/>
      <c r="E26" s="208"/>
      <c r="F26" s="208"/>
      <c r="G26" s="208"/>
      <c r="H26" s="208"/>
      <c r="I26" s="208"/>
    </row>
    <row r="27" spans="1:9" ht="33" customHeight="1" x14ac:dyDescent="0.3">
      <c r="A27" s="170"/>
      <c r="B27" s="182" t="s">
        <v>31</v>
      </c>
      <c r="C27" s="207" t="s">
        <v>32</v>
      </c>
      <c r="D27" s="208"/>
      <c r="E27" s="208"/>
      <c r="F27" s="208"/>
      <c r="G27" s="208"/>
      <c r="H27" s="208"/>
      <c r="I27" s="208"/>
    </row>
    <row r="28" spans="1:9" ht="15" customHeight="1" x14ac:dyDescent="0.3">
      <c r="A28" s="60"/>
      <c r="B28" s="204" t="s">
        <v>0</v>
      </c>
      <c r="C28" s="198"/>
      <c r="D28" s="198"/>
      <c r="E28" s="198"/>
      <c r="F28" s="198"/>
      <c r="G28" s="198"/>
      <c r="H28" s="198"/>
      <c r="I28" s="198"/>
    </row>
    <row r="29" spans="1:9" ht="15" customHeight="1" x14ac:dyDescent="0.3">
      <c r="B29" s="166" t="s">
        <v>8</v>
      </c>
      <c r="C29" s="200" t="s">
        <v>33</v>
      </c>
      <c r="D29" s="198"/>
      <c r="E29" s="198"/>
      <c r="F29" s="198"/>
      <c r="G29" s="198"/>
      <c r="H29" s="198"/>
      <c r="I29" s="198"/>
    </row>
    <row r="30" spans="1:9" ht="14.4" customHeight="1" x14ac:dyDescent="0.3">
      <c r="B30" s="166" t="s">
        <v>8</v>
      </c>
      <c r="C30" s="200" t="s">
        <v>34</v>
      </c>
      <c r="D30" s="198"/>
      <c r="E30" s="198"/>
      <c r="F30" s="198"/>
      <c r="G30" s="198"/>
      <c r="H30" s="198"/>
      <c r="I30" s="198"/>
    </row>
    <row r="31" spans="1:9" ht="15" customHeight="1" x14ac:dyDescent="0.3">
      <c r="B31" s="166" t="s">
        <v>8</v>
      </c>
      <c r="C31" s="200" t="s">
        <v>35</v>
      </c>
      <c r="D31" s="198"/>
      <c r="E31" s="198"/>
      <c r="F31" s="198"/>
      <c r="G31" s="198"/>
      <c r="H31" s="198"/>
      <c r="I31" s="198"/>
    </row>
    <row r="32" spans="1:9" ht="15" customHeight="1" x14ac:dyDescent="0.3">
      <c r="B32" s="166" t="s">
        <v>8</v>
      </c>
      <c r="C32" s="200" t="s">
        <v>36</v>
      </c>
      <c r="D32" s="198"/>
      <c r="E32" s="198"/>
      <c r="F32" s="198"/>
      <c r="G32" s="198"/>
      <c r="H32" s="198"/>
      <c r="I32" s="198"/>
    </row>
    <row r="33" spans="1:9" ht="15" customHeight="1" x14ac:dyDescent="0.3">
      <c r="A33" s="170"/>
      <c r="B33" s="205"/>
      <c r="C33" s="206"/>
      <c r="D33" s="206"/>
      <c r="E33" s="206"/>
      <c r="F33" s="206"/>
      <c r="G33" s="206"/>
      <c r="H33" s="206"/>
      <c r="I33" s="206"/>
    </row>
    <row r="34" spans="1:9" ht="15" customHeight="1" x14ac:dyDescent="0.3">
      <c r="A34" s="60"/>
      <c r="B34" s="200" t="s">
        <v>37</v>
      </c>
      <c r="C34" s="198"/>
      <c r="D34" s="198"/>
      <c r="E34" s="198"/>
      <c r="F34" s="198"/>
      <c r="G34" s="198"/>
      <c r="H34" s="198"/>
      <c r="I34" s="198"/>
    </row>
    <row r="35" spans="1:9" ht="15" customHeight="1" x14ac:dyDescent="0.3">
      <c r="A35" s="170"/>
      <c r="B35" s="168"/>
      <c r="C35" s="225" t="s">
        <v>38</v>
      </c>
      <c r="D35" s="226"/>
      <c r="E35" s="227"/>
      <c r="F35" s="225" t="s">
        <v>39</v>
      </c>
      <c r="G35" s="226"/>
      <c r="H35" s="226"/>
      <c r="I35" s="227"/>
    </row>
    <row r="36" spans="1:9" ht="26.1" customHeight="1" x14ac:dyDescent="0.3">
      <c r="A36" s="170"/>
      <c r="B36" s="168"/>
      <c r="C36" s="225" t="s">
        <v>40</v>
      </c>
      <c r="D36" s="226"/>
      <c r="E36" s="227"/>
      <c r="F36" s="225" t="s">
        <v>41</v>
      </c>
      <c r="G36" s="226"/>
      <c r="H36" s="226"/>
      <c r="I36" s="227"/>
    </row>
    <row r="37" spans="1:9" ht="26.1" customHeight="1" x14ac:dyDescent="0.3">
      <c r="A37" s="170"/>
      <c r="B37" s="168"/>
      <c r="C37" s="225" t="s">
        <v>42</v>
      </c>
      <c r="D37" s="226"/>
      <c r="E37" s="227"/>
      <c r="F37" s="225" t="s">
        <v>43</v>
      </c>
      <c r="G37" s="226"/>
      <c r="H37" s="226"/>
      <c r="I37" s="227"/>
    </row>
    <row r="38" spans="1:9" ht="15" customHeight="1" x14ac:dyDescent="0.3">
      <c r="A38" s="170"/>
      <c r="B38" s="168"/>
      <c r="C38" s="225" t="s">
        <v>44</v>
      </c>
      <c r="D38" s="226"/>
      <c r="E38" s="227"/>
      <c r="F38" s="225" t="s">
        <v>45</v>
      </c>
      <c r="G38" s="226"/>
      <c r="H38" s="226"/>
      <c r="I38" s="227"/>
    </row>
    <row r="39" spans="1:9" ht="51" customHeight="1" x14ac:dyDescent="0.3">
      <c r="A39" s="170"/>
      <c r="B39" s="168"/>
      <c r="C39" s="225" t="s">
        <v>46</v>
      </c>
      <c r="D39" s="226"/>
      <c r="E39" s="227"/>
      <c r="F39" s="225" t="s">
        <v>47</v>
      </c>
      <c r="G39" s="226"/>
      <c r="H39" s="226"/>
      <c r="I39" s="227"/>
    </row>
    <row r="40" spans="1:9" ht="12.9" customHeight="1" x14ac:dyDescent="0.3">
      <c r="A40" s="170"/>
      <c r="B40" s="168"/>
      <c r="C40" s="168"/>
      <c r="D40" s="168"/>
      <c r="E40" s="168"/>
      <c r="F40" s="168"/>
      <c r="G40" s="168"/>
      <c r="H40" s="168"/>
      <c r="I40" s="168"/>
    </row>
    <row r="41" spans="1:9" ht="15" customHeight="1" x14ac:dyDescent="0.3">
      <c r="A41" s="3" t="s">
        <v>48</v>
      </c>
      <c r="B41" s="203" t="s">
        <v>49</v>
      </c>
      <c r="C41" s="198"/>
      <c r="D41" s="198"/>
      <c r="E41" s="198"/>
      <c r="F41" s="198"/>
      <c r="G41" s="198"/>
      <c r="H41" s="198"/>
      <c r="I41" s="198"/>
    </row>
    <row r="42" spans="1:9" ht="15" customHeight="1" x14ac:dyDescent="0.3">
      <c r="A42" s="60"/>
      <c r="B42" s="204" t="s">
        <v>6</v>
      </c>
      <c r="C42" s="198"/>
      <c r="D42" s="198"/>
      <c r="E42" s="198"/>
      <c r="F42" s="198"/>
      <c r="G42" s="198"/>
      <c r="H42" s="198"/>
      <c r="I42" s="198"/>
    </row>
    <row r="43" spans="1:9" ht="51" customHeight="1" x14ac:dyDescent="0.3">
      <c r="A43" s="60"/>
      <c r="B43" s="200" t="s">
        <v>50</v>
      </c>
      <c r="C43" s="198"/>
      <c r="D43" s="198"/>
      <c r="E43" s="198"/>
      <c r="F43" s="198"/>
      <c r="G43" s="198"/>
      <c r="H43" s="198"/>
      <c r="I43" s="198"/>
    </row>
    <row r="44" spans="1:9" ht="26.1" customHeight="1" x14ac:dyDescent="0.3">
      <c r="A44" s="60"/>
      <c r="B44" s="200" t="s">
        <v>51</v>
      </c>
      <c r="C44" s="198"/>
      <c r="D44" s="198"/>
      <c r="E44" s="198"/>
      <c r="F44" s="198"/>
      <c r="G44" s="198"/>
      <c r="H44" s="198"/>
      <c r="I44" s="198"/>
    </row>
    <row r="45" spans="1:9" ht="15" customHeight="1" x14ac:dyDescent="0.3">
      <c r="A45" s="170"/>
      <c r="B45" s="205"/>
      <c r="C45" s="206"/>
      <c r="D45" s="206"/>
      <c r="E45" s="206"/>
      <c r="F45" s="206"/>
      <c r="G45" s="206"/>
      <c r="H45" s="206"/>
      <c r="I45" s="206"/>
    </row>
    <row r="46" spans="1:9" ht="15" customHeight="1" x14ac:dyDescent="0.3">
      <c r="A46" s="60"/>
      <c r="B46" s="204" t="s">
        <v>0</v>
      </c>
      <c r="C46" s="198"/>
      <c r="D46" s="198"/>
      <c r="E46" s="198"/>
      <c r="F46" s="198"/>
      <c r="G46" s="198"/>
      <c r="H46" s="198"/>
      <c r="I46" s="198"/>
    </row>
    <row r="47" spans="1:9" ht="26.1" customHeight="1" x14ac:dyDescent="0.3">
      <c r="B47" s="166" t="s">
        <v>8</v>
      </c>
      <c r="C47" s="200" t="s">
        <v>52</v>
      </c>
      <c r="D47" s="198"/>
      <c r="E47" s="198"/>
      <c r="F47" s="198"/>
      <c r="G47" s="198"/>
      <c r="H47" s="198"/>
      <c r="I47" s="198"/>
    </row>
    <row r="48" spans="1:9" ht="15" customHeight="1" x14ac:dyDescent="0.3">
      <c r="B48" s="166" t="s">
        <v>8</v>
      </c>
      <c r="C48" s="200" t="s">
        <v>53</v>
      </c>
      <c r="D48" s="198"/>
      <c r="E48" s="198"/>
      <c r="F48" s="198"/>
      <c r="G48" s="198"/>
      <c r="H48" s="198"/>
      <c r="I48" s="198"/>
    </row>
    <row r="49" spans="1:9" ht="15" customHeight="1" x14ac:dyDescent="0.3">
      <c r="B49" s="166" t="s">
        <v>8</v>
      </c>
      <c r="C49" s="200" t="s">
        <v>54</v>
      </c>
      <c r="D49" s="198"/>
      <c r="E49" s="198"/>
      <c r="F49" s="198"/>
      <c r="G49" s="198"/>
      <c r="H49" s="198"/>
      <c r="I49" s="198"/>
    </row>
    <row r="50" spans="1:9" ht="15" customHeight="1" x14ac:dyDescent="0.3">
      <c r="A50" s="170"/>
      <c r="B50" s="205"/>
      <c r="C50" s="206"/>
      <c r="D50" s="206"/>
      <c r="E50" s="206"/>
      <c r="F50" s="206"/>
      <c r="G50" s="206"/>
      <c r="H50" s="206"/>
      <c r="I50" s="206"/>
    </row>
    <row r="51" spans="1:9" ht="15" customHeight="1" x14ac:dyDescent="0.3">
      <c r="A51" s="60"/>
      <c r="B51" s="200" t="s">
        <v>55</v>
      </c>
      <c r="C51" s="198"/>
      <c r="D51" s="198"/>
      <c r="E51" s="198"/>
      <c r="F51" s="198"/>
      <c r="G51" s="198"/>
      <c r="H51" s="198"/>
      <c r="I51" s="198"/>
    </row>
    <row r="52" spans="1:9" ht="15" customHeight="1" x14ac:dyDescent="0.3">
      <c r="A52" s="170"/>
      <c r="B52" s="168"/>
      <c r="C52" s="225" t="s">
        <v>38</v>
      </c>
      <c r="D52" s="226"/>
      <c r="E52" s="226"/>
      <c r="F52" s="227"/>
      <c r="G52" s="225" t="s">
        <v>39</v>
      </c>
      <c r="H52" s="226"/>
      <c r="I52" s="227"/>
    </row>
    <row r="53" spans="1:9" ht="66.599999999999994" customHeight="1" x14ac:dyDescent="0.3">
      <c r="A53" s="170"/>
      <c r="B53" s="168"/>
      <c r="C53" s="225" t="s">
        <v>56</v>
      </c>
      <c r="D53" s="226"/>
      <c r="E53" s="226"/>
      <c r="F53" s="227"/>
      <c r="G53" s="225" t="s">
        <v>57</v>
      </c>
      <c r="H53" s="226"/>
      <c r="I53" s="227"/>
    </row>
    <row r="54" spans="1:9" ht="90.6" customHeight="1" x14ac:dyDescent="0.3">
      <c r="A54" s="170"/>
      <c r="B54" s="168"/>
      <c r="C54" s="225" t="s">
        <v>58</v>
      </c>
      <c r="D54" s="226"/>
      <c r="E54" s="226"/>
      <c r="F54" s="227"/>
      <c r="G54" s="225" t="s">
        <v>59</v>
      </c>
      <c r="H54" s="226"/>
      <c r="I54" s="227"/>
    </row>
    <row r="55" spans="1:9" ht="42.6" customHeight="1" x14ac:dyDescent="0.3">
      <c r="A55" s="170"/>
      <c r="B55" s="168"/>
      <c r="C55" s="225" t="s">
        <v>60</v>
      </c>
      <c r="D55" s="226"/>
      <c r="E55" s="226"/>
      <c r="F55" s="227"/>
      <c r="G55" s="225" t="s">
        <v>61</v>
      </c>
      <c r="H55" s="226"/>
      <c r="I55" s="227"/>
    </row>
    <row r="56" spans="1:9" ht="39" customHeight="1" x14ac:dyDescent="0.3">
      <c r="A56" s="170"/>
      <c r="B56" s="168"/>
      <c r="C56" s="225" t="s">
        <v>62</v>
      </c>
      <c r="D56" s="226"/>
      <c r="E56" s="226"/>
      <c r="F56" s="227"/>
      <c r="G56" s="225" t="s">
        <v>63</v>
      </c>
      <c r="H56" s="226"/>
      <c r="I56" s="227"/>
    </row>
    <row r="57" spans="1:9" ht="40.5" customHeight="1" x14ac:dyDescent="0.3">
      <c r="A57" s="170"/>
      <c r="B57" s="168"/>
      <c r="C57" s="225" t="s">
        <v>64</v>
      </c>
      <c r="D57" s="226"/>
      <c r="E57" s="226"/>
      <c r="F57" s="227"/>
      <c r="G57" s="225" t="s">
        <v>65</v>
      </c>
      <c r="H57" s="226"/>
      <c r="I57" s="227"/>
    </row>
    <row r="58" spans="1:9" ht="12.9" customHeight="1" x14ac:dyDescent="0.3">
      <c r="A58" s="170"/>
      <c r="B58" s="168"/>
      <c r="D58" s="165"/>
      <c r="E58" s="165"/>
      <c r="F58" s="165"/>
      <c r="H58" s="165"/>
      <c r="I58" s="165"/>
    </row>
    <row r="59" spans="1:9" ht="15" customHeight="1" x14ac:dyDescent="0.3">
      <c r="A59" s="3" t="s">
        <v>66</v>
      </c>
      <c r="B59" s="203" t="s">
        <v>67</v>
      </c>
      <c r="C59" s="198"/>
      <c r="D59" s="198"/>
      <c r="E59" s="198"/>
      <c r="F59" s="198"/>
      <c r="G59" s="198"/>
      <c r="H59" s="198"/>
      <c r="I59" s="198"/>
    </row>
    <row r="60" spans="1:9" ht="15" customHeight="1" x14ac:dyDescent="0.3">
      <c r="A60" s="3"/>
      <c r="B60" s="204" t="s">
        <v>6</v>
      </c>
      <c r="C60" s="198"/>
      <c r="D60" s="198"/>
      <c r="E60" s="198"/>
      <c r="F60" s="198"/>
      <c r="G60" s="198"/>
      <c r="H60" s="198"/>
      <c r="I60" s="198"/>
    </row>
    <row r="61" spans="1:9" ht="26.1" customHeight="1" x14ac:dyDescent="0.3">
      <c r="A61" s="60"/>
      <c r="B61" s="200" t="s">
        <v>68</v>
      </c>
      <c r="C61" s="198"/>
      <c r="D61" s="198"/>
      <c r="E61" s="198"/>
      <c r="F61" s="198"/>
      <c r="G61" s="198"/>
      <c r="H61" s="198"/>
      <c r="I61" s="198"/>
    </row>
    <row r="62" spans="1:9" ht="15" customHeight="1" x14ac:dyDescent="0.3">
      <c r="A62" s="170"/>
      <c r="B62" s="205"/>
      <c r="C62" s="206"/>
      <c r="D62" s="206"/>
      <c r="E62" s="206"/>
      <c r="F62" s="206"/>
      <c r="G62" s="206"/>
      <c r="H62" s="206"/>
      <c r="I62" s="206"/>
    </row>
    <row r="63" spans="1:9" ht="15" customHeight="1" x14ac:dyDescent="0.3">
      <c r="A63" s="60"/>
      <c r="B63" s="204" t="s">
        <v>0</v>
      </c>
      <c r="C63" s="198"/>
      <c r="D63" s="198"/>
      <c r="E63" s="198"/>
      <c r="F63" s="198"/>
      <c r="G63" s="198"/>
      <c r="H63" s="198"/>
      <c r="I63" s="198"/>
    </row>
    <row r="64" spans="1:9" ht="15" customHeight="1" x14ac:dyDescent="0.3">
      <c r="B64" s="166" t="s">
        <v>8</v>
      </c>
      <c r="C64" s="200" t="s">
        <v>69</v>
      </c>
      <c r="D64" s="198"/>
      <c r="E64" s="198"/>
      <c r="F64" s="198"/>
      <c r="G64" s="198"/>
      <c r="H64" s="198"/>
      <c r="I64" s="198"/>
    </row>
    <row r="65" spans="1:9" ht="15" customHeight="1" x14ac:dyDescent="0.3">
      <c r="B65" s="166" t="s">
        <v>8</v>
      </c>
      <c r="C65" s="200" t="s">
        <v>70</v>
      </c>
      <c r="D65" s="198"/>
      <c r="E65" s="198"/>
      <c r="F65" s="198"/>
      <c r="G65" s="198"/>
      <c r="H65" s="198"/>
      <c r="I65" s="198"/>
    </row>
    <row r="66" spans="1:9" ht="15" customHeight="1" x14ac:dyDescent="0.3">
      <c r="D66" s="165"/>
      <c r="E66" s="165"/>
      <c r="F66" s="165"/>
      <c r="G66" s="165"/>
      <c r="H66" s="165"/>
      <c r="I66" s="165"/>
    </row>
    <row r="67" spans="1:9" ht="18.899999999999999" customHeight="1" x14ac:dyDescent="0.35">
      <c r="A67" s="142" t="s">
        <v>71</v>
      </c>
      <c r="B67" s="195" t="s">
        <v>72</v>
      </c>
      <c r="C67" s="196"/>
      <c r="D67" s="196"/>
      <c r="E67" s="196"/>
      <c r="F67" s="196"/>
      <c r="G67" s="196"/>
      <c r="H67" s="196"/>
      <c r="I67" s="196"/>
    </row>
    <row r="68" spans="1:9" ht="12.9" customHeight="1" x14ac:dyDescent="0.3">
      <c r="A68" s="170"/>
      <c r="B68" s="168"/>
      <c r="C68" s="168"/>
      <c r="D68" s="168"/>
      <c r="E68" s="168"/>
      <c r="F68" s="168"/>
      <c r="G68" s="168"/>
      <c r="H68" s="168"/>
      <c r="I68" s="168"/>
    </row>
    <row r="69" spans="1:9" ht="12.9" customHeight="1" x14ac:dyDescent="0.3">
      <c r="A69" s="176" t="s">
        <v>73</v>
      </c>
      <c r="B69" s="203" t="s">
        <v>74</v>
      </c>
      <c r="C69" s="198"/>
      <c r="D69" s="198"/>
      <c r="E69" s="198"/>
      <c r="F69" s="198"/>
      <c r="G69" s="198"/>
      <c r="H69" s="198"/>
      <c r="I69" s="198"/>
    </row>
    <row r="70" spans="1:9" ht="12.9" customHeight="1" x14ac:dyDescent="0.3">
      <c r="A70" s="176"/>
      <c r="B70" s="167"/>
      <c r="C70" s="165"/>
      <c r="D70" s="165"/>
      <c r="E70" s="165"/>
      <c r="F70" s="165"/>
      <c r="G70" s="165"/>
      <c r="H70" s="165"/>
      <c r="I70" s="165"/>
    </row>
    <row r="71" spans="1:9" ht="14.4" x14ac:dyDescent="0.3">
      <c r="A71" s="177" t="s">
        <v>75</v>
      </c>
      <c r="B71" s="203" t="s">
        <v>76</v>
      </c>
      <c r="C71" s="198"/>
      <c r="D71" s="198"/>
      <c r="E71" s="198"/>
      <c r="F71" s="198"/>
      <c r="G71" s="198"/>
      <c r="H71" s="198"/>
      <c r="I71" s="198"/>
    </row>
    <row r="72" spans="1:9" ht="14.4" x14ac:dyDescent="0.3">
      <c r="A72" s="3"/>
      <c r="B72" s="204" t="s">
        <v>6</v>
      </c>
      <c r="C72" s="198"/>
      <c r="D72" s="198"/>
      <c r="E72" s="198"/>
      <c r="F72" s="198"/>
      <c r="G72" s="198"/>
      <c r="H72" s="198"/>
      <c r="I72" s="198"/>
    </row>
    <row r="73" spans="1:9" ht="30" customHeight="1" x14ac:dyDescent="0.3">
      <c r="A73" s="60"/>
      <c r="B73" s="200" t="s">
        <v>77</v>
      </c>
      <c r="C73" s="198"/>
      <c r="D73" s="198"/>
      <c r="E73" s="198"/>
      <c r="F73" s="198"/>
      <c r="G73" s="198"/>
      <c r="H73" s="198"/>
      <c r="I73" s="198"/>
    </row>
    <row r="74" spans="1:9" ht="14.4" x14ac:dyDescent="0.3">
      <c r="A74" s="170"/>
      <c r="B74" s="205"/>
      <c r="C74" s="206"/>
      <c r="D74" s="206"/>
      <c r="E74" s="206"/>
      <c r="F74" s="206"/>
      <c r="G74" s="206"/>
      <c r="H74" s="206"/>
      <c r="I74" s="206"/>
    </row>
    <row r="75" spans="1:9" ht="14.4" x14ac:dyDescent="0.3">
      <c r="A75" s="60"/>
      <c r="B75" s="204" t="s">
        <v>0</v>
      </c>
      <c r="C75" s="198"/>
      <c r="D75" s="198"/>
      <c r="E75" s="198"/>
      <c r="F75" s="198"/>
      <c r="G75" s="198"/>
      <c r="H75" s="198"/>
      <c r="I75" s="198"/>
    </row>
    <row r="76" spans="1:9" ht="27" customHeight="1" x14ac:dyDescent="0.3">
      <c r="B76" s="166" t="s">
        <v>8</v>
      </c>
      <c r="C76" s="200" t="s">
        <v>78</v>
      </c>
      <c r="D76" s="198"/>
      <c r="E76" s="198"/>
      <c r="F76" s="198"/>
      <c r="G76" s="198"/>
      <c r="H76" s="198"/>
      <c r="I76" s="198"/>
    </row>
    <row r="77" spans="1:9" ht="54" customHeight="1" x14ac:dyDescent="0.3">
      <c r="B77" s="166" t="s">
        <v>8</v>
      </c>
      <c r="C77" s="200" t="s">
        <v>79</v>
      </c>
      <c r="D77" s="198"/>
      <c r="E77" s="198"/>
      <c r="F77" s="198"/>
      <c r="G77" s="198"/>
      <c r="H77" s="198"/>
      <c r="I77" s="198"/>
    </row>
    <row r="79" spans="1:9" ht="14.4" x14ac:dyDescent="0.3">
      <c r="A79" s="177" t="s">
        <v>80</v>
      </c>
      <c r="B79" s="203" t="s">
        <v>81</v>
      </c>
      <c r="C79" s="198"/>
      <c r="D79" s="198"/>
      <c r="E79" s="198"/>
      <c r="F79" s="198"/>
      <c r="G79" s="198"/>
      <c r="H79" s="198"/>
      <c r="I79" s="198"/>
    </row>
    <row r="80" spans="1:9" ht="14.4" x14ac:dyDescent="0.3">
      <c r="A80" s="3"/>
      <c r="B80" s="204" t="s">
        <v>6</v>
      </c>
      <c r="C80" s="198"/>
      <c r="D80" s="198"/>
      <c r="E80" s="198"/>
      <c r="F80" s="198"/>
      <c r="G80" s="198"/>
      <c r="H80" s="198"/>
      <c r="I80" s="198"/>
    </row>
    <row r="81" spans="1:9" ht="12.6" customHeight="1" x14ac:dyDescent="0.3">
      <c r="A81" s="60"/>
      <c r="B81" s="200" t="s">
        <v>82</v>
      </c>
      <c r="C81" s="198"/>
      <c r="D81" s="198"/>
      <c r="E81" s="198"/>
      <c r="F81" s="198"/>
      <c r="G81" s="198"/>
      <c r="H81" s="198"/>
      <c r="I81" s="198"/>
    </row>
    <row r="82" spans="1:9" ht="45" customHeight="1" x14ac:dyDescent="0.3">
      <c r="A82" s="60"/>
      <c r="B82" s="201" t="s">
        <v>83</v>
      </c>
      <c r="C82" s="202"/>
      <c r="D82" s="202"/>
      <c r="E82" s="202"/>
      <c r="F82" s="202"/>
      <c r="G82" s="202"/>
      <c r="H82" s="202"/>
      <c r="I82" s="202"/>
    </row>
    <row r="83" spans="1:9" ht="12.9" customHeight="1" x14ac:dyDescent="0.3">
      <c r="A83" s="60"/>
      <c r="B83" s="200" t="s">
        <v>84</v>
      </c>
      <c r="C83" s="198"/>
      <c r="D83" s="198"/>
      <c r="E83" s="198"/>
      <c r="F83" s="198"/>
      <c r="G83" s="198"/>
      <c r="H83" s="198"/>
      <c r="I83" s="198"/>
    </row>
    <row r="84" spans="1:9" ht="12.9" customHeight="1" x14ac:dyDescent="0.3">
      <c r="A84" s="60"/>
      <c r="B84" s="200"/>
      <c r="C84" s="198"/>
      <c r="D84" s="198"/>
      <c r="E84" s="198"/>
      <c r="F84" s="198"/>
      <c r="G84" s="198"/>
      <c r="H84" s="198"/>
      <c r="I84" s="198"/>
    </row>
    <row r="85" spans="1:9" ht="15.6" customHeight="1" x14ac:dyDescent="0.3">
      <c r="A85" s="60"/>
      <c r="B85" s="200" t="s">
        <v>85</v>
      </c>
      <c r="C85" s="200"/>
      <c r="D85" s="200"/>
      <c r="E85" s="200"/>
      <c r="F85" s="200"/>
      <c r="G85" s="200"/>
      <c r="H85" s="200"/>
      <c r="I85" s="200"/>
    </row>
    <row r="86" spans="1:9" ht="36" customHeight="1" x14ac:dyDescent="0.3">
      <c r="A86" s="170"/>
      <c r="B86" s="201" t="s">
        <v>86</v>
      </c>
      <c r="C86" s="202"/>
      <c r="D86" s="202"/>
      <c r="E86" s="202"/>
      <c r="F86" s="202"/>
      <c r="G86" s="202"/>
      <c r="H86" s="202"/>
      <c r="I86" s="202"/>
    </row>
    <row r="87" spans="1:9" ht="27" customHeight="1" x14ac:dyDescent="0.3">
      <c r="A87" s="170"/>
      <c r="B87" s="205" t="s">
        <v>87</v>
      </c>
      <c r="C87" s="206"/>
      <c r="D87" s="206"/>
      <c r="E87" s="206"/>
      <c r="F87" s="206"/>
      <c r="G87" s="206"/>
      <c r="H87" s="206"/>
      <c r="I87" s="206"/>
    </row>
    <row r="88" spans="1:9" ht="12.9" customHeight="1" x14ac:dyDescent="0.3">
      <c r="A88" s="170"/>
      <c r="B88" s="168"/>
      <c r="C88" s="168"/>
      <c r="D88" s="168"/>
      <c r="E88" s="168"/>
      <c r="F88" s="168"/>
      <c r="G88" s="168"/>
      <c r="H88" s="168"/>
      <c r="I88" s="168"/>
    </row>
    <row r="89" spans="1:9" ht="12.9" customHeight="1" x14ac:dyDescent="0.3">
      <c r="A89" s="170"/>
      <c r="B89" s="200" t="s">
        <v>88</v>
      </c>
      <c r="C89" s="198"/>
      <c r="D89" s="198"/>
      <c r="E89" s="198"/>
      <c r="F89" s="198"/>
      <c r="G89" s="198"/>
      <c r="H89" s="198"/>
      <c r="I89" s="198"/>
    </row>
    <row r="90" spans="1:9" ht="12.9" customHeight="1" x14ac:dyDescent="0.3">
      <c r="A90" s="170"/>
      <c r="B90" s="168"/>
      <c r="C90" s="168"/>
      <c r="D90" s="168"/>
      <c r="E90" s="168"/>
      <c r="F90" s="168"/>
      <c r="G90" s="168"/>
      <c r="H90" s="168"/>
      <c r="I90" s="168"/>
    </row>
    <row r="91" spans="1:9" ht="12.9" customHeight="1" x14ac:dyDescent="0.3">
      <c r="A91" s="170"/>
      <c r="B91" s="168" t="s">
        <v>89</v>
      </c>
      <c r="C91" s="212" t="s">
        <v>90</v>
      </c>
      <c r="D91" s="212"/>
      <c r="E91" s="212"/>
      <c r="F91" s="169"/>
      <c r="G91" s="169"/>
      <c r="H91" s="169"/>
      <c r="I91" s="169"/>
    </row>
    <row r="92" spans="1:9" ht="12.9" customHeight="1" x14ac:dyDescent="0.3">
      <c r="A92" s="170"/>
      <c r="B92" s="168"/>
      <c r="C92" s="169"/>
      <c r="D92" s="169"/>
      <c r="E92" s="169"/>
      <c r="F92" s="169"/>
      <c r="G92" s="169"/>
      <c r="H92" s="169"/>
      <c r="I92" s="169"/>
    </row>
    <row r="93" spans="1:9" x14ac:dyDescent="0.3">
      <c r="A93" s="60"/>
      <c r="B93" s="204" t="s">
        <v>0</v>
      </c>
      <c r="C93" s="204"/>
      <c r="D93" s="204"/>
      <c r="E93" s="204"/>
      <c r="F93" s="204"/>
      <c r="G93" s="204"/>
      <c r="H93" s="204"/>
      <c r="I93" s="204"/>
    </row>
    <row r="94" spans="1:9" ht="14.4" x14ac:dyDescent="0.3">
      <c r="B94" s="166" t="s">
        <v>8</v>
      </c>
      <c r="C94" s="200" t="s">
        <v>91</v>
      </c>
      <c r="D94" s="198"/>
      <c r="E94" s="198"/>
      <c r="F94" s="198"/>
      <c r="G94" s="198"/>
      <c r="H94" s="198"/>
      <c r="I94" s="198"/>
    </row>
    <row r="95" spans="1:9" ht="26.4" customHeight="1" x14ac:dyDescent="0.3">
      <c r="B95" s="166" t="s">
        <v>8</v>
      </c>
      <c r="C95" s="200" t="s">
        <v>92</v>
      </c>
      <c r="D95" s="198"/>
      <c r="E95" s="198"/>
      <c r="F95" s="198"/>
      <c r="G95" s="198"/>
      <c r="H95" s="198"/>
      <c r="I95" s="198"/>
    </row>
    <row r="96" spans="1:9" ht="27.6" customHeight="1" x14ac:dyDescent="0.3">
      <c r="B96" s="166" t="s">
        <v>8</v>
      </c>
      <c r="C96" s="200" t="s">
        <v>93</v>
      </c>
      <c r="D96" s="198"/>
      <c r="E96" s="198"/>
      <c r="F96" s="198"/>
      <c r="G96" s="198"/>
      <c r="H96" s="198"/>
      <c r="I96" s="198"/>
    </row>
    <row r="97" spans="1:9" ht="14.4" x14ac:dyDescent="0.3">
      <c r="B97" s="166" t="s">
        <v>8</v>
      </c>
      <c r="C97" s="200" t="s">
        <v>94</v>
      </c>
      <c r="D97" s="198"/>
      <c r="E97" s="198"/>
      <c r="F97" s="198"/>
      <c r="G97" s="198"/>
      <c r="H97" s="198"/>
      <c r="I97" s="198"/>
    </row>
    <row r="98" spans="1:9" ht="14.4" x14ac:dyDescent="0.3">
      <c r="B98" s="166" t="s">
        <v>8</v>
      </c>
      <c r="C98" s="200" t="s">
        <v>95</v>
      </c>
      <c r="D98" s="198"/>
      <c r="E98" s="198"/>
      <c r="F98" s="198"/>
      <c r="G98" s="198"/>
      <c r="H98" s="198"/>
      <c r="I98" s="198"/>
    </row>
    <row r="100" spans="1:9" ht="14.4" x14ac:dyDescent="0.3">
      <c r="A100" s="176" t="s">
        <v>96</v>
      </c>
      <c r="B100" s="203" t="s">
        <v>97</v>
      </c>
      <c r="C100" s="198"/>
      <c r="D100" s="198"/>
      <c r="E100" s="198"/>
      <c r="F100" s="198"/>
      <c r="G100" s="198"/>
      <c r="H100" s="198"/>
      <c r="I100" s="198"/>
    </row>
    <row r="102" spans="1:9" ht="14.4" x14ac:dyDescent="0.3">
      <c r="A102" s="177" t="s">
        <v>98</v>
      </c>
      <c r="B102" s="203" t="s">
        <v>99</v>
      </c>
      <c r="C102" s="198"/>
      <c r="D102" s="198"/>
      <c r="E102" s="198"/>
      <c r="F102" s="198"/>
      <c r="G102" s="198"/>
      <c r="H102" s="198"/>
      <c r="I102" s="198"/>
    </row>
    <row r="103" spans="1:9" ht="14.4" x14ac:dyDescent="0.3">
      <c r="A103" s="3"/>
      <c r="B103" s="204" t="s">
        <v>6</v>
      </c>
      <c r="C103" s="198"/>
      <c r="D103" s="198"/>
      <c r="E103" s="198"/>
      <c r="F103" s="198"/>
      <c r="G103" s="198"/>
      <c r="H103" s="198"/>
      <c r="I103" s="198"/>
    </row>
    <row r="104" spans="1:9" ht="29.1" customHeight="1" x14ac:dyDescent="0.3">
      <c r="A104" s="60"/>
      <c r="B104" s="200" t="s">
        <v>100</v>
      </c>
      <c r="C104" s="198"/>
      <c r="D104" s="198"/>
      <c r="E104" s="198"/>
      <c r="F104" s="198"/>
      <c r="G104" s="198"/>
      <c r="H104" s="198"/>
      <c r="I104" s="198"/>
    </row>
    <row r="105" spans="1:9" ht="14.4" x14ac:dyDescent="0.3">
      <c r="A105" s="170"/>
      <c r="B105" s="168"/>
      <c r="C105" s="169"/>
      <c r="D105" s="169"/>
      <c r="E105" s="169"/>
      <c r="F105" s="169"/>
      <c r="G105" s="169"/>
      <c r="H105" s="169"/>
      <c r="I105" s="169"/>
    </row>
    <row r="106" spans="1:9" x14ac:dyDescent="0.3">
      <c r="A106" s="60"/>
      <c r="B106" s="204" t="s">
        <v>0</v>
      </c>
      <c r="C106" s="204"/>
      <c r="D106" s="204"/>
      <c r="E106" s="204"/>
      <c r="F106" s="204"/>
      <c r="G106" s="204"/>
      <c r="H106" s="204"/>
      <c r="I106" s="204"/>
    </row>
    <row r="107" spans="1:9" ht="24.9" customHeight="1" x14ac:dyDescent="0.3">
      <c r="B107" s="166" t="s">
        <v>8</v>
      </c>
      <c r="C107" s="200" t="s">
        <v>101</v>
      </c>
      <c r="D107" s="198"/>
      <c r="E107" s="198"/>
      <c r="F107" s="198"/>
      <c r="G107" s="198"/>
      <c r="H107" s="198"/>
      <c r="I107" s="198"/>
    </row>
    <row r="108" spans="1:9" ht="14.4" x14ac:dyDescent="0.3">
      <c r="B108" s="166" t="s">
        <v>8</v>
      </c>
      <c r="C108" s="200" t="s">
        <v>102</v>
      </c>
      <c r="D108" s="198"/>
      <c r="E108" s="198"/>
      <c r="F108" s="198"/>
      <c r="G108" s="198"/>
      <c r="H108" s="198"/>
      <c r="I108" s="198"/>
    </row>
    <row r="109" spans="1:9" ht="30.9" customHeight="1" x14ac:dyDescent="0.3">
      <c r="B109" s="166" t="s">
        <v>8</v>
      </c>
      <c r="C109" s="200" t="s">
        <v>103</v>
      </c>
      <c r="D109" s="198"/>
      <c r="E109" s="198"/>
      <c r="F109" s="198"/>
      <c r="G109" s="198"/>
      <c r="H109" s="198"/>
      <c r="I109" s="198"/>
    </row>
    <row r="110" spans="1:9" ht="16.2" x14ac:dyDescent="0.35">
      <c r="A110" s="142" t="s">
        <v>104</v>
      </c>
      <c r="B110" s="195" t="s">
        <v>105</v>
      </c>
      <c r="C110" s="196"/>
      <c r="D110" s="196"/>
      <c r="E110" s="196"/>
      <c r="F110" s="196"/>
      <c r="G110" s="196"/>
      <c r="H110" s="196"/>
      <c r="I110" s="196"/>
    </row>
    <row r="111" spans="1:9" x14ac:dyDescent="0.3">
      <c r="A111" s="170"/>
      <c r="B111" s="168"/>
      <c r="C111" s="168"/>
      <c r="D111" s="168"/>
      <c r="E111" s="168"/>
      <c r="F111" s="168"/>
      <c r="G111" s="168"/>
      <c r="H111" s="168"/>
      <c r="I111" s="168"/>
    </row>
    <row r="112" spans="1:9" ht="14.4" x14ac:dyDescent="0.3">
      <c r="A112" s="177" t="s">
        <v>106</v>
      </c>
      <c r="B112" s="203" t="s">
        <v>107</v>
      </c>
      <c r="C112" s="198"/>
      <c r="D112" s="198"/>
      <c r="E112" s="198"/>
      <c r="F112" s="198"/>
      <c r="G112" s="198"/>
      <c r="H112" s="198"/>
      <c r="I112" s="198"/>
    </row>
    <row r="113" spans="1:9" ht="14.4" x14ac:dyDescent="0.3">
      <c r="A113" s="3"/>
      <c r="B113" s="204" t="s">
        <v>6</v>
      </c>
      <c r="C113" s="198"/>
      <c r="D113" s="198"/>
      <c r="E113" s="198"/>
      <c r="F113" s="198"/>
      <c r="G113" s="198"/>
      <c r="H113" s="198"/>
      <c r="I113" s="198"/>
    </row>
    <row r="114" spans="1:9" ht="55.5" customHeight="1" x14ac:dyDescent="0.3">
      <c r="A114" s="60"/>
      <c r="B114" s="200" t="s">
        <v>108</v>
      </c>
      <c r="C114" s="198"/>
      <c r="D114" s="198"/>
      <c r="E114" s="198"/>
      <c r="F114" s="198"/>
      <c r="G114" s="198"/>
      <c r="H114" s="198"/>
      <c r="I114" s="198"/>
    </row>
    <row r="115" spans="1:9" ht="14.4" x14ac:dyDescent="0.3">
      <c r="A115" s="170"/>
      <c r="B115" s="205"/>
      <c r="C115" s="206"/>
      <c r="D115" s="206"/>
      <c r="E115" s="206"/>
      <c r="F115" s="206"/>
      <c r="G115" s="206"/>
      <c r="H115" s="206"/>
      <c r="I115" s="206"/>
    </row>
    <row r="116" spans="1:9" ht="14.4" x14ac:dyDescent="0.3">
      <c r="A116" s="60"/>
      <c r="B116" s="204" t="s">
        <v>0</v>
      </c>
      <c r="C116" s="198"/>
      <c r="D116" s="198"/>
      <c r="E116" s="198"/>
      <c r="F116" s="198"/>
      <c r="G116" s="198"/>
      <c r="H116" s="198"/>
      <c r="I116" s="198"/>
    </row>
    <row r="117" spans="1:9" ht="14.4" x14ac:dyDescent="0.3">
      <c r="B117" s="166" t="s">
        <v>8</v>
      </c>
      <c r="C117" s="200" t="s">
        <v>15</v>
      </c>
      <c r="D117" s="198"/>
      <c r="E117" s="198"/>
      <c r="F117" s="198"/>
      <c r="G117" s="198"/>
      <c r="H117" s="198"/>
      <c r="I117" s="198"/>
    </row>
    <row r="118" spans="1:9" ht="14.4" x14ac:dyDescent="0.3">
      <c r="B118" s="166" t="s">
        <v>8</v>
      </c>
      <c r="C118" s="200" t="s">
        <v>109</v>
      </c>
      <c r="D118" s="198"/>
      <c r="E118" s="198"/>
      <c r="F118" s="198"/>
      <c r="G118" s="198"/>
      <c r="H118" s="198"/>
      <c r="I118" s="198"/>
    </row>
    <row r="120" spans="1:9" ht="14.4" x14ac:dyDescent="0.3">
      <c r="A120" s="60"/>
      <c r="B120" s="200" t="s">
        <v>110</v>
      </c>
      <c r="C120" s="198"/>
      <c r="D120" s="198"/>
      <c r="E120" s="198"/>
      <c r="F120" s="198"/>
      <c r="G120" s="198"/>
      <c r="H120" s="198"/>
      <c r="I120" s="198"/>
    </row>
    <row r="121" spans="1:9" ht="14.4" x14ac:dyDescent="0.3">
      <c r="A121" s="170"/>
      <c r="B121" s="168"/>
      <c r="C121" s="225" t="s">
        <v>38</v>
      </c>
      <c r="D121" s="226"/>
      <c r="E121" s="226"/>
      <c r="F121" s="227"/>
      <c r="G121" s="225" t="s">
        <v>39</v>
      </c>
      <c r="H121" s="226"/>
      <c r="I121" s="227"/>
    </row>
    <row r="122" spans="1:9" ht="28.5" customHeight="1" x14ac:dyDescent="0.3">
      <c r="A122" s="170"/>
      <c r="B122" s="168"/>
      <c r="C122" s="225" t="s">
        <v>111</v>
      </c>
      <c r="D122" s="226"/>
      <c r="E122" s="226"/>
      <c r="F122" s="227"/>
      <c r="G122" s="225" t="s">
        <v>112</v>
      </c>
      <c r="H122" s="226"/>
      <c r="I122" s="227"/>
    </row>
    <row r="123" spans="1:9" ht="53.4" customHeight="1" x14ac:dyDescent="0.3">
      <c r="A123" s="170"/>
      <c r="B123" s="168"/>
      <c r="C123" s="225" t="s">
        <v>113</v>
      </c>
      <c r="D123" s="226"/>
      <c r="E123" s="226"/>
      <c r="F123" s="227"/>
      <c r="G123" s="225" t="s">
        <v>114</v>
      </c>
      <c r="H123" s="226"/>
      <c r="I123" s="227"/>
    </row>
    <row r="124" spans="1:9" ht="28.5" customHeight="1" x14ac:dyDescent="0.3">
      <c r="A124" s="170"/>
      <c r="B124" s="168"/>
      <c r="C124" s="225" t="s">
        <v>115</v>
      </c>
      <c r="D124" s="226"/>
      <c r="E124" s="226"/>
      <c r="F124" s="227"/>
      <c r="G124" s="225" t="s">
        <v>116</v>
      </c>
      <c r="H124" s="226"/>
      <c r="I124" s="227"/>
    </row>
    <row r="125" spans="1:9" ht="27.6" customHeight="1" x14ac:dyDescent="0.3">
      <c r="A125" s="170"/>
      <c r="B125" s="168"/>
      <c r="C125" s="225" t="s">
        <v>117</v>
      </c>
      <c r="D125" s="226"/>
      <c r="E125" s="226"/>
      <c r="F125" s="227"/>
      <c r="G125" s="225" t="s">
        <v>118</v>
      </c>
      <c r="H125" s="226"/>
      <c r="I125" s="227"/>
    </row>
    <row r="126" spans="1:9" ht="27.9" customHeight="1" x14ac:dyDescent="0.3">
      <c r="A126" s="170"/>
      <c r="B126" s="168"/>
      <c r="C126" s="225" t="s">
        <v>119</v>
      </c>
      <c r="D126" s="226"/>
      <c r="E126" s="226"/>
      <c r="F126" s="227"/>
      <c r="G126" s="225" t="s">
        <v>120</v>
      </c>
      <c r="H126" s="226"/>
      <c r="I126" s="227"/>
    </row>
    <row r="127" spans="1:9" ht="65.099999999999994" customHeight="1" x14ac:dyDescent="0.3">
      <c r="C127" s="225" t="s">
        <v>121</v>
      </c>
      <c r="D127" s="226"/>
      <c r="E127" s="226"/>
      <c r="F127" s="227"/>
      <c r="G127" s="225" t="s">
        <v>122</v>
      </c>
      <c r="H127" s="226"/>
      <c r="I127" s="227"/>
    </row>
    <row r="129" spans="1:9" ht="14.4" x14ac:dyDescent="0.3">
      <c r="A129" s="177" t="s">
        <v>123</v>
      </c>
      <c r="B129" s="203" t="s">
        <v>124</v>
      </c>
      <c r="C129" s="198"/>
      <c r="D129" s="198"/>
      <c r="E129" s="198"/>
      <c r="F129" s="198"/>
      <c r="G129" s="198"/>
      <c r="H129" s="198"/>
      <c r="I129" s="198"/>
    </row>
    <row r="130" spans="1:9" ht="14.4" x14ac:dyDescent="0.3">
      <c r="A130" s="3"/>
      <c r="B130" s="204" t="s">
        <v>6</v>
      </c>
      <c r="C130" s="198"/>
      <c r="D130" s="198"/>
      <c r="E130" s="198"/>
      <c r="F130" s="198"/>
      <c r="G130" s="198"/>
      <c r="H130" s="198"/>
      <c r="I130" s="198"/>
    </row>
    <row r="131" spans="1:9" ht="93.9" customHeight="1" x14ac:dyDescent="0.3">
      <c r="A131" s="60"/>
      <c r="B131" s="200" t="s">
        <v>125</v>
      </c>
      <c r="C131" s="198"/>
      <c r="D131" s="198"/>
      <c r="E131" s="198"/>
      <c r="F131" s="198"/>
      <c r="G131" s="198"/>
      <c r="H131" s="198"/>
      <c r="I131" s="198"/>
    </row>
    <row r="132" spans="1:9" ht="14.4" x14ac:dyDescent="0.3">
      <c r="A132" s="170"/>
      <c r="B132" s="205"/>
      <c r="C132" s="206"/>
      <c r="D132" s="206"/>
      <c r="E132" s="206"/>
      <c r="F132" s="206"/>
      <c r="G132" s="206"/>
      <c r="H132" s="206"/>
      <c r="I132" s="206"/>
    </row>
    <row r="133" spans="1:9" ht="14.4" x14ac:dyDescent="0.3">
      <c r="A133" s="60"/>
      <c r="B133" s="204" t="s">
        <v>0</v>
      </c>
      <c r="C133" s="198"/>
      <c r="D133" s="198"/>
      <c r="E133" s="198"/>
      <c r="F133" s="198"/>
      <c r="G133" s="198"/>
      <c r="H133" s="198"/>
      <c r="I133" s="198"/>
    </row>
    <row r="134" spans="1:9" ht="14.4" x14ac:dyDescent="0.3">
      <c r="B134" s="166" t="s">
        <v>8</v>
      </c>
      <c r="C134" s="200" t="s">
        <v>126</v>
      </c>
      <c r="D134" s="198"/>
      <c r="E134" s="198"/>
      <c r="F134" s="198"/>
      <c r="G134" s="198"/>
      <c r="H134" s="198"/>
      <c r="I134" s="198"/>
    </row>
    <row r="135" spans="1:9" ht="29.1" customHeight="1" x14ac:dyDescent="0.3">
      <c r="B135" s="166" t="s">
        <v>8</v>
      </c>
      <c r="C135" s="200" t="s">
        <v>127</v>
      </c>
      <c r="D135" s="198"/>
      <c r="E135" s="198"/>
      <c r="F135" s="198"/>
      <c r="G135" s="198"/>
      <c r="H135" s="198"/>
      <c r="I135" s="198"/>
    </row>
    <row r="137" spans="1:9" ht="14.4" x14ac:dyDescent="0.3">
      <c r="A137" s="60"/>
      <c r="B137" s="200" t="s">
        <v>128</v>
      </c>
      <c r="C137" s="198"/>
      <c r="D137" s="198"/>
      <c r="E137" s="198"/>
      <c r="F137" s="198"/>
      <c r="G137" s="198"/>
      <c r="H137" s="198"/>
      <c r="I137" s="198"/>
    </row>
    <row r="138" spans="1:9" ht="14.4" x14ac:dyDescent="0.3">
      <c r="A138" s="170"/>
      <c r="B138" s="168"/>
      <c r="C138" s="225" t="s">
        <v>129</v>
      </c>
      <c r="D138" s="226"/>
      <c r="E138" s="226"/>
      <c r="F138" s="227"/>
      <c r="G138" s="225" t="s">
        <v>39</v>
      </c>
      <c r="H138" s="226"/>
      <c r="I138" s="227"/>
    </row>
    <row r="139" spans="1:9" ht="27.9" customHeight="1" x14ac:dyDescent="0.3">
      <c r="A139" s="170"/>
      <c r="B139" s="168"/>
      <c r="C139" s="225" t="s">
        <v>130</v>
      </c>
      <c r="D139" s="226"/>
      <c r="E139" s="226"/>
      <c r="F139" s="227"/>
      <c r="G139" s="225" t="s">
        <v>131</v>
      </c>
      <c r="H139" s="226"/>
      <c r="I139" s="227"/>
    </row>
    <row r="140" spans="1:9" ht="39.9" customHeight="1" x14ac:dyDescent="0.3">
      <c r="A140" s="170"/>
      <c r="B140" s="168"/>
      <c r="C140" s="225" t="s">
        <v>132</v>
      </c>
      <c r="D140" s="226"/>
      <c r="E140" s="226"/>
      <c r="F140" s="227"/>
      <c r="G140" s="225" t="s">
        <v>133</v>
      </c>
      <c r="H140" s="226"/>
      <c r="I140" s="227"/>
    </row>
    <row r="141" spans="1:9" ht="14.4" x14ac:dyDescent="0.3">
      <c r="A141" s="170"/>
      <c r="B141" s="168"/>
      <c r="C141" s="225" t="s">
        <v>134</v>
      </c>
      <c r="D141" s="226"/>
      <c r="E141" s="226"/>
      <c r="F141" s="227"/>
      <c r="G141" s="225" t="s">
        <v>135</v>
      </c>
      <c r="H141" s="226"/>
      <c r="I141" s="227"/>
    </row>
    <row r="142" spans="1:9" ht="27.6" customHeight="1" x14ac:dyDescent="0.3">
      <c r="A142" s="170"/>
      <c r="B142" s="168"/>
      <c r="C142" s="225" t="s">
        <v>136</v>
      </c>
      <c r="D142" s="226"/>
      <c r="E142" s="226"/>
      <c r="F142" s="227"/>
      <c r="G142" s="225" t="s">
        <v>137</v>
      </c>
      <c r="H142" s="226"/>
      <c r="I142" s="227"/>
    </row>
    <row r="143" spans="1:9" ht="29.4" customHeight="1" x14ac:dyDescent="0.3">
      <c r="A143" s="170"/>
      <c r="B143" s="168"/>
      <c r="C143" s="225" t="s">
        <v>138</v>
      </c>
      <c r="D143" s="226"/>
      <c r="E143" s="226"/>
      <c r="F143" s="227"/>
      <c r="G143" s="225" t="s">
        <v>139</v>
      </c>
      <c r="H143" s="226"/>
      <c r="I143" s="227"/>
    </row>
    <row r="144" spans="1:9" ht="29.1" customHeight="1" x14ac:dyDescent="0.3">
      <c r="C144" s="225" t="s">
        <v>140</v>
      </c>
      <c r="D144" s="226"/>
      <c r="E144" s="226"/>
      <c r="F144" s="227"/>
      <c r="G144" s="225" t="s">
        <v>141</v>
      </c>
      <c r="H144" s="226"/>
      <c r="I144" s="227"/>
    </row>
    <row r="146" spans="1:9" ht="16.2" x14ac:dyDescent="0.35">
      <c r="A146" s="142" t="s">
        <v>142</v>
      </c>
      <c r="B146" s="195" t="s">
        <v>143</v>
      </c>
      <c r="C146" s="196"/>
      <c r="D146" s="196"/>
      <c r="E146" s="196"/>
      <c r="F146" s="196"/>
      <c r="G146" s="196"/>
      <c r="H146" s="196"/>
      <c r="I146" s="196"/>
    </row>
    <row r="147" spans="1:9" x14ac:dyDescent="0.3">
      <c r="A147" s="170"/>
      <c r="B147" s="168"/>
      <c r="C147" s="168"/>
      <c r="D147" s="168"/>
      <c r="E147" s="168"/>
      <c r="F147" s="168"/>
      <c r="G147" s="168"/>
      <c r="H147" s="168"/>
      <c r="I147" s="168"/>
    </row>
    <row r="148" spans="1:9" ht="14.4" x14ac:dyDescent="0.3">
      <c r="A148" s="176" t="s">
        <v>144</v>
      </c>
      <c r="B148" s="203" t="s">
        <v>145</v>
      </c>
      <c r="C148" s="198"/>
      <c r="D148" s="198"/>
      <c r="E148" s="198"/>
      <c r="F148" s="198"/>
      <c r="G148" s="198"/>
      <c r="H148" s="198"/>
      <c r="I148" s="198"/>
    </row>
    <row r="149" spans="1:9" x14ac:dyDescent="0.3">
      <c r="A149" s="170"/>
      <c r="B149" s="168"/>
      <c r="C149" s="168"/>
      <c r="D149" s="168"/>
      <c r="E149" s="168"/>
      <c r="F149" s="168"/>
      <c r="G149" s="168"/>
      <c r="H149" s="168"/>
      <c r="I149" s="168"/>
    </row>
    <row r="150" spans="1:9" ht="14.4" x14ac:dyDescent="0.3">
      <c r="A150" s="177" t="s">
        <v>146</v>
      </c>
      <c r="B150" s="203" t="s">
        <v>147</v>
      </c>
      <c r="C150" s="198"/>
      <c r="D150" s="198"/>
      <c r="E150" s="198"/>
      <c r="F150" s="198"/>
      <c r="G150" s="198"/>
      <c r="H150" s="198"/>
      <c r="I150" s="198"/>
    </row>
    <row r="151" spans="1:9" ht="14.4" x14ac:dyDescent="0.3">
      <c r="A151" s="3"/>
      <c r="B151" s="204" t="s">
        <v>6</v>
      </c>
      <c r="C151" s="198"/>
      <c r="D151" s="198"/>
      <c r="E151" s="198"/>
      <c r="F151" s="198"/>
      <c r="G151" s="198"/>
      <c r="H151" s="198"/>
      <c r="I151" s="198"/>
    </row>
    <row r="152" spans="1:9" ht="53.4" customHeight="1" x14ac:dyDescent="0.3">
      <c r="A152" s="60"/>
      <c r="B152" s="200" t="s">
        <v>148</v>
      </c>
      <c r="C152" s="198"/>
      <c r="D152" s="198"/>
      <c r="E152" s="198"/>
      <c r="F152" s="198"/>
      <c r="G152" s="198"/>
      <c r="H152" s="198"/>
      <c r="I152" s="198"/>
    </row>
    <row r="153" spans="1:9" ht="14.4" x14ac:dyDescent="0.3">
      <c r="A153" s="170"/>
      <c r="B153" s="205"/>
      <c r="C153" s="206"/>
      <c r="D153" s="206"/>
      <c r="E153" s="206"/>
      <c r="F153" s="206"/>
      <c r="G153" s="206"/>
      <c r="H153" s="206"/>
      <c r="I153" s="206"/>
    </row>
    <row r="154" spans="1:9" ht="14.4" x14ac:dyDescent="0.3">
      <c r="A154" s="60"/>
      <c r="B154" s="204" t="s">
        <v>0</v>
      </c>
      <c r="C154" s="198"/>
      <c r="D154" s="198"/>
      <c r="E154" s="198"/>
      <c r="F154" s="198"/>
      <c r="G154" s="198"/>
      <c r="H154" s="198"/>
      <c r="I154" s="198"/>
    </row>
    <row r="155" spans="1:9" ht="14.4" x14ac:dyDescent="0.3">
      <c r="B155" s="166" t="s">
        <v>8</v>
      </c>
      <c r="C155" s="200" t="s">
        <v>149</v>
      </c>
      <c r="D155" s="198"/>
      <c r="E155" s="198"/>
      <c r="F155" s="198"/>
      <c r="G155" s="198"/>
      <c r="H155" s="198"/>
      <c r="I155" s="198"/>
    </row>
    <row r="156" spans="1:9" ht="14.4" x14ac:dyDescent="0.3">
      <c r="B156" s="166" t="s">
        <v>8</v>
      </c>
      <c r="C156" s="200" t="s">
        <v>150</v>
      </c>
      <c r="D156" s="198"/>
      <c r="E156" s="198"/>
      <c r="F156" s="198"/>
      <c r="G156" s="198"/>
      <c r="H156" s="198"/>
      <c r="I156" s="198"/>
    </row>
    <row r="157" spans="1:9" ht="14.4" x14ac:dyDescent="0.3">
      <c r="B157" s="166" t="s">
        <v>8</v>
      </c>
      <c r="C157" s="200" t="s">
        <v>151</v>
      </c>
      <c r="D157" s="198"/>
      <c r="E157" s="198"/>
      <c r="F157" s="198"/>
      <c r="G157" s="198"/>
      <c r="H157" s="198"/>
      <c r="I157" s="198"/>
    </row>
    <row r="158" spans="1:9" ht="14.4" customHeight="1" x14ac:dyDescent="0.3"/>
    <row r="159" spans="1:9" ht="14.4" x14ac:dyDescent="0.3">
      <c r="A159" s="177" t="s">
        <v>152</v>
      </c>
      <c r="B159" s="203" t="s">
        <v>153</v>
      </c>
      <c r="C159" s="198"/>
      <c r="D159" s="198"/>
      <c r="E159" s="198"/>
      <c r="F159" s="198"/>
      <c r="G159" s="198"/>
      <c r="H159" s="198"/>
      <c r="I159" s="198"/>
    </row>
    <row r="160" spans="1:9" ht="14.4" x14ac:dyDescent="0.3">
      <c r="A160" s="3"/>
      <c r="B160" s="204" t="s">
        <v>6</v>
      </c>
      <c r="C160" s="198"/>
      <c r="D160" s="198"/>
      <c r="E160" s="198"/>
      <c r="F160" s="198"/>
      <c r="G160" s="198"/>
      <c r="H160" s="198"/>
      <c r="I160" s="198"/>
    </row>
    <row r="161" spans="1:9" ht="29.1" customHeight="1" x14ac:dyDescent="0.3">
      <c r="A161" s="60"/>
      <c r="B161" s="200" t="s">
        <v>154</v>
      </c>
      <c r="C161" s="198"/>
      <c r="D161" s="198"/>
      <c r="E161" s="198"/>
      <c r="F161" s="198"/>
      <c r="G161" s="198"/>
      <c r="H161" s="198"/>
      <c r="I161" s="198"/>
    </row>
    <row r="162" spans="1:9" ht="14.4" x14ac:dyDescent="0.3">
      <c r="A162" s="170"/>
      <c r="B162" s="205"/>
      <c r="C162" s="206"/>
      <c r="D162" s="206"/>
      <c r="E162" s="206"/>
      <c r="F162" s="206"/>
      <c r="G162" s="206"/>
      <c r="H162" s="206"/>
      <c r="I162" s="206"/>
    </row>
    <row r="163" spans="1:9" ht="14.4" x14ac:dyDescent="0.3">
      <c r="A163" s="60"/>
      <c r="B163" s="204" t="s">
        <v>0</v>
      </c>
      <c r="C163" s="198"/>
      <c r="D163" s="198"/>
      <c r="E163" s="198"/>
      <c r="F163" s="198"/>
      <c r="G163" s="198"/>
      <c r="H163" s="198"/>
      <c r="I163" s="198"/>
    </row>
    <row r="164" spans="1:9" ht="14.4" x14ac:dyDescent="0.3">
      <c r="B164" s="166" t="s">
        <v>8</v>
      </c>
      <c r="C164" s="200" t="s">
        <v>149</v>
      </c>
      <c r="D164" s="198"/>
      <c r="E164" s="198"/>
      <c r="F164" s="198"/>
      <c r="G164" s="198"/>
      <c r="H164" s="198"/>
      <c r="I164" s="198"/>
    </row>
    <row r="165" spans="1:9" ht="14.4" x14ac:dyDescent="0.3">
      <c r="B165" s="166" t="s">
        <v>8</v>
      </c>
      <c r="C165" s="200" t="s">
        <v>155</v>
      </c>
      <c r="D165" s="198"/>
      <c r="E165" s="198"/>
      <c r="F165" s="198"/>
      <c r="G165" s="198"/>
      <c r="H165" s="198"/>
      <c r="I165" s="198"/>
    </row>
    <row r="167" spans="1:9" ht="14.4" x14ac:dyDescent="0.3">
      <c r="A167" s="60"/>
      <c r="B167" s="200" t="s">
        <v>156</v>
      </c>
      <c r="C167" s="198"/>
      <c r="D167" s="198"/>
      <c r="E167" s="198"/>
      <c r="F167" s="198"/>
      <c r="G167" s="198"/>
      <c r="H167" s="198"/>
      <c r="I167" s="198"/>
    </row>
    <row r="168" spans="1:9" ht="14.4" x14ac:dyDescent="0.3">
      <c r="A168" s="170"/>
      <c r="B168" s="168"/>
      <c r="C168" s="225" t="s">
        <v>157</v>
      </c>
      <c r="D168" s="226"/>
      <c r="E168" s="226"/>
      <c r="F168" s="227"/>
      <c r="G168" s="225" t="s">
        <v>39</v>
      </c>
      <c r="H168" s="226"/>
      <c r="I168" s="227"/>
    </row>
    <row r="169" spans="1:9" ht="41.1" customHeight="1" x14ac:dyDescent="0.3">
      <c r="A169" s="170"/>
      <c r="B169" s="168"/>
      <c r="C169" s="225" t="s">
        <v>158</v>
      </c>
      <c r="D169" s="226"/>
      <c r="E169" s="226"/>
      <c r="F169" s="227"/>
      <c r="G169" s="225" t="s">
        <v>159</v>
      </c>
      <c r="H169" s="226"/>
      <c r="I169" s="227"/>
    </row>
    <row r="170" spans="1:9" ht="14.4" x14ac:dyDescent="0.3">
      <c r="A170" s="170"/>
      <c r="B170" s="168"/>
      <c r="C170" s="225" t="s">
        <v>160</v>
      </c>
      <c r="D170" s="226"/>
      <c r="E170" s="226"/>
      <c r="F170" s="227"/>
      <c r="G170" s="217" t="s">
        <v>161</v>
      </c>
      <c r="H170" s="218"/>
      <c r="I170" s="219"/>
    </row>
    <row r="171" spans="1:9" ht="14.4" x14ac:dyDescent="0.3">
      <c r="A171" s="170"/>
      <c r="B171" s="168"/>
      <c r="C171" s="225" t="s">
        <v>162</v>
      </c>
      <c r="D171" s="226"/>
      <c r="E171" s="226"/>
      <c r="F171" s="227"/>
      <c r="G171" s="228"/>
      <c r="H171" s="198"/>
      <c r="I171" s="229"/>
    </row>
    <row r="172" spans="1:9" ht="24.6" customHeight="1" x14ac:dyDescent="0.3">
      <c r="A172" s="170"/>
      <c r="B172" s="168"/>
      <c r="C172" s="225" t="s">
        <v>163</v>
      </c>
      <c r="D172" s="226"/>
      <c r="E172" s="226"/>
      <c r="F172" s="227"/>
      <c r="G172" s="230"/>
      <c r="H172" s="223"/>
      <c r="I172" s="224"/>
    </row>
    <row r="173" spans="1:9" ht="27.9" customHeight="1" x14ac:dyDescent="0.3">
      <c r="A173" s="170"/>
      <c r="B173" s="168"/>
      <c r="C173" s="225" t="s">
        <v>164</v>
      </c>
      <c r="D173" s="226"/>
      <c r="E173" s="226"/>
      <c r="F173" s="227"/>
      <c r="G173" s="225" t="s">
        <v>165</v>
      </c>
      <c r="H173" s="226"/>
      <c r="I173" s="227"/>
    </row>
    <row r="174" spans="1:9" ht="42.6" customHeight="1" x14ac:dyDescent="0.3">
      <c r="C174" s="225" t="s">
        <v>166</v>
      </c>
      <c r="D174" s="226"/>
      <c r="E174" s="226"/>
      <c r="F174" s="227"/>
      <c r="G174" s="225" t="s">
        <v>167</v>
      </c>
      <c r="H174" s="226"/>
      <c r="I174" s="227"/>
    </row>
    <row r="176" spans="1:9" ht="30" customHeight="1" x14ac:dyDescent="0.3">
      <c r="B176" s="166" t="s">
        <v>89</v>
      </c>
      <c r="C176" s="207" t="s">
        <v>168</v>
      </c>
      <c r="D176" s="207"/>
      <c r="E176" s="207"/>
      <c r="F176" s="207"/>
      <c r="G176" s="207"/>
      <c r="H176" s="207"/>
      <c r="I176" s="207"/>
    </row>
    <row r="177" spans="1:9" ht="15" customHeight="1" x14ac:dyDescent="0.3">
      <c r="C177" s="165"/>
      <c r="D177" s="165"/>
      <c r="E177" s="165"/>
      <c r="F177" s="165"/>
      <c r="G177" s="165"/>
      <c r="H177" s="165"/>
      <c r="I177" s="165"/>
    </row>
    <row r="178" spans="1:9" ht="14.4" x14ac:dyDescent="0.3">
      <c r="A178" s="177" t="s">
        <v>169</v>
      </c>
      <c r="B178" s="203" t="s">
        <v>170</v>
      </c>
      <c r="C178" s="198"/>
      <c r="D178" s="198"/>
      <c r="E178" s="198"/>
      <c r="F178" s="198"/>
      <c r="G178" s="198"/>
      <c r="H178" s="198"/>
      <c r="I178" s="198"/>
    </row>
    <row r="179" spans="1:9" ht="14.4" x14ac:dyDescent="0.3">
      <c r="A179" s="3"/>
      <c r="B179" s="204" t="s">
        <v>6</v>
      </c>
      <c r="C179" s="198"/>
      <c r="D179" s="198"/>
      <c r="E179" s="198"/>
      <c r="F179" s="198"/>
      <c r="G179" s="198"/>
      <c r="H179" s="198"/>
      <c r="I179" s="198"/>
    </row>
    <row r="180" spans="1:9" ht="79.5" customHeight="1" x14ac:dyDescent="0.3">
      <c r="A180" s="60"/>
      <c r="B180" s="200" t="s">
        <v>171</v>
      </c>
      <c r="C180" s="198"/>
      <c r="D180" s="198"/>
      <c r="E180" s="198"/>
      <c r="F180" s="198"/>
      <c r="G180" s="198"/>
      <c r="H180" s="198"/>
      <c r="I180" s="198"/>
    </row>
    <row r="181" spans="1:9" ht="14.4" x14ac:dyDescent="0.3">
      <c r="A181" s="170"/>
      <c r="B181" s="205"/>
      <c r="C181" s="206"/>
      <c r="D181" s="206"/>
      <c r="E181" s="206"/>
      <c r="F181" s="206"/>
      <c r="G181" s="206"/>
      <c r="H181" s="206"/>
      <c r="I181" s="206"/>
    </row>
    <row r="182" spans="1:9" ht="14.4" customHeight="1" x14ac:dyDescent="0.3">
      <c r="A182" s="60"/>
      <c r="B182" s="204" t="s">
        <v>0</v>
      </c>
      <c r="C182" s="198"/>
      <c r="D182" s="198"/>
      <c r="E182" s="198"/>
      <c r="F182" s="198"/>
      <c r="G182" s="198"/>
      <c r="H182" s="198"/>
      <c r="I182" s="198"/>
    </row>
    <row r="183" spans="1:9" ht="14.4" x14ac:dyDescent="0.3">
      <c r="B183" s="166" t="s">
        <v>8</v>
      </c>
      <c r="C183" s="200" t="s">
        <v>70</v>
      </c>
      <c r="D183" s="198"/>
      <c r="E183" s="198"/>
      <c r="F183" s="198"/>
      <c r="G183" s="198"/>
      <c r="H183" s="198"/>
      <c r="I183" s="198"/>
    </row>
    <row r="184" spans="1:9" ht="14.4" x14ac:dyDescent="0.3">
      <c r="B184" s="166" t="s">
        <v>8</v>
      </c>
      <c r="C184" s="200" t="s">
        <v>172</v>
      </c>
      <c r="D184" s="198"/>
      <c r="E184" s="198"/>
      <c r="F184" s="198"/>
      <c r="G184" s="198"/>
      <c r="H184" s="198"/>
      <c r="I184" s="198"/>
    </row>
    <row r="185" spans="1:9" ht="24" customHeight="1" x14ac:dyDescent="0.3">
      <c r="B185" s="166" t="s">
        <v>8</v>
      </c>
      <c r="C185" s="200" t="s">
        <v>173</v>
      </c>
      <c r="D185" s="198"/>
      <c r="E185" s="198"/>
      <c r="F185" s="198"/>
      <c r="G185" s="198"/>
      <c r="H185" s="198"/>
      <c r="I185" s="198"/>
    </row>
    <row r="186" spans="1:9" ht="26.4" customHeight="1" x14ac:dyDescent="0.3">
      <c r="B186" s="166" t="s">
        <v>8</v>
      </c>
      <c r="C186" s="200" t="s">
        <v>174</v>
      </c>
      <c r="D186" s="198"/>
      <c r="E186" s="198"/>
      <c r="F186" s="198"/>
      <c r="G186" s="198"/>
      <c r="H186" s="198"/>
      <c r="I186" s="198"/>
    </row>
    <row r="187" spans="1:9" ht="27.6" customHeight="1" x14ac:dyDescent="0.3">
      <c r="B187" s="166" t="s">
        <v>8</v>
      </c>
      <c r="C187" s="200" t="s">
        <v>175</v>
      </c>
      <c r="D187" s="198"/>
      <c r="E187" s="198"/>
      <c r="F187" s="198"/>
      <c r="G187" s="198"/>
      <c r="H187" s="198"/>
      <c r="I187" s="198"/>
    </row>
    <row r="189" spans="1:9" ht="14.4" x14ac:dyDescent="0.3">
      <c r="A189" s="177" t="s">
        <v>176</v>
      </c>
      <c r="B189" s="203" t="s">
        <v>177</v>
      </c>
      <c r="C189" s="198"/>
      <c r="D189" s="198"/>
      <c r="E189" s="198"/>
      <c r="F189" s="198"/>
      <c r="G189" s="198"/>
      <c r="H189" s="198"/>
      <c r="I189" s="198"/>
    </row>
    <row r="190" spans="1:9" ht="14.4" x14ac:dyDescent="0.3">
      <c r="A190" s="3"/>
      <c r="B190" s="204" t="s">
        <v>6</v>
      </c>
      <c r="C190" s="198"/>
      <c r="D190" s="198"/>
      <c r="E190" s="198"/>
      <c r="F190" s="198"/>
      <c r="G190" s="198"/>
      <c r="H190" s="198"/>
      <c r="I190" s="198"/>
    </row>
    <row r="191" spans="1:9" ht="26.4" customHeight="1" x14ac:dyDescent="0.3">
      <c r="A191" s="60"/>
      <c r="B191" s="200" t="s">
        <v>178</v>
      </c>
      <c r="C191" s="198"/>
      <c r="D191" s="198"/>
      <c r="E191" s="198"/>
      <c r="F191" s="198"/>
      <c r="G191" s="198"/>
      <c r="H191" s="198"/>
      <c r="I191" s="198"/>
    </row>
    <row r="192" spans="1:9" ht="14.4" x14ac:dyDescent="0.3">
      <c r="A192" s="170"/>
      <c r="B192" s="205"/>
      <c r="C192" s="206"/>
      <c r="D192" s="206"/>
      <c r="E192" s="206"/>
      <c r="F192" s="206"/>
      <c r="G192" s="206"/>
      <c r="H192" s="206"/>
      <c r="I192" s="206"/>
    </row>
    <row r="193" spans="1:9" ht="14.4" x14ac:dyDescent="0.3">
      <c r="A193" s="60"/>
      <c r="B193" s="204" t="s">
        <v>0</v>
      </c>
      <c r="C193" s="198"/>
      <c r="D193" s="198"/>
      <c r="E193" s="198"/>
      <c r="F193" s="198"/>
      <c r="G193" s="198"/>
      <c r="H193" s="198"/>
      <c r="I193" s="198"/>
    </row>
    <row r="194" spans="1:9" ht="14.4" x14ac:dyDescent="0.3">
      <c r="B194" s="166" t="s">
        <v>8</v>
      </c>
      <c r="C194" s="200" t="s">
        <v>179</v>
      </c>
      <c r="D194" s="198"/>
      <c r="E194" s="198"/>
      <c r="F194" s="198"/>
      <c r="G194" s="198"/>
      <c r="H194" s="198"/>
      <c r="I194" s="198"/>
    </row>
    <row r="195" spans="1:9" ht="14.4" x14ac:dyDescent="0.3">
      <c r="B195" s="166" t="s">
        <v>8</v>
      </c>
      <c r="C195" s="200" t="s">
        <v>70</v>
      </c>
      <c r="D195" s="198"/>
      <c r="E195" s="198"/>
      <c r="F195" s="198"/>
      <c r="G195" s="198"/>
      <c r="H195" s="198"/>
      <c r="I195" s="198"/>
    </row>
    <row r="196" spans="1:9" ht="14.4" x14ac:dyDescent="0.3">
      <c r="B196" s="166" t="s">
        <v>8</v>
      </c>
      <c r="C196" s="200" t="s">
        <v>180</v>
      </c>
      <c r="D196" s="198"/>
      <c r="E196" s="198"/>
      <c r="F196" s="198"/>
      <c r="G196" s="198"/>
      <c r="H196" s="198"/>
      <c r="I196" s="198"/>
    </row>
    <row r="197" spans="1:9" ht="14.4" x14ac:dyDescent="0.3">
      <c r="B197" s="166" t="s">
        <v>8</v>
      </c>
      <c r="C197" s="200" t="s">
        <v>181</v>
      </c>
      <c r="D197" s="198"/>
      <c r="E197" s="198"/>
      <c r="F197" s="198"/>
      <c r="G197" s="198"/>
      <c r="H197" s="198"/>
      <c r="I197" s="198"/>
    </row>
    <row r="198" spans="1:9" ht="14.4" x14ac:dyDescent="0.3">
      <c r="C198" s="200"/>
      <c r="D198" s="198"/>
      <c r="E198" s="198"/>
      <c r="F198" s="198"/>
      <c r="G198" s="198"/>
      <c r="H198" s="198"/>
      <c r="I198" s="198"/>
    </row>
    <row r="199" spans="1:9" ht="14.4" x14ac:dyDescent="0.3">
      <c r="A199" s="176" t="s">
        <v>182</v>
      </c>
      <c r="B199" s="203" t="s">
        <v>74</v>
      </c>
      <c r="C199" s="198"/>
      <c r="D199" s="198"/>
      <c r="E199" s="198"/>
      <c r="F199" s="198"/>
      <c r="G199" s="198"/>
      <c r="H199" s="198"/>
      <c r="I199" s="198"/>
    </row>
    <row r="200" spans="1:9" x14ac:dyDescent="0.3">
      <c r="A200" s="170"/>
      <c r="B200" s="168"/>
      <c r="C200" s="168"/>
      <c r="D200" s="168"/>
      <c r="E200" s="168"/>
      <c r="F200" s="168"/>
      <c r="G200" s="168"/>
      <c r="H200" s="168"/>
      <c r="I200" s="168"/>
    </row>
    <row r="201" spans="1:9" ht="14.4" x14ac:dyDescent="0.3">
      <c r="A201" s="177" t="s">
        <v>183</v>
      </c>
      <c r="B201" s="203" t="s">
        <v>184</v>
      </c>
      <c r="C201" s="198"/>
      <c r="D201" s="198"/>
      <c r="E201" s="198"/>
      <c r="F201" s="198"/>
      <c r="G201" s="198"/>
      <c r="H201" s="198"/>
      <c r="I201" s="198"/>
    </row>
    <row r="202" spans="1:9" ht="14.4" x14ac:dyDescent="0.3">
      <c r="A202" s="3"/>
      <c r="B202" s="204" t="s">
        <v>6</v>
      </c>
      <c r="C202" s="198"/>
      <c r="D202" s="198"/>
      <c r="E202" s="198"/>
      <c r="F202" s="198"/>
      <c r="G202" s="198"/>
      <c r="H202" s="198"/>
      <c r="I202" s="198"/>
    </row>
    <row r="203" spans="1:9" ht="14.4" x14ac:dyDescent="0.3">
      <c r="A203" s="60"/>
      <c r="B203" s="200" t="s">
        <v>185</v>
      </c>
      <c r="C203" s="198"/>
      <c r="D203" s="198"/>
      <c r="E203" s="198"/>
      <c r="F203" s="198"/>
      <c r="G203" s="198"/>
      <c r="H203" s="198"/>
      <c r="I203" s="198"/>
    </row>
    <row r="204" spans="1:9" ht="56.1" customHeight="1" x14ac:dyDescent="0.3">
      <c r="A204" s="60"/>
      <c r="B204" s="201" t="s">
        <v>186</v>
      </c>
      <c r="C204" s="202"/>
      <c r="D204" s="202"/>
      <c r="E204" s="202"/>
      <c r="F204" s="202"/>
      <c r="G204" s="202"/>
      <c r="H204" s="202"/>
      <c r="I204" s="202"/>
    </row>
    <row r="205" spans="1:9" ht="10.95" customHeight="1" x14ac:dyDescent="0.3">
      <c r="A205" s="60"/>
      <c r="B205" s="178"/>
      <c r="C205" s="179"/>
      <c r="D205" s="179"/>
      <c r="E205" s="179"/>
      <c r="F205" s="179"/>
      <c r="G205" s="179"/>
      <c r="H205" s="179"/>
      <c r="I205" s="179"/>
    </row>
    <row r="206" spans="1:9" ht="14.4" x14ac:dyDescent="0.3">
      <c r="A206" s="60"/>
      <c r="B206" s="204" t="s">
        <v>0</v>
      </c>
      <c r="C206" s="198"/>
      <c r="D206" s="198"/>
      <c r="E206" s="198"/>
      <c r="F206" s="198"/>
      <c r="G206" s="198"/>
      <c r="H206" s="198"/>
      <c r="I206" s="198"/>
    </row>
    <row r="207" spans="1:9" ht="14.4" x14ac:dyDescent="0.3">
      <c r="B207" s="166" t="s">
        <v>8</v>
      </c>
      <c r="C207" s="200" t="s">
        <v>187</v>
      </c>
      <c r="D207" s="198"/>
      <c r="E207" s="198"/>
      <c r="F207" s="198"/>
      <c r="G207" s="198"/>
      <c r="H207" s="198"/>
      <c r="I207" s="198"/>
    </row>
    <row r="208" spans="1:9" ht="14.4" x14ac:dyDescent="0.3">
      <c r="B208" s="166" t="s">
        <v>8</v>
      </c>
      <c r="C208" s="200" t="s">
        <v>188</v>
      </c>
      <c r="D208" s="198"/>
      <c r="E208" s="198"/>
      <c r="F208" s="198"/>
      <c r="G208" s="198"/>
      <c r="H208" s="198"/>
      <c r="I208" s="198"/>
    </row>
    <row r="209" spans="2:9" ht="28.5" customHeight="1" x14ac:dyDescent="0.3">
      <c r="B209" s="166" t="s">
        <v>8</v>
      </c>
      <c r="C209" s="200" t="s">
        <v>189</v>
      </c>
      <c r="D209" s="198"/>
      <c r="E209" s="198"/>
      <c r="F209" s="198"/>
      <c r="G209" s="198"/>
      <c r="H209" s="198"/>
      <c r="I209" s="198"/>
    </row>
    <row r="210" spans="2:9" ht="27" customHeight="1" x14ac:dyDescent="0.3">
      <c r="B210" s="166" t="s">
        <v>8</v>
      </c>
      <c r="C210" s="200" t="s">
        <v>190</v>
      </c>
      <c r="D210" s="198"/>
      <c r="E210" s="198"/>
      <c r="F210" s="198"/>
      <c r="G210" s="198"/>
      <c r="H210" s="198"/>
      <c r="I210" s="198"/>
    </row>
    <row r="211" spans="2:9" ht="45.9" customHeight="1" x14ac:dyDescent="0.3">
      <c r="B211" s="166" t="s">
        <v>8</v>
      </c>
      <c r="C211" s="200" t="s">
        <v>191</v>
      </c>
      <c r="D211" s="198"/>
      <c r="E211" s="198"/>
      <c r="F211" s="198"/>
      <c r="G211" s="198"/>
      <c r="H211" s="198"/>
      <c r="I211" s="198"/>
    </row>
    <row r="212" spans="2:9" ht="15.6" customHeight="1" x14ac:dyDescent="0.3">
      <c r="B212" s="200" t="s">
        <v>192</v>
      </c>
      <c r="C212" s="198"/>
      <c r="D212" s="198"/>
      <c r="E212" s="198"/>
      <c r="F212" s="198"/>
      <c r="G212" s="198"/>
      <c r="H212" s="198"/>
      <c r="I212" s="198"/>
    </row>
    <row r="213" spans="2:9" ht="15.6" customHeight="1" x14ac:dyDescent="0.3">
      <c r="B213" s="168"/>
      <c r="C213" s="225" t="s">
        <v>193</v>
      </c>
      <c r="D213" s="226"/>
      <c r="E213" s="226"/>
      <c r="F213" s="227"/>
      <c r="G213" s="225" t="s">
        <v>194</v>
      </c>
      <c r="H213" s="226"/>
      <c r="I213" s="227"/>
    </row>
    <row r="214" spans="2:9" ht="15.6" customHeight="1" x14ac:dyDescent="0.3">
      <c r="B214" s="168"/>
      <c r="C214" s="225" t="s">
        <v>195</v>
      </c>
      <c r="D214" s="226"/>
      <c r="E214" s="226"/>
      <c r="F214" s="227"/>
      <c r="G214" s="225" t="s">
        <v>196</v>
      </c>
      <c r="H214" s="226"/>
      <c r="I214" s="227"/>
    </row>
    <row r="215" spans="2:9" ht="13.5" customHeight="1" x14ac:dyDescent="0.3">
      <c r="B215" s="168"/>
      <c r="C215" s="225" t="s">
        <v>197</v>
      </c>
      <c r="D215" s="226"/>
      <c r="E215" s="226"/>
      <c r="F215" s="227"/>
      <c r="G215" s="225" t="s">
        <v>198</v>
      </c>
      <c r="H215" s="226"/>
      <c r="I215" s="227"/>
    </row>
    <row r="216" spans="2:9" ht="13.5" customHeight="1" x14ac:dyDescent="0.3">
      <c r="B216" s="168"/>
      <c r="C216" s="225" t="s">
        <v>199</v>
      </c>
      <c r="D216" s="226"/>
      <c r="E216" s="226"/>
      <c r="F216" s="227"/>
      <c r="G216" s="225" t="s">
        <v>200</v>
      </c>
      <c r="H216" s="226"/>
      <c r="I216" s="227"/>
    </row>
    <row r="217" spans="2:9" ht="13.5" customHeight="1" x14ac:dyDescent="0.3">
      <c r="B217" s="168"/>
      <c r="C217" s="225" t="s">
        <v>201</v>
      </c>
      <c r="D217" s="226"/>
      <c r="E217" s="226"/>
      <c r="F217" s="227"/>
      <c r="G217" s="225" t="s">
        <v>202</v>
      </c>
      <c r="H217" s="226"/>
      <c r="I217" s="227"/>
    </row>
    <row r="218" spans="2:9" ht="14.1" customHeight="1" x14ac:dyDescent="0.3">
      <c r="B218" s="168"/>
      <c r="C218" s="225" t="s">
        <v>203</v>
      </c>
      <c r="D218" s="226"/>
      <c r="E218" s="226"/>
      <c r="F218" s="227"/>
      <c r="G218" s="225"/>
      <c r="H218" s="226"/>
      <c r="I218" s="227"/>
    </row>
    <row r="219" spans="2:9" ht="16.5" customHeight="1" x14ac:dyDescent="0.3">
      <c r="C219" s="225" t="s">
        <v>204</v>
      </c>
      <c r="D219" s="226"/>
      <c r="E219" s="226"/>
      <c r="F219" s="227"/>
      <c r="G219" s="225"/>
      <c r="H219" s="226"/>
      <c r="I219" s="227"/>
    </row>
    <row r="220" spans="2:9" ht="15" customHeight="1" x14ac:dyDescent="0.3">
      <c r="C220" s="225" t="s">
        <v>205</v>
      </c>
      <c r="D220" s="226"/>
      <c r="E220" s="226"/>
      <c r="F220" s="227"/>
      <c r="G220" s="225" t="s">
        <v>206</v>
      </c>
      <c r="H220" s="226"/>
      <c r="I220" s="227"/>
    </row>
    <row r="221" spans="2:9" ht="14.4" customHeight="1" x14ac:dyDescent="0.3">
      <c r="C221" s="225" t="s">
        <v>207</v>
      </c>
      <c r="D221" s="226"/>
      <c r="E221" s="226"/>
      <c r="F221" s="227"/>
      <c r="G221" s="225" t="s">
        <v>208</v>
      </c>
      <c r="H221" s="226"/>
      <c r="I221" s="227"/>
    </row>
    <row r="222" spans="2:9" ht="14.4" customHeight="1" x14ac:dyDescent="0.3">
      <c r="C222" s="225" t="s">
        <v>209</v>
      </c>
      <c r="D222" s="226"/>
      <c r="E222" s="226"/>
      <c r="F222" s="227"/>
      <c r="G222" s="225" t="s">
        <v>210</v>
      </c>
      <c r="H222" s="226"/>
      <c r="I222" s="227"/>
    </row>
    <row r="223" spans="2:9" ht="14.4" customHeight="1" x14ac:dyDescent="0.3">
      <c r="C223" s="225" t="s">
        <v>211</v>
      </c>
      <c r="D223" s="226"/>
      <c r="E223" s="226"/>
      <c r="F223" s="227"/>
      <c r="G223" s="225"/>
      <c r="H223" s="226"/>
      <c r="I223" s="227"/>
    </row>
    <row r="224" spans="2:9" ht="14.4" customHeight="1" x14ac:dyDescent="0.3">
      <c r="C224" s="225" t="s">
        <v>212</v>
      </c>
      <c r="D224" s="226"/>
      <c r="E224" s="226"/>
      <c r="F224" s="227"/>
      <c r="G224" s="225"/>
      <c r="H224" s="226"/>
      <c r="I224" s="227"/>
    </row>
    <row r="225" spans="1:9" ht="41.1" customHeight="1" x14ac:dyDescent="0.3">
      <c r="C225" s="225" t="s">
        <v>213</v>
      </c>
      <c r="D225" s="226"/>
      <c r="E225" s="226"/>
      <c r="F225" s="227"/>
      <c r="G225" s="225" t="s">
        <v>214</v>
      </c>
      <c r="H225" s="226"/>
      <c r="I225" s="227"/>
    </row>
    <row r="226" spans="1:9" ht="14.4" customHeight="1" x14ac:dyDescent="0.3">
      <c r="D226" s="165"/>
      <c r="E226" s="165"/>
      <c r="F226" s="165"/>
      <c r="H226" s="165"/>
      <c r="I226" s="165"/>
    </row>
    <row r="227" spans="1:9" x14ac:dyDescent="0.3">
      <c r="A227" s="177" t="s">
        <v>215</v>
      </c>
      <c r="B227" s="203" t="s">
        <v>216</v>
      </c>
      <c r="C227" s="203"/>
      <c r="D227" s="203"/>
      <c r="E227" s="203"/>
      <c r="F227" s="203"/>
      <c r="G227" s="203"/>
      <c r="H227" s="203"/>
      <c r="I227" s="203"/>
    </row>
    <row r="228" spans="1:9" x14ac:dyDescent="0.3">
      <c r="A228" s="3"/>
      <c r="B228" s="204" t="s">
        <v>6</v>
      </c>
      <c r="C228" s="204"/>
      <c r="D228" s="204"/>
      <c r="E228" s="204"/>
      <c r="F228" s="204"/>
      <c r="G228" s="204"/>
      <c r="H228" s="204"/>
      <c r="I228" s="204"/>
    </row>
    <row r="229" spans="1:9" ht="28.95" customHeight="1" x14ac:dyDescent="0.3">
      <c r="A229" s="60"/>
      <c r="B229" s="200" t="s">
        <v>217</v>
      </c>
      <c r="C229" s="200"/>
      <c r="D229" s="200"/>
      <c r="E229" s="200"/>
      <c r="F229" s="200"/>
      <c r="G229" s="200"/>
      <c r="H229" s="200"/>
      <c r="I229" s="200"/>
    </row>
    <row r="230" spans="1:9" ht="30.6" customHeight="1" x14ac:dyDescent="0.3">
      <c r="A230" s="60"/>
      <c r="B230" s="200" t="s">
        <v>218</v>
      </c>
      <c r="C230" s="198"/>
      <c r="D230" s="198"/>
      <c r="E230" s="198"/>
      <c r="F230" s="198"/>
      <c r="G230" s="198"/>
      <c r="H230" s="198"/>
      <c r="I230" s="198"/>
    </row>
    <row r="231" spans="1:9" ht="29.4" customHeight="1" x14ac:dyDescent="0.3">
      <c r="A231" s="60"/>
      <c r="B231" s="200" t="s">
        <v>219</v>
      </c>
      <c r="C231" s="198"/>
      <c r="D231" s="198"/>
      <c r="E231" s="198"/>
      <c r="F231" s="198"/>
      <c r="G231" s="198"/>
      <c r="H231" s="198"/>
      <c r="I231" s="198"/>
    </row>
    <row r="232" spans="1:9" ht="14.4" customHeight="1" x14ac:dyDescent="0.3">
      <c r="A232" s="170"/>
      <c r="B232" s="205"/>
      <c r="C232" s="205"/>
      <c r="D232" s="205"/>
      <c r="E232" s="205"/>
      <c r="F232" s="205"/>
      <c r="G232" s="205"/>
      <c r="H232" s="205"/>
      <c r="I232" s="205"/>
    </row>
    <row r="233" spans="1:9" ht="14.4" customHeight="1" x14ac:dyDescent="0.3">
      <c r="A233" s="60"/>
      <c r="B233" s="204" t="s">
        <v>0</v>
      </c>
      <c r="C233" s="204"/>
      <c r="D233" s="204"/>
      <c r="E233" s="204"/>
      <c r="F233" s="204"/>
      <c r="G233" s="204"/>
      <c r="H233" s="204"/>
      <c r="I233" s="204"/>
    </row>
    <row r="234" spans="1:9" ht="14.4" customHeight="1" x14ac:dyDescent="0.3">
      <c r="B234" s="166" t="s">
        <v>8</v>
      </c>
      <c r="C234" s="200" t="s">
        <v>102</v>
      </c>
      <c r="D234" s="200"/>
      <c r="E234" s="200"/>
      <c r="F234" s="200"/>
      <c r="G234" s="200"/>
      <c r="H234" s="200"/>
      <c r="I234" s="200"/>
    </row>
    <row r="235" spans="1:9" ht="39.9" customHeight="1" x14ac:dyDescent="0.3">
      <c r="B235" s="166" t="s">
        <v>8</v>
      </c>
      <c r="C235" s="200" t="s">
        <v>220</v>
      </c>
      <c r="D235" s="200"/>
      <c r="E235" s="200"/>
      <c r="F235" s="200"/>
      <c r="G235" s="200"/>
      <c r="H235" s="200"/>
      <c r="I235" s="200"/>
    </row>
    <row r="236" spans="1:9" ht="41.1" customHeight="1" x14ac:dyDescent="0.3">
      <c r="B236" s="166" t="s">
        <v>8</v>
      </c>
      <c r="C236" s="200" t="s">
        <v>221</v>
      </c>
      <c r="D236" s="200"/>
      <c r="E236" s="200"/>
      <c r="F236" s="200"/>
      <c r="G236" s="200"/>
      <c r="H236" s="200"/>
      <c r="I236" s="200"/>
    </row>
    <row r="237" spans="1:9" ht="42" customHeight="1" x14ac:dyDescent="0.3">
      <c r="A237" s="60"/>
      <c r="B237" s="166" t="s">
        <v>8</v>
      </c>
      <c r="C237" s="200" t="s">
        <v>222</v>
      </c>
      <c r="D237" s="200"/>
      <c r="E237" s="200"/>
      <c r="F237" s="200"/>
      <c r="G237" s="200"/>
      <c r="H237" s="200"/>
      <c r="I237" s="200"/>
    </row>
    <row r="238" spans="1:9" x14ac:dyDescent="0.3">
      <c r="A238" s="170"/>
    </row>
    <row r="239" spans="1:9" ht="14.4" customHeight="1" x14ac:dyDescent="0.3">
      <c r="A239" s="170"/>
      <c r="B239" s="200" t="s">
        <v>223</v>
      </c>
      <c r="C239" s="200"/>
      <c r="D239" s="200"/>
      <c r="E239" s="200"/>
      <c r="F239" s="200"/>
      <c r="G239" s="200"/>
      <c r="H239" s="200"/>
      <c r="I239" s="200"/>
    </row>
    <row r="241" spans="1:9" ht="27.9" customHeight="1" x14ac:dyDescent="0.3">
      <c r="C241" s="180" t="s">
        <v>224</v>
      </c>
      <c r="D241" s="180" t="s">
        <v>225</v>
      </c>
      <c r="E241" s="180" t="s">
        <v>226</v>
      </c>
      <c r="F241" s="180" t="s">
        <v>227</v>
      </c>
      <c r="G241" s="180" t="s">
        <v>228</v>
      </c>
    </row>
    <row r="242" spans="1:9" ht="26.1" customHeight="1" x14ac:dyDescent="0.3">
      <c r="C242" s="180" t="s">
        <v>229</v>
      </c>
      <c r="D242" s="180" t="s">
        <v>230</v>
      </c>
      <c r="E242" s="180" t="s">
        <v>231</v>
      </c>
      <c r="F242" s="180" t="s">
        <v>232</v>
      </c>
      <c r="G242" s="180" t="s">
        <v>233</v>
      </c>
      <c r="H242" s="165"/>
      <c r="I242" s="165"/>
    </row>
    <row r="244" spans="1:9" ht="53.4" customHeight="1" x14ac:dyDescent="0.3">
      <c r="C244" s="217" t="s">
        <v>234</v>
      </c>
      <c r="D244" s="218"/>
      <c r="E244" s="218"/>
      <c r="F244" s="218"/>
      <c r="G244" s="219"/>
      <c r="H244" s="165"/>
      <c r="I244" s="165"/>
    </row>
    <row r="245" spans="1:9" ht="71.099999999999994" customHeight="1" x14ac:dyDescent="0.3">
      <c r="C245" s="220" t="s">
        <v>235</v>
      </c>
      <c r="D245" s="202"/>
      <c r="E245" s="202"/>
      <c r="F245" s="202"/>
      <c r="G245" s="221"/>
    </row>
    <row r="246" spans="1:9" ht="42.9" customHeight="1" x14ac:dyDescent="0.3">
      <c r="C246" s="222" t="s">
        <v>236</v>
      </c>
      <c r="D246" s="223"/>
      <c r="E246" s="223"/>
      <c r="F246" s="223"/>
      <c r="G246" s="224"/>
    </row>
    <row r="248" spans="1:9" ht="14.4" x14ac:dyDescent="0.3">
      <c r="A248" s="177" t="s">
        <v>237</v>
      </c>
      <c r="B248" s="203" t="s">
        <v>238</v>
      </c>
      <c r="C248" s="198"/>
      <c r="D248" s="198"/>
      <c r="E248" s="198"/>
      <c r="F248" s="198"/>
      <c r="G248" s="198"/>
      <c r="H248" s="198"/>
      <c r="I248" s="198"/>
    </row>
    <row r="249" spans="1:9" ht="14.4" x14ac:dyDescent="0.3">
      <c r="A249" s="3"/>
      <c r="B249" s="204" t="s">
        <v>6</v>
      </c>
      <c r="C249" s="198"/>
      <c r="D249" s="198"/>
      <c r="E249" s="198"/>
      <c r="F249" s="198"/>
      <c r="G249" s="198"/>
      <c r="H249" s="198"/>
      <c r="I249" s="198"/>
    </row>
    <row r="250" spans="1:9" ht="14.4" x14ac:dyDescent="0.3">
      <c r="A250" s="60"/>
      <c r="B250" s="200" t="s">
        <v>239</v>
      </c>
      <c r="C250" s="198"/>
      <c r="D250" s="198"/>
      <c r="E250" s="198"/>
      <c r="F250" s="198"/>
      <c r="G250" s="198"/>
      <c r="H250" s="198"/>
      <c r="I250" s="198"/>
    </row>
    <row r="251" spans="1:9" ht="14.4" x14ac:dyDescent="0.3">
      <c r="A251" s="170"/>
      <c r="B251" s="205"/>
      <c r="C251" s="206"/>
      <c r="D251" s="206"/>
      <c r="E251" s="206"/>
      <c r="F251" s="206"/>
      <c r="G251" s="206"/>
      <c r="H251" s="206"/>
      <c r="I251" s="206"/>
    </row>
    <row r="252" spans="1:9" ht="14.4" x14ac:dyDescent="0.3">
      <c r="A252" s="60"/>
      <c r="B252" s="204" t="s">
        <v>0</v>
      </c>
      <c r="C252" s="198"/>
      <c r="D252" s="198"/>
      <c r="E252" s="198"/>
      <c r="F252" s="198"/>
      <c r="G252" s="198"/>
      <c r="H252" s="198"/>
      <c r="I252" s="198"/>
    </row>
    <row r="253" spans="1:9" ht="14.4" x14ac:dyDescent="0.3">
      <c r="B253" s="166" t="s">
        <v>8</v>
      </c>
      <c r="C253" s="200" t="s">
        <v>102</v>
      </c>
      <c r="D253" s="198"/>
      <c r="E253" s="198"/>
      <c r="F253" s="198"/>
      <c r="G253" s="198"/>
      <c r="H253" s="198"/>
      <c r="I253" s="198"/>
    </row>
    <row r="254" spans="1:9" ht="14.4" x14ac:dyDescent="0.3">
      <c r="B254" s="166" t="s">
        <v>8</v>
      </c>
      <c r="C254" s="200" t="s">
        <v>240</v>
      </c>
      <c r="D254" s="198"/>
      <c r="E254" s="198"/>
      <c r="F254" s="198"/>
      <c r="G254" s="198"/>
      <c r="H254" s="198"/>
      <c r="I254" s="198"/>
    </row>
    <row r="256" spans="1:9" ht="14.4" x14ac:dyDescent="0.3">
      <c r="A256" s="177" t="s">
        <v>241</v>
      </c>
      <c r="B256" s="203" t="s">
        <v>242</v>
      </c>
      <c r="C256" s="198"/>
      <c r="D256" s="198"/>
      <c r="E256" s="198"/>
      <c r="F256" s="198"/>
      <c r="G256" s="198"/>
      <c r="H256" s="198"/>
      <c r="I256" s="198"/>
    </row>
    <row r="257" spans="1:9" ht="14.4" x14ac:dyDescent="0.3">
      <c r="A257" s="3"/>
      <c r="B257" s="204" t="s">
        <v>6</v>
      </c>
      <c r="C257" s="198"/>
      <c r="D257" s="198"/>
      <c r="E257" s="198"/>
      <c r="F257" s="198"/>
      <c r="G257" s="198"/>
      <c r="H257" s="198"/>
      <c r="I257" s="198"/>
    </row>
    <row r="258" spans="1:9" ht="24.9" customHeight="1" x14ac:dyDescent="0.3">
      <c r="A258" s="60"/>
      <c r="B258" s="200" t="s">
        <v>243</v>
      </c>
      <c r="C258" s="198"/>
      <c r="D258" s="198"/>
      <c r="E258" s="198"/>
      <c r="F258" s="198"/>
      <c r="G258" s="198"/>
      <c r="H258" s="198"/>
      <c r="I258" s="198"/>
    </row>
    <row r="259" spans="1:9" ht="14.4" x14ac:dyDescent="0.3">
      <c r="A259" s="170"/>
      <c r="B259" s="205"/>
      <c r="C259" s="206"/>
      <c r="D259" s="206"/>
      <c r="E259" s="206"/>
      <c r="F259" s="206"/>
      <c r="G259" s="206"/>
      <c r="H259" s="206"/>
      <c r="I259" s="206"/>
    </row>
    <row r="260" spans="1:9" ht="14.4" x14ac:dyDescent="0.3">
      <c r="A260" s="60"/>
      <c r="B260" s="204" t="s">
        <v>0</v>
      </c>
      <c r="C260" s="198"/>
      <c r="D260" s="198"/>
      <c r="E260" s="198"/>
      <c r="F260" s="198"/>
      <c r="G260" s="198"/>
      <c r="H260" s="198"/>
      <c r="I260" s="198"/>
    </row>
    <row r="261" spans="1:9" ht="14.4" x14ac:dyDescent="0.3">
      <c r="B261" s="166" t="s">
        <v>8</v>
      </c>
      <c r="C261" s="200" t="s">
        <v>70</v>
      </c>
      <c r="D261" s="198"/>
      <c r="E261" s="198"/>
      <c r="F261" s="198"/>
      <c r="G261" s="198"/>
      <c r="H261" s="198"/>
      <c r="I261" s="198"/>
    </row>
    <row r="262" spans="1:9" ht="30.6" customHeight="1" x14ac:dyDescent="0.3">
      <c r="B262" s="166" t="s">
        <v>8</v>
      </c>
      <c r="C262" s="200" t="s">
        <v>244</v>
      </c>
      <c r="D262" s="198"/>
      <c r="E262" s="198"/>
      <c r="F262" s="198"/>
      <c r="G262" s="198"/>
      <c r="H262" s="198"/>
      <c r="I262" s="198"/>
    </row>
    <row r="263" spans="1:9" ht="29.1" customHeight="1" x14ac:dyDescent="0.3">
      <c r="B263" s="166" t="s">
        <v>8</v>
      </c>
      <c r="C263" s="200" t="s">
        <v>245</v>
      </c>
      <c r="D263" s="198"/>
      <c r="E263" s="198"/>
      <c r="F263" s="198"/>
      <c r="G263" s="198"/>
      <c r="H263" s="198"/>
      <c r="I263" s="198"/>
    </row>
    <row r="264" spans="1:9" ht="14.4" x14ac:dyDescent="0.3">
      <c r="C264" s="200"/>
      <c r="D264" s="198"/>
      <c r="E264" s="198"/>
      <c r="F264" s="198"/>
      <c r="G264" s="198"/>
      <c r="H264" s="198"/>
      <c r="I264" s="198"/>
    </row>
    <row r="265" spans="1:9" ht="14.4" x14ac:dyDescent="0.3">
      <c r="A265" s="177" t="s">
        <v>246</v>
      </c>
      <c r="B265" s="203" t="s">
        <v>247</v>
      </c>
      <c r="C265" s="198"/>
      <c r="D265" s="198"/>
      <c r="E265" s="198"/>
      <c r="F265" s="198"/>
      <c r="G265" s="198"/>
      <c r="H265" s="198"/>
      <c r="I265" s="198"/>
    </row>
    <row r="266" spans="1:9" ht="14.4" x14ac:dyDescent="0.3">
      <c r="A266" s="3"/>
      <c r="B266" s="204" t="s">
        <v>6</v>
      </c>
      <c r="C266" s="198"/>
      <c r="D266" s="198"/>
      <c r="E266" s="198"/>
      <c r="F266" s="198"/>
      <c r="G266" s="198"/>
      <c r="H266" s="198"/>
      <c r="I266" s="198"/>
    </row>
    <row r="267" spans="1:9" ht="28.5" customHeight="1" x14ac:dyDescent="0.3">
      <c r="A267" s="60"/>
      <c r="B267" s="200" t="s">
        <v>248</v>
      </c>
      <c r="C267" s="198"/>
      <c r="D267" s="198"/>
      <c r="E267" s="198"/>
      <c r="F267" s="198"/>
      <c r="G267" s="198"/>
      <c r="H267" s="198"/>
      <c r="I267" s="198"/>
    </row>
    <row r="268" spans="1:9" ht="42" customHeight="1" x14ac:dyDescent="0.3">
      <c r="A268" s="60"/>
      <c r="B268" s="201" t="s">
        <v>249</v>
      </c>
      <c r="C268" s="202"/>
      <c r="D268" s="202"/>
      <c r="E268" s="202"/>
      <c r="F268" s="202"/>
      <c r="G268" s="202"/>
      <c r="H268" s="202"/>
      <c r="I268" s="202"/>
    </row>
    <row r="269" spans="1:9" ht="14.4" x14ac:dyDescent="0.3">
      <c r="A269" s="170"/>
      <c r="B269" s="205"/>
      <c r="C269" s="206"/>
      <c r="D269" s="206"/>
      <c r="E269" s="206"/>
      <c r="F269" s="206"/>
      <c r="G269" s="206"/>
      <c r="H269" s="206"/>
      <c r="I269" s="206"/>
    </row>
    <row r="270" spans="1:9" ht="14.4" x14ac:dyDescent="0.3">
      <c r="A270" s="60"/>
      <c r="B270" s="204" t="s">
        <v>0</v>
      </c>
      <c r="C270" s="198"/>
      <c r="D270" s="198"/>
      <c r="E270" s="198"/>
      <c r="F270" s="198"/>
      <c r="G270" s="198"/>
      <c r="H270" s="198"/>
      <c r="I270" s="198"/>
    </row>
    <row r="271" spans="1:9" ht="14.4" x14ac:dyDescent="0.3">
      <c r="B271" s="166" t="s">
        <v>8</v>
      </c>
      <c r="C271" s="200" t="s">
        <v>187</v>
      </c>
      <c r="D271" s="198"/>
      <c r="E271" s="198"/>
      <c r="F271" s="198"/>
      <c r="G271" s="198"/>
      <c r="H271" s="198"/>
      <c r="I271" s="198"/>
    </row>
    <row r="272" spans="1:9" ht="27.6" customHeight="1" x14ac:dyDescent="0.3">
      <c r="B272" s="166" t="s">
        <v>8</v>
      </c>
      <c r="C272" s="200" t="s">
        <v>250</v>
      </c>
      <c r="D272" s="198"/>
      <c r="E272" s="198"/>
      <c r="F272" s="198"/>
      <c r="G272" s="198"/>
      <c r="H272" s="198"/>
      <c r="I272" s="198"/>
    </row>
    <row r="273" spans="1:9" ht="41.1" customHeight="1" x14ac:dyDescent="0.3">
      <c r="B273" s="166" t="s">
        <v>8</v>
      </c>
      <c r="C273" s="200" t="s">
        <v>251</v>
      </c>
      <c r="D273" s="198"/>
      <c r="E273" s="198"/>
      <c r="F273" s="198"/>
      <c r="G273" s="198"/>
      <c r="H273" s="198"/>
      <c r="I273" s="198"/>
    </row>
    <row r="274" spans="1:9" ht="18" customHeight="1" x14ac:dyDescent="0.3">
      <c r="B274" s="166" t="s">
        <v>8</v>
      </c>
      <c r="C274" s="200" t="s">
        <v>252</v>
      </c>
      <c r="D274" s="198"/>
      <c r="E274" s="198"/>
      <c r="F274" s="198"/>
      <c r="G274" s="198"/>
      <c r="H274" s="198"/>
      <c r="I274" s="198"/>
    </row>
    <row r="275" spans="1:9" ht="44.4" customHeight="1" x14ac:dyDescent="0.3">
      <c r="B275" s="166" t="s">
        <v>8</v>
      </c>
      <c r="C275" s="200" t="s">
        <v>253</v>
      </c>
      <c r="D275" s="198"/>
      <c r="E275" s="198"/>
      <c r="F275" s="198"/>
      <c r="G275" s="198"/>
      <c r="H275" s="198"/>
      <c r="I275" s="198"/>
    </row>
    <row r="277" spans="1:9" ht="14.4" x14ac:dyDescent="0.3">
      <c r="A277" s="177" t="s">
        <v>254</v>
      </c>
      <c r="B277" s="203" t="s">
        <v>255</v>
      </c>
      <c r="C277" s="198"/>
      <c r="D277" s="198"/>
      <c r="E277" s="198"/>
      <c r="F277" s="198"/>
      <c r="G277" s="198"/>
      <c r="H277" s="198"/>
      <c r="I277" s="198"/>
    </row>
    <row r="278" spans="1:9" ht="14.4" x14ac:dyDescent="0.3">
      <c r="A278" s="3"/>
      <c r="B278" s="204" t="s">
        <v>6</v>
      </c>
      <c r="C278" s="198"/>
      <c r="D278" s="198"/>
      <c r="E278" s="198"/>
      <c r="F278" s="198"/>
      <c r="G278" s="198"/>
      <c r="H278" s="198"/>
      <c r="I278" s="198"/>
    </row>
    <row r="279" spans="1:9" ht="24.9" customHeight="1" x14ac:dyDescent="0.3">
      <c r="A279" s="60"/>
      <c r="B279" s="200" t="s">
        <v>256</v>
      </c>
      <c r="C279" s="198"/>
      <c r="D279" s="198"/>
      <c r="E279" s="198"/>
      <c r="F279" s="198"/>
      <c r="G279" s="198"/>
      <c r="H279" s="198"/>
      <c r="I279" s="198"/>
    </row>
    <row r="280" spans="1:9" ht="14.4" x14ac:dyDescent="0.3">
      <c r="A280" s="170"/>
      <c r="B280" s="205"/>
      <c r="C280" s="206"/>
      <c r="D280" s="206"/>
      <c r="E280" s="206"/>
      <c r="F280" s="206"/>
      <c r="G280" s="206"/>
      <c r="H280" s="206"/>
      <c r="I280" s="206"/>
    </row>
    <row r="281" spans="1:9" ht="14.4" x14ac:dyDescent="0.3">
      <c r="A281" s="60"/>
      <c r="B281" s="204" t="s">
        <v>0</v>
      </c>
      <c r="C281" s="198"/>
      <c r="D281" s="198"/>
      <c r="E281" s="198"/>
      <c r="F281" s="198"/>
      <c r="G281" s="198"/>
      <c r="H281" s="198"/>
      <c r="I281" s="198"/>
    </row>
    <row r="282" spans="1:9" ht="14.4" x14ac:dyDescent="0.3">
      <c r="B282" s="166" t="s">
        <v>8</v>
      </c>
      <c r="C282" s="200" t="s">
        <v>187</v>
      </c>
      <c r="D282" s="198"/>
      <c r="E282" s="198"/>
      <c r="F282" s="198"/>
      <c r="G282" s="198"/>
      <c r="H282" s="198"/>
      <c r="I282" s="198"/>
    </row>
    <row r="283" spans="1:9" ht="24.9" customHeight="1" x14ac:dyDescent="0.3">
      <c r="B283" s="166" t="s">
        <v>8</v>
      </c>
      <c r="C283" s="200" t="s">
        <v>257</v>
      </c>
      <c r="D283" s="198"/>
      <c r="E283" s="198"/>
      <c r="F283" s="198"/>
      <c r="G283" s="198"/>
      <c r="H283" s="198"/>
      <c r="I283" s="198"/>
    </row>
    <row r="284" spans="1:9" ht="26.1" customHeight="1" x14ac:dyDescent="0.3">
      <c r="B284" s="166" t="s">
        <v>8</v>
      </c>
      <c r="C284" s="200" t="s">
        <v>258</v>
      </c>
      <c r="D284" s="198"/>
      <c r="E284" s="198"/>
      <c r="F284" s="198"/>
      <c r="G284" s="198"/>
      <c r="H284" s="198"/>
      <c r="I284" s="198"/>
    </row>
    <row r="287" spans="1:9" ht="14.4" x14ac:dyDescent="0.3">
      <c r="A287" s="177" t="s">
        <v>259</v>
      </c>
      <c r="B287" s="203" t="s">
        <v>260</v>
      </c>
      <c r="C287" s="198"/>
      <c r="D287" s="198"/>
      <c r="E287" s="198"/>
      <c r="F287" s="198"/>
      <c r="G287" s="198"/>
      <c r="H287" s="198"/>
      <c r="I287" s="198"/>
    </row>
    <row r="288" spans="1:9" ht="14.4" x14ac:dyDescent="0.3">
      <c r="A288" s="3"/>
      <c r="B288" s="204" t="s">
        <v>6</v>
      </c>
      <c r="C288" s="198"/>
      <c r="D288" s="198"/>
      <c r="E288" s="198"/>
      <c r="F288" s="198"/>
      <c r="G288" s="198"/>
      <c r="H288" s="198"/>
      <c r="I288" s="198"/>
    </row>
    <row r="289" spans="1:9" ht="39" customHeight="1" x14ac:dyDescent="0.3">
      <c r="A289" s="60"/>
      <c r="B289" s="200" t="s">
        <v>261</v>
      </c>
      <c r="C289" s="198"/>
      <c r="D289" s="198"/>
      <c r="E289" s="198"/>
      <c r="F289" s="198"/>
      <c r="G289" s="198"/>
      <c r="H289" s="198"/>
      <c r="I289" s="198"/>
    </row>
    <row r="290" spans="1:9" ht="14.4" x14ac:dyDescent="0.3">
      <c r="A290" s="170"/>
      <c r="B290" s="205"/>
      <c r="C290" s="206"/>
      <c r="D290" s="206"/>
      <c r="E290" s="206"/>
      <c r="F290" s="206"/>
      <c r="G290" s="206"/>
      <c r="H290" s="206"/>
      <c r="I290" s="206"/>
    </row>
    <row r="291" spans="1:9" ht="14.4" x14ac:dyDescent="0.3">
      <c r="A291" s="60"/>
      <c r="B291" s="204" t="s">
        <v>0</v>
      </c>
      <c r="C291" s="198"/>
      <c r="D291" s="198"/>
      <c r="E291" s="198"/>
      <c r="F291" s="198"/>
      <c r="G291" s="198"/>
      <c r="H291" s="198"/>
      <c r="I291" s="198"/>
    </row>
    <row r="292" spans="1:9" ht="14.4" x14ac:dyDescent="0.3">
      <c r="B292" s="166" t="s">
        <v>8</v>
      </c>
      <c r="C292" s="200" t="s">
        <v>102</v>
      </c>
      <c r="D292" s="198"/>
      <c r="E292" s="198"/>
      <c r="F292" s="198"/>
      <c r="G292" s="198"/>
      <c r="H292" s="198"/>
      <c r="I292" s="198"/>
    </row>
    <row r="293" spans="1:9" ht="27" customHeight="1" x14ac:dyDescent="0.3">
      <c r="B293" s="166" t="s">
        <v>8</v>
      </c>
      <c r="C293" s="200" t="s">
        <v>262</v>
      </c>
      <c r="D293" s="198"/>
      <c r="E293" s="198"/>
      <c r="F293" s="198"/>
      <c r="G293" s="198"/>
      <c r="H293" s="198"/>
      <c r="I293" s="198"/>
    </row>
    <row r="294" spans="1:9" ht="24.9" customHeight="1" x14ac:dyDescent="0.3">
      <c r="B294" s="166" t="s">
        <v>8</v>
      </c>
      <c r="C294" s="200" t="s">
        <v>263</v>
      </c>
      <c r="D294" s="198"/>
      <c r="E294" s="198"/>
      <c r="F294" s="198"/>
      <c r="G294" s="198"/>
      <c r="H294" s="198"/>
      <c r="I294" s="198"/>
    </row>
    <row r="295" spans="1:9" ht="27" customHeight="1" x14ac:dyDescent="0.3">
      <c r="B295" s="166" t="s">
        <v>8</v>
      </c>
      <c r="C295" s="200" t="s">
        <v>264</v>
      </c>
      <c r="D295" s="198"/>
      <c r="E295" s="198"/>
      <c r="F295" s="198"/>
      <c r="G295" s="198"/>
      <c r="H295" s="198"/>
      <c r="I295" s="198"/>
    </row>
    <row r="296" spans="1:9" ht="14.4" x14ac:dyDescent="0.3">
      <c r="B296" s="166" t="s">
        <v>8</v>
      </c>
      <c r="C296" s="200" t="s">
        <v>265</v>
      </c>
      <c r="D296" s="198"/>
      <c r="E296" s="198"/>
      <c r="F296" s="198"/>
      <c r="G296" s="198"/>
      <c r="H296" s="198"/>
      <c r="I296" s="198"/>
    </row>
    <row r="297" spans="1:9" ht="41.4" customHeight="1" x14ac:dyDescent="0.3">
      <c r="B297" s="166" t="s">
        <v>8</v>
      </c>
      <c r="C297" s="200" t="s">
        <v>253</v>
      </c>
      <c r="D297" s="198"/>
      <c r="E297" s="198"/>
      <c r="F297" s="198"/>
      <c r="G297" s="198"/>
      <c r="H297" s="198"/>
      <c r="I297" s="198"/>
    </row>
    <row r="299" spans="1:9" ht="14.4" x14ac:dyDescent="0.3">
      <c r="A299" s="177" t="s">
        <v>266</v>
      </c>
      <c r="B299" s="203" t="s">
        <v>267</v>
      </c>
      <c r="C299" s="198"/>
      <c r="D299" s="198"/>
      <c r="E299" s="198"/>
      <c r="F299" s="198"/>
      <c r="G299" s="198"/>
      <c r="H299" s="198"/>
      <c r="I299" s="198"/>
    </row>
    <row r="300" spans="1:9" ht="14.4" x14ac:dyDescent="0.3">
      <c r="A300" s="3"/>
      <c r="B300" s="204" t="s">
        <v>6</v>
      </c>
      <c r="C300" s="198"/>
      <c r="D300" s="198"/>
      <c r="E300" s="198"/>
      <c r="F300" s="198"/>
      <c r="G300" s="198"/>
      <c r="H300" s="198"/>
      <c r="I300" s="198"/>
    </row>
    <row r="301" spans="1:9" ht="49.5" customHeight="1" x14ac:dyDescent="0.3">
      <c r="A301" s="60"/>
      <c r="B301" s="200" t="s">
        <v>268</v>
      </c>
      <c r="C301" s="198"/>
      <c r="D301" s="198"/>
      <c r="E301" s="198"/>
      <c r="F301" s="198"/>
      <c r="G301" s="198"/>
      <c r="H301" s="198"/>
      <c r="I301" s="198"/>
    </row>
    <row r="302" spans="1:9" ht="14.4" x14ac:dyDescent="0.3">
      <c r="A302" s="60"/>
      <c r="B302" s="204" t="s">
        <v>0</v>
      </c>
      <c r="C302" s="198"/>
      <c r="D302" s="198"/>
      <c r="E302" s="198"/>
      <c r="F302" s="198"/>
      <c r="G302" s="198"/>
      <c r="H302" s="198"/>
      <c r="I302" s="198"/>
    </row>
    <row r="303" spans="1:9" ht="15.9" customHeight="1" x14ac:dyDescent="0.3">
      <c r="B303" s="166" t="s">
        <v>8</v>
      </c>
      <c r="C303" s="200" t="s">
        <v>269</v>
      </c>
      <c r="D303" s="198"/>
      <c r="E303" s="198"/>
      <c r="F303" s="198"/>
      <c r="G303" s="198"/>
      <c r="H303" s="198"/>
      <c r="I303" s="198"/>
    </row>
    <row r="304" spans="1:9" ht="39.9" customHeight="1" x14ac:dyDescent="0.3">
      <c r="B304" s="166" t="s">
        <v>8</v>
      </c>
      <c r="C304" s="200" t="s">
        <v>270</v>
      </c>
      <c r="D304" s="198"/>
      <c r="E304" s="198"/>
      <c r="F304" s="198"/>
      <c r="G304" s="198"/>
      <c r="H304" s="198"/>
      <c r="I304" s="198"/>
    </row>
    <row r="305" spans="1:9" ht="27.9" customHeight="1" x14ac:dyDescent="0.3">
      <c r="B305" s="166" t="s">
        <v>8</v>
      </c>
      <c r="C305" s="200" t="s">
        <v>271</v>
      </c>
      <c r="D305" s="198"/>
      <c r="E305" s="198"/>
      <c r="F305" s="198"/>
      <c r="G305" s="198"/>
      <c r="H305" s="198"/>
      <c r="I305" s="198"/>
    </row>
    <row r="306" spans="1:9" ht="27.9" customHeight="1" x14ac:dyDescent="0.3">
      <c r="B306" s="166" t="s">
        <v>8</v>
      </c>
      <c r="C306" s="200" t="s">
        <v>272</v>
      </c>
      <c r="D306" s="198"/>
      <c r="E306" s="198"/>
      <c r="F306" s="198"/>
      <c r="G306" s="198"/>
      <c r="H306" s="198"/>
      <c r="I306" s="198"/>
    </row>
    <row r="307" spans="1:9" ht="14.4" customHeight="1" x14ac:dyDescent="0.3">
      <c r="C307" s="200"/>
      <c r="D307" s="198"/>
      <c r="E307" s="198"/>
      <c r="F307" s="198"/>
      <c r="G307" s="198"/>
      <c r="H307" s="198"/>
      <c r="I307" s="198"/>
    </row>
    <row r="308" spans="1:9" ht="14.4" customHeight="1" x14ac:dyDescent="0.3">
      <c r="A308" s="177" t="s">
        <v>273</v>
      </c>
      <c r="B308" s="203" t="s">
        <v>274</v>
      </c>
      <c r="C308" s="203"/>
      <c r="D308" s="203"/>
      <c r="E308" s="203"/>
      <c r="F308" s="203"/>
      <c r="G308" s="203"/>
      <c r="H308" s="203"/>
      <c r="I308" s="203"/>
    </row>
    <row r="309" spans="1:9" ht="14.4" customHeight="1" x14ac:dyDescent="0.3">
      <c r="A309" s="3"/>
      <c r="B309" s="204" t="s">
        <v>6</v>
      </c>
      <c r="C309" s="204"/>
      <c r="D309" s="204"/>
      <c r="E309" s="204"/>
      <c r="F309" s="204"/>
      <c r="G309" s="204"/>
      <c r="H309" s="204"/>
      <c r="I309" s="204"/>
    </row>
    <row r="310" spans="1:9" ht="28.5" customHeight="1" x14ac:dyDescent="0.3">
      <c r="A310" s="60"/>
      <c r="B310" s="200" t="s">
        <v>275</v>
      </c>
      <c r="C310" s="200"/>
      <c r="D310" s="200"/>
      <c r="E310" s="200"/>
      <c r="F310" s="200"/>
      <c r="G310" s="200"/>
      <c r="H310" s="200"/>
      <c r="I310" s="200"/>
    </row>
    <row r="311" spans="1:9" ht="54.9" customHeight="1" x14ac:dyDescent="0.3">
      <c r="A311" s="60"/>
      <c r="B311" s="213" t="s">
        <v>276</v>
      </c>
      <c r="C311" s="213"/>
      <c r="D311" s="213"/>
      <c r="E311" s="213"/>
      <c r="F311" s="213"/>
      <c r="G311" s="213"/>
      <c r="H311" s="213"/>
      <c r="I311" s="213"/>
    </row>
    <row r="312" spans="1:9" x14ac:dyDescent="0.3">
      <c r="A312" s="170"/>
      <c r="B312" s="205" t="s">
        <v>277</v>
      </c>
      <c r="C312" s="205"/>
      <c r="D312" s="205"/>
      <c r="E312" s="205"/>
      <c r="F312" s="205"/>
      <c r="G312" s="205"/>
      <c r="H312" s="205"/>
      <c r="I312" s="205"/>
    </row>
    <row r="313" spans="1:9" x14ac:dyDescent="0.3">
      <c r="A313" s="170"/>
      <c r="B313" s="168"/>
      <c r="C313" s="168"/>
      <c r="D313" s="168"/>
      <c r="E313" s="168"/>
      <c r="F313" s="168"/>
      <c r="G313" s="168"/>
      <c r="H313" s="168"/>
      <c r="I313" s="168"/>
    </row>
    <row r="314" spans="1:9" ht="57" customHeight="1" x14ac:dyDescent="0.3">
      <c r="A314" s="170"/>
      <c r="B314" s="200" t="s">
        <v>278</v>
      </c>
      <c r="C314" s="198"/>
      <c r="D314" s="198"/>
      <c r="E314" s="198"/>
      <c r="F314" s="198"/>
      <c r="G314" s="198"/>
      <c r="H314" s="198"/>
      <c r="I314" s="198"/>
    </row>
    <row r="315" spans="1:9" ht="12.9" customHeight="1" x14ac:dyDescent="0.3">
      <c r="A315" s="170"/>
      <c r="B315" s="166" t="s">
        <v>21</v>
      </c>
      <c r="C315" s="207" t="s">
        <v>279</v>
      </c>
      <c r="D315" s="207"/>
      <c r="E315" s="207"/>
      <c r="F315" s="207"/>
      <c r="G315" s="207"/>
      <c r="H315" s="207"/>
      <c r="I315" s="207"/>
    </row>
    <row r="316" spans="1:9" ht="15.9" customHeight="1" x14ac:dyDescent="0.3">
      <c r="A316" s="170"/>
      <c r="B316" s="168"/>
      <c r="C316" s="169"/>
      <c r="D316" s="169"/>
      <c r="E316" s="169"/>
      <c r="F316" s="169"/>
      <c r="G316" s="169"/>
      <c r="H316" s="169"/>
      <c r="I316" s="169"/>
    </row>
    <row r="317" spans="1:9" ht="14.4" customHeight="1" x14ac:dyDescent="0.3">
      <c r="A317" s="60"/>
      <c r="B317" s="204" t="s">
        <v>0</v>
      </c>
      <c r="C317" s="204"/>
      <c r="D317" s="204"/>
      <c r="E317" s="204"/>
      <c r="F317" s="204"/>
      <c r="G317" s="204"/>
      <c r="H317" s="204"/>
      <c r="I317" s="204"/>
    </row>
    <row r="318" spans="1:9" ht="14.4" x14ac:dyDescent="0.3">
      <c r="B318" s="166" t="s">
        <v>8</v>
      </c>
      <c r="C318" s="200" t="s">
        <v>187</v>
      </c>
      <c r="D318" s="198"/>
      <c r="E318" s="198"/>
      <c r="F318" s="198"/>
      <c r="G318" s="198"/>
      <c r="H318" s="198"/>
      <c r="I318" s="198"/>
    </row>
    <row r="319" spans="1:9" ht="26.1" customHeight="1" x14ac:dyDescent="0.3">
      <c r="B319" s="166" t="s">
        <v>8</v>
      </c>
      <c r="C319" s="200" t="s">
        <v>280</v>
      </c>
      <c r="D319" s="198"/>
      <c r="E319" s="198"/>
      <c r="F319" s="198"/>
      <c r="G319" s="198"/>
      <c r="H319" s="198"/>
      <c r="I319" s="198"/>
    </row>
    <row r="320" spans="1:9" ht="28.2" customHeight="1" x14ac:dyDescent="0.3">
      <c r="B320" s="166" t="s">
        <v>8</v>
      </c>
      <c r="C320" s="200" t="s">
        <v>1740</v>
      </c>
      <c r="D320" s="198"/>
      <c r="E320" s="198"/>
      <c r="F320" s="198"/>
      <c r="G320" s="198"/>
      <c r="H320" s="198"/>
      <c r="I320" s="198"/>
    </row>
    <row r="321" spans="1:9" ht="27.6" customHeight="1" x14ac:dyDescent="0.3">
      <c r="B321" s="166" t="s">
        <v>8</v>
      </c>
      <c r="C321" s="200" t="s">
        <v>281</v>
      </c>
      <c r="D321" s="198"/>
      <c r="E321" s="198"/>
      <c r="F321" s="198"/>
      <c r="G321" s="198"/>
      <c r="H321" s="198"/>
      <c r="I321" s="198"/>
    </row>
    <row r="322" spans="1:9" ht="29.4" customHeight="1" x14ac:dyDescent="0.3">
      <c r="B322" s="166" t="s">
        <v>8</v>
      </c>
      <c r="C322" s="200" t="s">
        <v>282</v>
      </c>
      <c r="D322" s="198"/>
      <c r="E322" s="198"/>
      <c r="F322" s="198"/>
      <c r="G322" s="198"/>
      <c r="H322" s="198"/>
      <c r="I322" s="198"/>
    </row>
    <row r="324" spans="1:9" ht="14.4" customHeight="1" x14ac:dyDescent="0.3">
      <c r="A324" s="177" t="s">
        <v>283</v>
      </c>
      <c r="B324" s="203" t="s">
        <v>284</v>
      </c>
      <c r="C324" s="203"/>
      <c r="D324" s="203"/>
      <c r="E324" s="203"/>
      <c r="F324" s="203"/>
      <c r="G324" s="203"/>
      <c r="H324" s="203"/>
      <c r="I324" s="203"/>
    </row>
    <row r="325" spans="1:9" ht="14.4" customHeight="1" x14ac:dyDescent="0.3">
      <c r="A325" s="3"/>
      <c r="B325" s="204" t="s">
        <v>6</v>
      </c>
      <c r="C325" s="204"/>
      <c r="D325" s="204"/>
      <c r="E325" s="204"/>
      <c r="F325" s="204"/>
      <c r="G325" s="204"/>
      <c r="H325" s="204"/>
      <c r="I325" s="204"/>
    </row>
    <row r="326" spans="1:9" ht="42.9" customHeight="1" x14ac:dyDescent="0.3">
      <c r="A326" s="60"/>
      <c r="B326" s="200" t="s">
        <v>285</v>
      </c>
      <c r="C326" s="200"/>
      <c r="D326" s="200"/>
      <c r="E326" s="200"/>
      <c r="F326" s="200"/>
      <c r="G326" s="200"/>
      <c r="H326" s="200"/>
      <c r="I326" s="200"/>
    </row>
    <row r="327" spans="1:9" ht="11.4" customHeight="1" x14ac:dyDescent="0.3">
      <c r="A327" s="170"/>
      <c r="B327" s="205"/>
      <c r="C327" s="205"/>
      <c r="D327" s="205"/>
      <c r="E327" s="205"/>
      <c r="F327" s="205"/>
      <c r="G327" s="205"/>
      <c r="H327" s="205"/>
      <c r="I327" s="205"/>
    </row>
    <row r="328" spans="1:9" ht="14.4" customHeight="1" x14ac:dyDescent="0.3">
      <c r="A328" s="60"/>
      <c r="B328" s="204" t="s">
        <v>0</v>
      </c>
      <c r="C328" s="204"/>
      <c r="D328" s="204"/>
      <c r="E328" s="204"/>
      <c r="F328" s="204"/>
      <c r="G328" s="204"/>
      <c r="H328" s="204"/>
      <c r="I328" s="204"/>
    </row>
    <row r="329" spans="1:9" ht="14.4" x14ac:dyDescent="0.3">
      <c r="B329" s="166" t="s">
        <v>8</v>
      </c>
      <c r="C329" s="200" t="s">
        <v>187</v>
      </c>
      <c r="D329" s="198"/>
      <c r="E329" s="198"/>
      <c r="F329" s="198"/>
      <c r="G329" s="198"/>
      <c r="H329" s="198"/>
      <c r="I329" s="198"/>
    </row>
    <row r="330" spans="1:9" ht="14.4" x14ac:dyDescent="0.3">
      <c r="B330" s="166" t="s">
        <v>8</v>
      </c>
      <c r="C330" s="200" t="s">
        <v>286</v>
      </c>
      <c r="D330" s="198"/>
      <c r="E330" s="198"/>
      <c r="F330" s="198"/>
      <c r="G330" s="198"/>
      <c r="H330" s="198"/>
      <c r="I330" s="198"/>
    </row>
    <row r="331" spans="1:9" ht="42.6" customHeight="1" x14ac:dyDescent="0.3">
      <c r="B331" s="166" t="s">
        <v>8</v>
      </c>
      <c r="C331" s="200" t="s">
        <v>253</v>
      </c>
      <c r="D331" s="198"/>
      <c r="E331" s="198"/>
      <c r="F331" s="198"/>
      <c r="G331" s="198"/>
      <c r="H331" s="198"/>
      <c r="I331" s="198"/>
    </row>
    <row r="333" spans="1:9" ht="14.4" x14ac:dyDescent="0.3">
      <c r="A333" s="177" t="s">
        <v>287</v>
      </c>
      <c r="B333" s="203" t="s">
        <v>288</v>
      </c>
      <c r="C333" s="198"/>
      <c r="D333" s="198"/>
      <c r="E333" s="198"/>
      <c r="F333" s="198"/>
      <c r="G333" s="198"/>
      <c r="H333" s="198"/>
      <c r="I333" s="198"/>
    </row>
    <row r="334" spans="1:9" ht="14.4" x14ac:dyDescent="0.3">
      <c r="A334" s="3"/>
      <c r="B334" s="204" t="s">
        <v>6</v>
      </c>
      <c r="C334" s="198"/>
      <c r="D334" s="198"/>
      <c r="E334" s="198"/>
      <c r="F334" s="198"/>
      <c r="G334" s="198"/>
      <c r="H334" s="198"/>
      <c r="I334" s="198"/>
    </row>
    <row r="335" spans="1:9" ht="27.9" customHeight="1" x14ac:dyDescent="0.3">
      <c r="A335" s="60"/>
      <c r="B335" s="200" t="s">
        <v>289</v>
      </c>
      <c r="C335" s="198"/>
      <c r="D335" s="198"/>
      <c r="E335" s="198"/>
      <c r="F335" s="198"/>
      <c r="G335" s="198"/>
      <c r="H335" s="198"/>
      <c r="I335" s="198"/>
    </row>
    <row r="336" spans="1:9" ht="14.4" x14ac:dyDescent="0.3">
      <c r="A336" s="170"/>
      <c r="B336" s="205"/>
      <c r="C336" s="206"/>
      <c r="D336" s="206"/>
      <c r="E336" s="206"/>
      <c r="F336" s="206"/>
      <c r="G336" s="206"/>
      <c r="H336" s="206"/>
      <c r="I336" s="206"/>
    </row>
    <row r="337" spans="1:9" ht="14.4" x14ac:dyDescent="0.3">
      <c r="A337" s="60"/>
      <c r="B337" s="204" t="s">
        <v>0</v>
      </c>
      <c r="C337" s="198"/>
      <c r="D337" s="198"/>
      <c r="E337" s="198"/>
      <c r="F337" s="198"/>
      <c r="G337" s="198"/>
      <c r="H337" s="198"/>
      <c r="I337" s="198"/>
    </row>
    <row r="338" spans="1:9" ht="26.1" customHeight="1" x14ac:dyDescent="0.3">
      <c r="B338" s="166" t="s">
        <v>8</v>
      </c>
      <c r="C338" s="200" t="s">
        <v>290</v>
      </c>
      <c r="D338" s="198"/>
      <c r="E338" s="198"/>
      <c r="F338" s="198"/>
      <c r="G338" s="198"/>
      <c r="H338" s="198"/>
      <c r="I338" s="198"/>
    </row>
    <row r="339" spans="1:9" ht="14.4" x14ac:dyDescent="0.3">
      <c r="B339" s="166" t="s">
        <v>8</v>
      </c>
      <c r="C339" s="200" t="s">
        <v>291</v>
      </c>
      <c r="D339" s="198"/>
      <c r="E339" s="198"/>
      <c r="F339" s="198"/>
      <c r="G339" s="198"/>
      <c r="H339" s="198"/>
      <c r="I339" s="198"/>
    </row>
    <row r="340" spans="1:9" ht="64.5" customHeight="1" x14ac:dyDescent="0.3">
      <c r="B340" s="166" t="s">
        <v>8</v>
      </c>
      <c r="C340" s="200" t="s">
        <v>292</v>
      </c>
      <c r="D340" s="198"/>
      <c r="E340" s="198"/>
      <c r="F340" s="198"/>
      <c r="G340" s="198"/>
      <c r="H340" s="198"/>
      <c r="I340" s="198"/>
    </row>
    <row r="341" spans="1:9" ht="26.1" customHeight="1" x14ac:dyDescent="0.3">
      <c r="B341" s="166" t="s">
        <v>8</v>
      </c>
      <c r="C341" s="200" t="s">
        <v>293</v>
      </c>
      <c r="D341" s="198"/>
      <c r="E341" s="198"/>
      <c r="F341" s="198"/>
      <c r="G341" s="198"/>
      <c r="H341" s="198"/>
      <c r="I341" s="198"/>
    </row>
    <row r="342" spans="1:9" ht="40.5" customHeight="1" x14ac:dyDescent="0.3">
      <c r="B342" s="166" t="s">
        <v>8</v>
      </c>
      <c r="C342" s="200" t="s">
        <v>294</v>
      </c>
      <c r="D342" s="198"/>
      <c r="E342" s="198"/>
      <c r="F342" s="198"/>
      <c r="G342" s="198"/>
      <c r="H342" s="198"/>
      <c r="I342" s="198"/>
    </row>
    <row r="343" spans="1:9" ht="24.9" customHeight="1" x14ac:dyDescent="0.3">
      <c r="B343" s="166" t="s">
        <v>8</v>
      </c>
      <c r="C343" s="200" t="s">
        <v>295</v>
      </c>
      <c r="D343" s="198"/>
      <c r="E343" s="198"/>
      <c r="F343" s="198"/>
      <c r="G343" s="198"/>
      <c r="H343" s="198"/>
      <c r="I343" s="198"/>
    </row>
    <row r="344" spans="1:9" ht="26.4" customHeight="1" x14ac:dyDescent="0.3">
      <c r="B344" s="166" t="s">
        <v>8</v>
      </c>
      <c r="C344" s="200" t="s">
        <v>296</v>
      </c>
      <c r="D344" s="198"/>
      <c r="E344" s="198"/>
      <c r="F344" s="198"/>
      <c r="G344" s="198"/>
      <c r="H344" s="198"/>
      <c r="I344" s="198"/>
    </row>
    <row r="345" spans="1:9" ht="38.1" customHeight="1" x14ac:dyDescent="0.3">
      <c r="B345" s="166" t="s">
        <v>8</v>
      </c>
      <c r="C345" s="200" t="s">
        <v>297</v>
      </c>
      <c r="D345" s="198"/>
      <c r="E345" s="198"/>
      <c r="F345" s="198"/>
      <c r="G345" s="198"/>
      <c r="H345" s="198"/>
      <c r="I345" s="198"/>
    </row>
    <row r="346" spans="1:9" ht="15.9" customHeight="1" x14ac:dyDescent="0.3">
      <c r="B346" s="166" t="s">
        <v>21</v>
      </c>
      <c r="C346" s="207" t="s">
        <v>298</v>
      </c>
      <c r="D346" s="208"/>
      <c r="E346" s="208"/>
      <c r="F346" s="208"/>
      <c r="G346" s="208"/>
      <c r="H346" s="208"/>
      <c r="I346" s="208"/>
    </row>
    <row r="347" spans="1:9" x14ac:dyDescent="0.3">
      <c r="C347" s="200"/>
      <c r="D347" s="200"/>
      <c r="E347" s="200"/>
      <c r="F347" s="200"/>
      <c r="G347" s="200"/>
      <c r="H347" s="200"/>
      <c r="I347" s="200"/>
    </row>
    <row r="348" spans="1:9" ht="14.4" x14ac:dyDescent="0.3">
      <c r="A348" s="177" t="s">
        <v>299</v>
      </c>
      <c r="B348" s="203" t="s">
        <v>300</v>
      </c>
      <c r="C348" s="198"/>
      <c r="D348" s="198"/>
      <c r="E348" s="198"/>
      <c r="F348" s="198"/>
      <c r="G348" s="198"/>
      <c r="H348" s="198"/>
      <c r="I348" s="198"/>
    </row>
    <row r="349" spans="1:9" ht="14.4" x14ac:dyDescent="0.3">
      <c r="A349" s="3"/>
      <c r="B349" s="204" t="s">
        <v>6</v>
      </c>
      <c r="C349" s="198"/>
      <c r="D349" s="198"/>
      <c r="E349" s="198"/>
      <c r="F349" s="198"/>
      <c r="G349" s="198"/>
      <c r="H349" s="198"/>
      <c r="I349" s="198"/>
    </row>
    <row r="350" spans="1:9" ht="30.6" customHeight="1" x14ac:dyDescent="0.3">
      <c r="A350" s="60"/>
      <c r="B350" s="200" t="s">
        <v>301</v>
      </c>
      <c r="C350" s="198"/>
      <c r="D350" s="198"/>
      <c r="E350" s="198"/>
      <c r="F350" s="198"/>
      <c r="G350" s="198"/>
      <c r="H350" s="198"/>
      <c r="I350" s="198"/>
    </row>
    <row r="351" spans="1:9" ht="14.4" x14ac:dyDescent="0.3">
      <c r="A351" s="170"/>
      <c r="B351" s="205"/>
      <c r="C351" s="206"/>
      <c r="D351" s="206"/>
      <c r="E351" s="206"/>
      <c r="F351" s="206"/>
      <c r="G351" s="206"/>
      <c r="H351" s="206"/>
      <c r="I351" s="206"/>
    </row>
    <row r="352" spans="1:9" ht="14.4" x14ac:dyDescent="0.3">
      <c r="A352" s="60"/>
      <c r="B352" s="204" t="s">
        <v>0</v>
      </c>
      <c r="C352" s="198"/>
      <c r="D352" s="198"/>
      <c r="E352" s="198"/>
      <c r="F352" s="198"/>
      <c r="G352" s="198"/>
      <c r="H352" s="198"/>
      <c r="I352" s="198"/>
    </row>
    <row r="353" spans="1:9" ht="14.4" x14ac:dyDescent="0.3">
      <c r="B353" s="166" t="s">
        <v>8</v>
      </c>
      <c r="C353" s="200" t="s">
        <v>187</v>
      </c>
      <c r="D353" s="198"/>
      <c r="E353" s="198"/>
      <c r="F353" s="198"/>
      <c r="G353" s="198"/>
      <c r="H353" s="198"/>
      <c r="I353" s="198"/>
    </row>
    <row r="354" spans="1:9" ht="14.4" x14ac:dyDescent="0.3">
      <c r="B354" s="166" t="s">
        <v>8</v>
      </c>
      <c r="C354" s="200" t="s">
        <v>302</v>
      </c>
      <c r="D354" s="198"/>
      <c r="E354" s="198"/>
      <c r="F354" s="198"/>
      <c r="G354" s="198"/>
      <c r="H354" s="198"/>
      <c r="I354" s="198"/>
    </row>
    <row r="355" spans="1:9" ht="14.4" x14ac:dyDescent="0.3">
      <c r="B355" s="166" t="s">
        <v>8</v>
      </c>
      <c r="C355" s="200" t="s">
        <v>303</v>
      </c>
      <c r="D355" s="198"/>
      <c r="E355" s="198"/>
      <c r="F355" s="198"/>
      <c r="G355" s="198"/>
      <c r="H355" s="198"/>
      <c r="I355" s="198"/>
    </row>
    <row r="356" spans="1:9" ht="28.5" customHeight="1" x14ac:dyDescent="0.3">
      <c r="B356" s="166" t="s">
        <v>8</v>
      </c>
      <c r="C356" s="200" t="s">
        <v>304</v>
      </c>
      <c r="D356" s="198"/>
      <c r="E356" s="198"/>
      <c r="F356" s="198"/>
      <c r="G356" s="198"/>
      <c r="H356" s="198"/>
      <c r="I356" s="198"/>
    </row>
    <row r="357" spans="1:9" ht="76.5" customHeight="1" x14ac:dyDescent="0.3">
      <c r="C357" s="201" t="s">
        <v>305</v>
      </c>
      <c r="D357" s="202"/>
      <c r="E357" s="202"/>
      <c r="F357" s="202"/>
      <c r="G357" s="202"/>
      <c r="H357" s="202"/>
      <c r="I357" s="202"/>
    </row>
    <row r="358" spans="1:9" ht="27" customHeight="1" x14ac:dyDescent="0.3">
      <c r="B358" s="166" t="s">
        <v>21</v>
      </c>
      <c r="C358" s="215" t="s">
        <v>306</v>
      </c>
      <c r="D358" s="216"/>
      <c r="E358" s="216"/>
      <c r="F358" s="216"/>
      <c r="G358" s="216"/>
      <c r="H358" s="216"/>
      <c r="I358" s="216"/>
    </row>
    <row r="359" spans="1:9" ht="18" customHeight="1" x14ac:dyDescent="0.3">
      <c r="B359" s="166" t="s">
        <v>23</v>
      </c>
      <c r="C359" s="215" t="s">
        <v>307</v>
      </c>
      <c r="D359" s="216"/>
      <c r="E359" s="216"/>
      <c r="F359" s="216"/>
      <c r="G359" s="216"/>
      <c r="H359" s="216"/>
      <c r="I359" s="216"/>
    </row>
    <row r="361" spans="1:9" ht="14.4" x14ac:dyDescent="0.3">
      <c r="A361" s="177" t="s">
        <v>308</v>
      </c>
      <c r="B361" s="203" t="s">
        <v>309</v>
      </c>
      <c r="C361" s="198"/>
      <c r="D361" s="198"/>
      <c r="E361" s="198"/>
      <c r="F361" s="198"/>
      <c r="G361" s="198"/>
      <c r="H361" s="198"/>
      <c r="I361" s="198"/>
    </row>
    <row r="362" spans="1:9" ht="14.4" x14ac:dyDescent="0.3">
      <c r="A362" s="3"/>
      <c r="B362" s="204" t="s">
        <v>6</v>
      </c>
      <c r="C362" s="198"/>
      <c r="D362" s="198"/>
      <c r="E362" s="198"/>
      <c r="F362" s="198"/>
      <c r="G362" s="198"/>
      <c r="H362" s="198"/>
      <c r="I362" s="198"/>
    </row>
    <row r="363" spans="1:9" ht="39.9" customHeight="1" x14ac:dyDescent="0.3">
      <c r="A363" s="60"/>
      <c r="B363" s="200" t="s">
        <v>310</v>
      </c>
      <c r="C363" s="198"/>
      <c r="D363" s="198"/>
      <c r="E363" s="198"/>
      <c r="F363" s="198"/>
      <c r="G363" s="198"/>
      <c r="H363" s="198"/>
      <c r="I363" s="198"/>
    </row>
    <row r="364" spans="1:9" ht="14.4" x14ac:dyDescent="0.3">
      <c r="A364" s="60"/>
      <c r="C364" s="165"/>
      <c r="D364" s="165"/>
      <c r="E364" s="165"/>
      <c r="F364" s="165"/>
      <c r="G364" s="165"/>
      <c r="H364" s="165"/>
      <c r="I364" s="165"/>
    </row>
    <row r="365" spans="1:9" ht="14.4" x14ac:dyDescent="0.3">
      <c r="A365" s="60"/>
      <c r="B365" s="204" t="s">
        <v>0</v>
      </c>
      <c r="C365" s="198"/>
      <c r="D365" s="198"/>
      <c r="E365" s="198"/>
      <c r="F365" s="198"/>
      <c r="G365" s="198"/>
      <c r="H365" s="198"/>
      <c r="I365" s="198"/>
    </row>
    <row r="366" spans="1:9" ht="14.4" x14ac:dyDescent="0.3">
      <c r="B366" s="166" t="s">
        <v>8</v>
      </c>
      <c r="C366" s="200" t="s">
        <v>70</v>
      </c>
      <c r="D366" s="198"/>
      <c r="E366" s="198"/>
      <c r="F366" s="198"/>
      <c r="G366" s="198"/>
      <c r="H366" s="198"/>
      <c r="I366" s="198"/>
    </row>
    <row r="367" spans="1:9" ht="41.1" customHeight="1" x14ac:dyDescent="0.3">
      <c r="B367" s="166" t="s">
        <v>8</v>
      </c>
      <c r="C367" s="200" t="s">
        <v>311</v>
      </c>
      <c r="D367" s="198"/>
      <c r="E367" s="198"/>
      <c r="F367" s="198"/>
      <c r="G367" s="198"/>
      <c r="H367" s="198"/>
      <c r="I367" s="198"/>
    </row>
    <row r="368" spans="1:9" ht="14.4" customHeight="1" x14ac:dyDescent="0.3">
      <c r="D368" s="165"/>
      <c r="E368" s="165"/>
      <c r="F368" s="165"/>
      <c r="G368" s="165"/>
      <c r="H368" s="165"/>
      <c r="I368" s="165"/>
    </row>
    <row r="369" spans="1:9" ht="14.4" x14ac:dyDescent="0.3">
      <c r="A369" s="176" t="s">
        <v>312</v>
      </c>
      <c r="B369" s="203" t="s">
        <v>97</v>
      </c>
      <c r="C369" s="198"/>
      <c r="D369" s="198"/>
      <c r="E369" s="198"/>
      <c r="F369" s="198"/>
      <c r="G369" s="198"/>
      <c r="H369" s="198"/>
      <c r="I369" s="198"/>
    </row>
    <row r="370" spans="1:9" ht="14.4" x14ac:dyDescent="0.3">
      <c r="A370" s="176"/>
      <c r="B370" s="167"/>
      <c r="C370" s="165"/>
      <c r="D370" s="165"/>
      <c r="E370" s="165"/>
      <c r="F370" s="165"/>
      <c r="G370" s="165"/>
      <c r="H370" s="165"/>
      <c r="I370" s="165"/>
    </row>
    <row r="371" spans="1:9" x14ac:dyDescent="0.3">
      <c r="A371" s="177" t="s">
        <v>313</v>
      </c>
      <c r="B371" s="203" t="s">
        <v>314</v>
      </c>
      <c r="C371" s="203"/>
      <c r="D371" s="203"/>
      <c r="E371" s="203"/>
      <c r="F371" s="203"/>
      <c r="G371" s="203"/>
      <c r="H371" s="203"/>
      <c r="I371" s="203"/>
    </row>
    <row r="372" spans="1:9" x14ac:dyDescent="0.3">
      <c r="A372" s="3"/>
      <c r="B372" s="204" t="s">
        <v>6</v>
      </c>
      <c r="C372" s="204"/>
      <c r="D372" s="204"/>
      <c r="E372" s="204"/>
      <c r="F372" s="204"/>
      <c r="G372" s="204"/>
      <c r="H372" s="204"/>
      <c r="I372" s="204"/>
    </row>
    <row r="373" spans="1:9" ht="42.9" customHeight="1" x14ac:dyDescent="0.3">
      <c r="A373" s="60"/>
      <c r="B373" s="200" t="s">
        <v>315</v>
      </c>
      <c r="C373" s="200"/>
      <c r="D373" s="200"/>
      <c r="E373" s="200"/>
      <c r="F373" s="200"/>
      <c r="G373" s="200"/>
      <c r="H373" s="200"/>
      <c r="I373" s="200"/>
    </row>
    <row r="374" spans="1:9" x14ac:dyDescent="0.3">
      <c r="A374" s="60"/>
      <c r="B374" s="213"/>
      <c r="C374" s="213"/>
      <c r="D374" s="213"/>
      <c r="E374" s="213"/>
      <c r="F374" s="213"/>
      <c r="G374" s="213"/>
      <c r="H374" s="213"/>
      <c r="I374" s="213"/>
    </row>
    <row r="375" spans="1:9" x14ac:dyDescent="0.3">
      <c r="A375" s="60"/>
      <c r="B375" s="204" t="s">
        <v>0</v>
      </c>
      <c r="C375" s="204"/>
      <c r="D375" s="204"/>
      <c r="E375" s="204"/>
      <c r="F375" s="204"/>
      <c r="G375" s="204"/>
      <c r="H375" s="204"/>
      <c r="I375" s="204"/>
    </row>
    <row r="376" spans="1:9" ht="14.4" x14ac:dyDescent="0.3">
      <c r="B376" s="166" t="s">
        <v>8</v>
      </c>
      <c r="C376" s="200" t="s">
        <v>187</v>
      </c>
      <c r="D376" s="198"/>
      <c r="E376" s="198"/>
      <c r="F376" s="198"/>
      <c r="G376" s="198"/>
      <c r="H376" s="198"/>
      <c r="I376" s="198"/>
    </row>
    <row r="377" spans="1:9" ht="14.4" x14ac:dyDescent="0.3">
      <c r="B377" s="166" t="s">
        <v>8</v>
      </c>
      <c r="C377" s="200" t="s">
        <v>316</v>
      </c>
      <c r="D377" s="198"/>
      <c r="E377" s="198"/>
      <c r="F377" s="198"/>
      <c r="G377" s="198"/>
      <c r="H377" s="198"/>
      <c r="I377" s="198"/>
    </row>
    <row r="378" spans="1:9" ht="14.4" x14ac:dyDescent="0.3">
      <c r="B378" s="166" t="s">
        <v>8</v>
      </c>
      <c r="C378" s="200" t="s">
        <v>317</v>
      </c>
      <c r="D378" s="198"/>
      <c r="E378" s="198"/>
      <c r="F378" s="198"/>
      <c r="G378" s="198"/>
      <c r="H378" s="198"/>
      <c r="I378" s="198"/>
    </row>
    <row r="380" spans="1:9" x14ac:dyDescent="0.3">
      <c r="A380" s="177" t="s">
        <v>318</v>
      </c>
      <c r="B380" s="203" t="s">
        <v>319</v>
      </c>
      <c r="C380" s="203"/>
      <c r="D380" s="203"/>
      <c r="E380" s="203"/>
      <c r="F380" s="203"/>
      <c r="G380" s="203"/>
      <c r="H380" s="203"/>
      <c r="I380" s="203"/>
    </row>
    <row r="381" spans="1:9" x14ac:dyDescent="0.3">
      <c r="A381" s="3"/>
      <c r="B381" s="204" t="s">
        <v>6</v>
      </c>
      <c r="C381" s="204"/>
      <c r="D381" s="204"/>
      <c r="E381" s="204"/>
      <c r="F381" s="204"/>
      <c r="G381" s="204"/>
      <c r="H381" s="204"/>
      <c r="I381" s="204"/>
    </row>
    <row r="382" spans="1:9" ht="39.6" customHeight="1" x14ac:dyDescent="0.3">
      <c r="A382" s="60"/>
      <c r="B382" s="200" t="s">
        <v>320</v>
      </c>
      <c r="C382" s="200"/>
      <c r="D382" s="200"/>
      <c r="E382" s="200"/>
      <c r="F382" s="200"/>
      <c r="G382" s="200"/>
      <c r="H382" s="200"/>
      <c r="I382" s="200"/>
    </row>
    <row r="383" spans="1:9" ht="78" customHeight="1" x14ac:dyDescent="0.3">
      <c r="A383" s="170"/>
      <c r="B383" s="201" t="s">
        <v>321</v>
      </c>
      <c r="C383" s="201"/>
      <c r="D383" s="201"/>
      <c r="E383" s="201"/>
      <c r="F383" s="201"/>
      <c r="G383" s="201"/>
      <c r="H383" s="201"/>
      <c r="I383" s="201"/>
    </row>
    <row r="384" spans="1:9" ht="34.5" customHeight="1" x14ac:dyDescent="0.3">
      <c r="A384" s="170"/>
      <c r="B384" s="214" t="s">
        <v>322</v>
      </c>
      <c r="C384" s="210"/>
      <c r="D384" s="210"/>
      <c r="E384" s="210"/>
      <c r="F384" s="210"/>
      <c r="G384" s="210"/>
      <c r="H384" s="210"/>
      <c r="I384" s="210"/>
    </row>
    <row r="385" spans="1:9" ht="24.6" customHeight="1" x14ac:dyDescent="0.3">
      <c r="A385" s="170"/>
      <c r="B385" s="181" t="s">
        <v>21</v>
      </c>
      <c r="C385" s="209" t="s">
        <v>323</v>
      </c>
      <c r="D385" s="209"/>
      <c r="E385" s="209"/>
      <c r="F385" s="209"/>
      <c r="G385" s="209"/>
      <c r="H385" s="209"/>
      <c r="I385" s="209"/>
    </row>
    <row r="386" spans="1:9" x14ac:dyDescent="0.3">
      <c r="A386" s="60"/>
      <c r="B386" s="204" t="s">
        <v>0</v>
      </c>
      <c r="C386" s="204"/>
      <c r="D386" s="204"/>
      <c r="E386" s="204"/>
      <c r="F386" s="204"/>
      <c r="G386" s="204"/>
      <c r="H386" s="204"/>
      <c r="I386" s="204"/>
    </row>
    <row r="387" spans="1:9" ht="14.4" x14ac:dyDescent="0.3">
      <c r="B387" s="166" t="s">
        <v>8</v>
      </c>
      <c r="C387" s="200" t="s">
        <v>187</v>
      </c>
      <c r="D387" s="198"/>
      <c r="E387" s="198"/>
      <c r="F387" s="198"/>
      <c r="G387" s="198"/>
      <c r="H387" s="198"/>
      <c r="I387" s="198"/>
    </row>
    <row r="388" spans="1:9" ht="27.6" customHeight="1" x14ac:dyDescent="0.3">
      <c r="B388" s="166" t="s">
        <v>8</v>
      </c>
      <c r="C388" s="200" t="s">
        <v>324</v>
      </c>
      <c r="D388" s="198"/>
      <c r="E388" s="198"/>
      <c r="F388" s="198"/>
      <c r="G388" s="198"/>
      <c r="H388" s="198"/>
      <c r="I388" s="198"/>
    </row>
    <row r="389" spans="1:9" ht="27" customHeight="1" x14ac:dyDescent="0.3">
      <c r="B389" s="166" t="s">
        <v>8</v>
      </c>
      <c r="C389" s="200" t="s">
        <v>325</v>
      </c>
      <c r="D389" s="198"/>
      <c r="E389" s="198"/>
      <c r="F389" s="198"/>
      <c r="G389" s="198"/>
      <c r="H389" s="198"/>
      <c r="I389" s="198"/>
    </row>
    <row r="391" spans="1:9" ht="14.4" x14ac:dyDescent="0.3">
      <c r="A391" s="177" t="s">
        <v>326</v>
      </c>
      <c r="B391" s="203" t="s">
        <v>327</v>
      </c>
      <c r="C391" s="198"/>
      <c r="D391" s="198"/>
      <c r="E391" s="198"/>
      <c r="F391" s="198"/>
      <c r="G391" s="198"/>
      <c r="H391" s="198"/>
      <c r="I391" s="198"/>
    </row>
    <row r="392" spans="1:9" ht="14.4" x14ac:dyDescent="0.3">
      <c r="A392" s="3"/>
      <c r="B392" s="204" t="s">
        <v>6</v>
      </c>
      <c r="C392" s="198"/>
      <c r="D392" s="198"/>
      <c r="E392" s="198"/>
      <c r="F392" s="198"/>
      <c r="G392" s="198"/>
      <c r="H392" s="198"/>
      <c r="I392" s="198"/>
    </row>
    <row r="393" spans="1:9" ht="39.6" customHeight="1" x14ac:dyDescent="0.3">
      <c r="A393" s="60"/>
      <c r="B393" s="200" t="s">
        <v>328</v>
      </c>
      <c r="C393" s="198"/>
      <c r="D393" s="198"/>
      <c r="E393" s="198"/>
      <c r="F393" s="198"/>
      <c r="G393" s="198"/>
      <c r="H393" s="198"/>
      <c r="I393" s="198"/>
    </row>
    <row r="394" spans="1:9" ht="14.4" x14ac:dyDescent="0.3">
      <c r="A394" s="170"/>
      <c r="B394" s="205"/>
      <c r="C394" s="206"/>
      <c r="D394" s="206"/>
      <c r="E394" s="206"/>
      <c r="F394" s="206"/>
      <c r="G394" s="206"/>
      <c r="H394" s="206"/>
      <c r="I394" s="206"/>
    </row>
    <row r="395" spans="1:9" ht="14.4" x14ac:dyDescent="0.3">
      <c r="A395" s="60"/>
      <c r="B395" s="204" t="s">
        <v>0</v>
      </c>
      <c r="C395" s="198"/>
      <c r="D395" s="198"/>
      <c r="E395" s="198"/>
      <c r="F395" s="198"/>
      <c r="G395" s="198"/>
      <c r="H395" s="198"/>
      <c r="I395" s="198"/>
    </row>
    <row r="396" spans="1:9" ht="14.4" x14ac:dyDescent="0.3">
      <c r="B396" s="166" t="s">
        <v>8</v>
      </c>
      <c r="C396" s="200" t="s">
        <v>102</v>
      </c>
      <c r="D396" s="198"/>
      <c r="E396" s="198"/>
      <c r="F396" s="198"/>
      <c r="G396" s="198"/>
      <c r="H396" s="198"/>
      <c r="I396" s="198"/>
    </row>
    <row r="397" spans="1:9" ht="14.4" x14ac:dyDescent="0.3">
      <c r="B397" s="166" t="s">
        <v>8</v>
      </c>
      <c r="C397" s="200" t="s">
        <v>329</v>
      </c>
      <c r="D397" s="198"/>
      <c r="E397" s="198"/>
      <c r="F397" s="198"/>
      <c r="G397" s="198"/>
      <c r="H397" s="198"/>
      <c r="I397" s="198"/>
    </row>
    <row r="398" spans="1:9" ht="66" customHeight="1" x14ac:dyDescent="0.3">
      <c r="B398" s="166" t="s">
        <v>8</v>
      </c>
      <c r="C398" s="200" t="s">
        <v>330</v>
      </c>
      <c r="D398" s="198"/>
      <c r="E398" s="198"/>
      <c r="F398" s="198"/>
      <c r="G398" s="198"/>
      <c r="H398" s="198"/>
      <c r="I398" s="198"/>
    </row>
    <row r="399" spans="1:9" ht="26.1" customHeight="1" x14ac:dyDescent="0.3">
      <c r="B399" s="166" t="s">
        <v>8</v>
      </c>
      <c r="C399" s="200" t="s">
        <v>331</v>
      </c>
      <c r="D399" s="198"/>
      <c r="E399" s="198"/>
      <c r="F399" s="198"/>
      <c r="G399" s="198"/>
      <c r="H399" s="198"/>
      <c r="I399" s="198"/>
    </row>
    <row r="400" spans="1:9" x14ac:dyDescent="0.3">
      <c r="C400" s="200"/>
      <c r="D400" s="200"/>
      <c r="E400" s="200"/>
      <c r="F400" s="200"/>
      <c r="G400" s="200"/>
      <c r="H400" s="200"/>
      <c r="I400" s="200"/>
    </row>
    <row r="401" spans="1:9" ht="14.4" x14ac:dyDescent="0.3">
      <c r="A401" s="177" t="s">
        <v>332</v>
      </c>
      <c r="B401" s="203" t="s">
        <v>333</v>
      </c>
      <c r="C401" s="198"/>
      <c r="D401" s="198"/>
      <c r="E401" s="198"/>
      <c r="F401" s="198"/>
      <c r="G401" s="198"/>
      <c r="H401" s="198"/>
      <c r="I401" s="198"/>
    </row>
    <row r="402" spans="1:9" ht="14.4" x14ac:dyDescent="0.3">
      <c r="A402" s="3"/>
      <c r="B402" s="204" t="s">
        <v>6</v>
      </c>
      <c r="C402" s="198"/>
      <c r="D402" s="198"/>
      <c r="E402" s="198"/>
      <c r="F402" s="198"/>
      <c r="G402" s="198"/>
      <c r="H402" s="198"/>
      <c r="I402" s="198"/>
    </row>
    <row r="403" spans="1:9" ht="14.4" x14ac:dyDescent="0.3">
      <c r="A403" s="60"/>
      <c r="B403" s="200" t="s">
        <v>334</v>
      </c>
      <c r="C403" s="198"/>
      <c r="D403" s="198"/>
      <c r="E403" s="198"/>
      <c r="F403" s="198"/>
      <c r="G403" s="198"/>
      <c r="H403" s="198"/>
      <c r="I403" s="198"/>
    </row>
    <row r="404" spans="1:9" ht="81.900000000000006" customHeight="1" x14ac:dyDescent="0.3">
      <c r="A404" s="60"/>
      <c r="B404" s="201" t="s">
        <v>335</v>
      </c>
      <c r="C404" s="202"/>
      <c r="D404" s="202"/>
      <c r="E404" s="202"/>
      <c r="F404" s="202"/>
      <c r="G404" s="202"/>
      <c r="H404" s="202"/>
      <c r="I404" s="202"/>
    </row>
    <row r="405" spans="1:9" ht="14.4" x14ac:dyDescent="0.3">
      <c r="A405" s="170"/>
      <c r="B405" s="205"/>
      <c r="C405" s="206"/>
      <c r="D405" s="206"/>
      <c r="E405" s="206"/>
      <c r="F405" s="206"/>
      <c r="G405" s="206"/>
      <c r="H405" s="206"/>
      <c r="I405" s="206"/>
    </row>
    <row r="406" spans="1:9" ht="14.4" x14ac:dyDescent="0.3">
      <c r="A406" s="60"/>
      <c r="B406" s="204" t="s">
        <v>0</v>
      </c>
      <c r="C406" s="198"/>
      <c r="D406" s="198"/>
      <c r="E406" s="198"/>
      <c r="F406" s="198"/>
      <c r="G406" s="198"/>
      <c r="H406" s="198"/>
      <c r="I406" s="198"/>
    </row>
    <row r="407" spans="1:9" ht="14.4" x14ac:dyDescent="0.3">
      <c r="B407" s="166" t="s">
        <v>8</v>
      </c>
      <c r="C407" s="200" t="s">
        <v>187</v>
      </c>
      <c r="D407" s="198"/>
      <c r="E407" s="198"/>
      <c r="F407" s="198"/>
      <c r="G407" s="198"/>
      <c r="H407" s="198"/>
      <c r="I407" s="198"/>
    </row>
    <row r="408" spans="1:9" ht="27.9" customHeight="1" x14ac:dyDescent="0.3">
      <c r="B408" s="166" t="s">
        <v>8</v>
      </c>
      <c r="C408" s="200" t="s">
        <v>336</v>
      </c>
      <c r="D408" s="198"/>
      <c r="E408" s="198"/>
      <c r="F408" s="198"/>
      <c r="G408" s="198"/>
      <c r="H408" s="198"/>
      <c r="I408" s="198"/>
    </row>
    <row r="410" spans="1:9" ht="14.4" x14ac:dyDescent="0.3">
      <c r="A410" s="177" t="s">
        <v>337</v>
      </c>
      <c r="B410" s="203" t="s">
        <v>338</v>
      </c>
      <c r="C410" s="198"/>
      <c r="D410" s="198"/>
      <c r="E410" s="198"/>
      <c r="F410" s="198"/>
      <c r="G410" s="198"/>
      <c r="H410" s="198"/>
      <c r="I410" s="198"/>
    </row>
    <row r="411" spans="1:9" ht="14.4" x14ac:dyDescent="0.3">
      <c r="A411" s="3"/>
      <c r="B411" s="204" t="s">
        <v>6</v>
      </c>
      <c r="C411" s="198"/>
      <c r="D411" s="198"/>
      <c r="E411" s="198"/>
      <c r="F411" s="198"/>
      <c r="G411" s="198"/>
      <c r="H411" s="198"/>
      <c r="I411" s="198"/>
    </row>
    <row r="412" spans="1:9" ht="27.9" customHeight="1" x14ac:dyDescent="0.3">
      <c r="A412" s="60"/>
      <c r="B412" s="200" t="s">
        <v>339</v>
      </c>
      <c r="C412" s="198"/>
      <c r="D412" s="198"/>
      <c r="E412" s="198"/>
      <c r="F412" s="198"/>
      <c r="G412" s="198"/>
      <c r="H412" s="198"/>
      <c r="I412" s="198"/>
    </row>
    <row r="413" spans="1:9" ht="14.4" x14ac:dyDescent="0.3">
      <c r="A413" s="60"/>
      <c r="C413" s="165"/>
      <c r="D413" s="165"/>
      <c r="E413" s="165"/>
      <c r="F413" s="165"/>
      <c r="G413" s="165"/>
      <c r="H413" s="165"/>
      <c r="I413" s="165"/>
    </row>
    <row r="414" spans="1:9" ht="14.4" x14ac:dyDescent="0.3">
      <c r="A414" s="60"/>
      <c r="B414" s="204" t="s">
        <v>0</v>
      </c>
      <c r="C414" s="198"/>
      <c r="D414" s="198"/>
      <c r="E414" s="198"/>
      <c r="F414" s="198"/>
      <c r="G414" s="198"/>
      <c r="H414" s="198"/>
      <c r="I414" s="198"/>
    </row>
    <row r="415" spans="1:9" ht="14.4" x14ac:dyDescent="0.3">
      <c r="B415" s="166" t="s">
        <v>8</v>
      </c>
      <c r="C415" s="200" t="s">
        <v>340</v>
      </c>
      <c r="D415" s="198"/>
      <c r="E415" s="198"/>
      <c r="F415" s="198"/>
      <c r="G415" s="198"/>
      <c r="H415" s="198"/>
      <c r="I415" s="198"/>
    </row>
    <row r="416" spans="1:9" ht="26.4" customHeight="1" x14ac:dyDescent="0.3">
      <c r="B416" s="166" t="s">
        <v>8</v>
      </c>
      <c r="C416" s="200" t="s">
        <v>341</v>
      </c>
      <c r="D416" s="198"/>
      <c r="E416" s="198"/>
      <c r="F416" s="198"/>
      <c r="G416" s="198"/>
      <c r="H416" s="198"/>
      <c r="I416" s="198"/>
    </row>
    <row r="417" spans="1:9" ht="25.5" customHeight="1" x14ac:dyDescent="0.3">
      <c r="B417" s="166" t="s">
        <v>8</v>
      </c>
      <c r="C417" s="200" t="s">
        <v>342</v>
      </c>
      <c r="D417" s="198"/>
      <c r="E417" s="198"/>
      <c r="F417" s="198"/>
      <c r="G417" s="198"/>
      <c r="H417" s="198"/>
      <c r="I417" s="198"/>
    </row>
    <row r="418" spans="1:9" ht="14.4" x14ac:dyDescent="0.3">
      <c r="A418" s="176"/>
      <c r="B418" s="167"/>
      <c r="C418" s="165"/>
      <c r="D418" s="165"/>
      <c r="E418" s="165"/>
      <c r="F418" s="165"/>
      <c r="G418" s="165"/>
      <c r="H418" s="165"/>
      <c r="I418" s="165"/>
    </row>
    <row r="419" spans="1:9" x14ac:dyDescent="0.3">
      <c r="A419" s="177" t="s">
        <v>343</v>
      </c>
      <c r="B419" s="203" t="s">
        <v>344</v>
      </c>
      <c r="C419" s="203"/>
      <c r="D419" s="203"/>
      <c r="E419" s="203"/>
      <c r="F419" s="203"/>
      <c r="G419" s="203"/>
      <c r="H419" s="203"/>
      <c r="I419" s="203"/>
    </row>
    <row r="420" spans="1:9" x14ac:dyDescent="0.3">
      <c r="A420" s="3"/>
      <c r="B420" s="204" t="s">
        <v>6</v>
      </c>
      <c r="C420" s="204"/>
      <c r="D420" s="204"/>
      <c r="E420" s="204"/>
      <c r="F420" s="204"/>
      <c r="G420" s="204"/>
      <c r="H420" s="204"/>
      <c r="I420" s="204"/>
    </row>
    <row r="421" spans="1:9" ht="42" customHeight="1" x14ac:dyDescent="0.3">
      <c r="A421" s="60"/>
      <c r="B421" s="200" t="s">
        <v>345</v>
      </c>
      <c r="C421" s="200"/>
      <c r="D421" s="200"/>
      <c r="E421" s="200"/>
      <c r="F421" s="200"/>
      <c r="G421" s="200"/>
      <c r="H421" s="200"/>
      <c r="I421" s="200"/>
    </row>
    <row r="422" spans="1:9" x14ac:dyDescent="0.3">
      <c r="A422" s="60"/>
      <c r="B422" s="213"/>
      <c r="C422" s="213"/>
      <c r="D422" s="213"/>
      <c r="E422" s="213"/>
      <c r="F422" s="213"/>
      <c r="G422" s="213"/>
      <c r="H422" s="213"/>
      <c r="I422" s="213"/>
    </row>
    <row r="423" spans="1:9" x14ac:dyDescent="0.3">
      <c r="A423" s="60"/>
      <c r="B423" s="204" t="s">
        <v>0</v>
      </c>
      <c r="C423" s="204"/>
      <c r="D423" s="204"/>
      <c r="E423" s="204"/>
      <c r="F423" s="204"/>
      <c r="G423" s="204"/>
      <c r="H423" s="204"/>
      <c r="I423" s="204"/>
    </row>
    <row r="424" spans="1:9" ht="14.4" x14ac:dyDescent="0.3">
      <c r="B424" s="166" t="s">
        <v>8</v>
      </c>
      <c r="C424" s="200" t="s">
        <v>70</v>
      </c>
      <c r="D424" s="198"/>
      <c r="E424" s="198"/>
      <c r="F424" s="198"/>
      <c r="G424" s="198"/>
      <c r="H424" s="198"/>
      <c r="I424" s="198"/>
    </row>
    <row r="425" spans="1:9" ht="42.9" customHeight="1" x14ac:dyDescent="0.3">
      <c r="B425" s="166" t="s">
        <v>8</v>
      </c>
      <c r="C425" s="200" t="s">
        <v>346</v>
      </c>
      <c r="D425" s="198"/>
      <c r="E425" s="198"/>
      <c r="F425" s="198"/>
      <c r="G425" s="198"/>
      <c r="H425" s="198"/>
      <c r="I425" s="198"/>
    </row>
    <row r="427" spans="1:9" ht="16.2" x14ac:dyDescent="0.35">
      <c r="A427" s="142" t="s">
        <v>347</v>
      </c>
      <c r="B427" s="195" t="s">
        <v>348</v>
      </c>
      <c r="C427" s="196"/>
      <c r="D427" s="196"/>
      <c r="E427" s="196"/>
      <c r="F427" s="196"/>
      <c r="G427" s="196"/>
      <c r="H427" s="196"/>
      <c r="I427" s="196"/>
    </row>
    <row r="428" spans="1:9" x14ac:dyDescent="0.3">
      <c r="A428" s="170"/>
      <c r="B428" s="168"/>
      <c r="C428" s="168"/>
      <c r="D428" s="168"/>
      <c r="E428" s="168"/>
      <c r="F428" s="168"/>
      <c r="G428" s="168"/>
      <c r="H428" s="168"/>
      <c r="I428" s="168"/>
    </row>
    <row r="429" spans="1:9" ht="14.4" x14ac:dyDescent="0.3">
      <c r="A429" s="176" t="s">
        <v>349</v>
      </c>
      <c r="B429" s="203" t="s">
        <v>145</v>
      </c>
      <c r="C429" s="198"/>
      <c r="D429" s="198"/>
      <c r="E429" s="198"/>
      <c r="F429" s="198"/>
      <c r="G429" s="198"/>
      <c r="H429" s="198"/>
      <c r="I429" s="198"/>
    </row>
    <row r="430" spans="1:9" x14ac:dyDescent="0.3">
      <c r="A430" s="170"/>
      <c r="B430" s="168"/>
      <c r="C430" s="168"/>
      <c r="D430" s="168"/>
      <c r="E430" s="168"/>
      <c r="F430" s="168"/>
      <c r="G430" s="168"/>
      <c r="H430" s="168"/>
      <c r="I430" s="168"/>
    </row>
    <row r="431" spans="1:9" ht="14.4" x14ac:dyDescent="0.3">
      <c r="A431" s="177" t="s">
        <v>350</v>
      </c>
      <c r="B431" s="203" t="s">
        <v>351</v>
      </c>
      <c r="C431" s="198"/>
      <c r="D431" s="198"/>
      <c r="E431" s="198"/>
      <c r="F431" s="198"/>
      <c r="G431" s="198"/>
      <c r="H431" s="198"/>
      <c r="I431" s="198"/>
    </row>
    <row r="432" spans="1:9" ht="14.4" x14ac:dyDescent="0.3">
      <c r="A432" s="3"/>
      <c r="B432" s="204" t="s">
        <v>6</v>
      </c>
      <c r="C432" s="198"/>
      <c r="D432" s="198"/>
      <c r="E432" s="198"/>
      <c r="F432" s="198"/>
      <c r="G432" s="198"/>
      <c r="H432" s="198"/>
      <c r="I432" s="198"/>
    </row>
    <row r="433" spans="1:9" ht="35.1" customHeight="1" x14ac:dyDescent="0.3">
      <c r="A433" s="60"/>
      <c r="B433" s="200" t="s">
        <v>352</v>
      </c>
      <c r="C433" s="198"/>
      <c r="D433" s="198"/>
      <c r="E433" s="198"/>
      <c r="F433" s="198"/>
      <c r="G433" s="198"/>
      <c r="H433" s="198"/>
      <c r="I433" s="198"/>
    </row>
    <row r="434" spans="1:9" ht="36.9" customHeight="1" x14ac:dyDescent="0.3">
      <c r="A434" s="170"/>
      <c r="B434" s="200" t="s">
        <v>353</v>
      </c>
      <c r="C434" s="198"/>
      <c r="D434" s="198"/>
      <c r="E434" s="198"/>
      <c r="F434" s="198"/>
      <c r="G434" s="198"/>
      <c r="H434" s="198"/>
      <c r="I434" s="198"/>
    </row>
    <row r="435" spans="1:9" ht="30.9" customHeight="1" x14ac:dyDescent="0.3">
      <c r="A435" s="170"/>
      <c r="B435" s="200" t="s">
        <v>354</v>
      </c>
      <c r="C435" s="198"/>
      <c r="D435" s="198"/>
      <c r="E435" s="198"/>
      <c r="F435" s="198"/>
      <c r="G435" s="198"/>
      <c r="H435" s="198"/>
      <c r="I435" s="198"/>
    </row>
    <row r="436" spans="1:9" ht="11.1" customHeight="1" x14ac:dyDescent="0.3">
      <c r="A436" s="170"/>
      <c r="C436" s="165"/>
      <c r="D436" s="165"/>
      <c r="E436" s="165"/>
      <c r="F436" s="165"/>
      <c r="G436" s="165"/>
      <c r="H436" s="165"/>
      <c r="I436" s="165"/>
    </row>
    <row r="437" spans="1:9" ht="14.4" x14ac:dyDescent="0.3">
      <c r="A437" s="60"/>
      <c r="B437" s="204" t="s">
        <v>0</v>
      </c>
      <c r="C437" s="198"/>
      <c r="D437" s="198"/>
      <c r="E437" s="198"/>
      <c r="F437" s="198"/>
      <c r="G437" s="198"/>
      <c r="H437" s="198"/>
      <c r="I437" s="198"/>
    </row>
    <row r="438" spans="1:9" ht="14.4" x14ac:dyDescent="0.3">
      <c r="B438" s="166" t="s">
        <v>8</v>
      </c>
      <c r="C438" s="200" t="s">
        <v>187</v>
      </c>
      <c r="D438" s="198"/>
      <c r="E438" s="198"/>
      <c r="F438" s="198"/>
      <c r="G438" s="198"/>
      <c r="H438" s="198"/>
      <c r="I438" s="198"/>
    </row>
    <row r="439" spans="1:9" ht="26.4" customHeight="1" x14ac:dyDescent="0.3">
      <c r="B439" s="166" t="s">
        <v>8</v>
      </c>
      <c r="C439" s="200" t="s">
        <v>355</v>
      </c>
      <c r="D439" s="198"/>
      <c r="E439" s="198"/>
      <c r="F439" s="198"/>
      <c r="G439" s="198"/>
      <c r="H439" s="198"/>
      <c r="I439" s="198"/>
    </row>
    <row r="440" spans="1:9" ht="14.4" x14ac:dyDescent="0.3">
      <c r="B440" s="166" t="s">
        <v>8</v>
      </c>
      <c r="C440" s="200" t="s">
        <v>356</v>
      </c>
      <c r="D440" s="198"/>
      <c r="E440" s="198"/>
      <c r="F440" s="198"/>
      <c r="G440" s="198"/>
      <c r="H440" s="198"/>
      <c r="I440" s="198"/>
    </row>
    <row r="441" spans="1:9" ht="15.9" customHeight="1" x14ac:dyDescent="0.3">
      <c r="B441" s="166" t="s">
        <v>8</v>
      </c>
      <c r="C441" s="200" t="s">
        <v>357</v>
      </c>
      <c r="D441" s="198"/>
      <c r="E441" s="198"/>
      <c r="F441" s="198"/>
      <c r="G441" s="198"/>
      <c r="H441" s="198"/>
      <c r="I441" s="198"/>
    </row>
    <row r="443" spans="1:9" ht="14.4" x14ac:dyDescent="0.3">
      <c r="A443" s="177" t="s">
        <v>358</v>
      </c>
      <c r="B443" s="203" t="s">
        <v>359</v>
      </c>
      <c r="C443" s="198"/>
      <c r="D443" s="198"/>
      <c r="E443" s="198"/>
      <c r="F443" s="198"/>
      <c r="G443" s="198"/>
      <c r="H443" s="198"/>
      <c r="I443" s="198"/>
    </row>
    <row r="444" spans="1:9" ht="14.4" x14ac:dyDescent="0.3">
      <c r="A444" s="3"/>
      <c r="B444" s="204" t="s">
        <v>6</v>
      </c>
      <c r="C444" s="198"/>
      <c r="D444" s="198"/>
      <c r="E444" s="198"/>
      <c r="F444" s="198"/>
      <c r="G444" s="198"/>
      <c r="H444" s="198"/>
      <c r="I444" s="198"/>
    </row>
    <row r="445" spans="1:9" ht="39.6" customHeight="1" x14ac:dyDescent="0.3">
      <c r="A445" s="60"/>
      <c r="B445" s="200" t="s">
        <v>360</v>
      </c>
      <c r="C445" s="198"/>
      <c r="D445" s="198"/>
      <c r="E445" s="198"/>
      <c r="F445" s="198"/>
      <c r="G445" s="198"/>
      <c r="H445" s="198"/>
      <c r="I445" s="198"/>
    </row>
    <row r="446" spans="1:9" ht="14.4" x14ac:dyDescent="0.3">
      <c r="A446" s="170"/>
      <c r="B446" s="205"/>
      <c r="C446" s="206"/>
      <c r="D446" s="206"/>
      <c r="E446" s="206"/>
      <c r="F446" s="206"/>
      <c r="G446" s="206"/>
      <c r="H446" s="206"/>
      <c r="I446" s="206"/>
    </row>
    <row r="447" spans="1:9" ht="14.4" x14ac:dyDescent="0.3">
      <c r="A447" s="60"/>
      <c r="B447" s="204" t="s">
        <v>0</v>
      </c>
      <c r="C447" s="198"/>
      <c r="D447" s="198"/>
      <c r="E447" s="198"/>
      <c r="F447" s="198"/>
      <c r="G447" s="198"/>
      <c r="H447" s="198"/>
      <c r="I447" s="198"/>
    </row>
    <row r="448" spans="1:9" ht="14.4" x14ac:dyDescent="0.3">
      <c r="B448" s="166" t="s">
        <v>8</v>
      </c>
      <c r="C448" s="200" t="s">
        <v>187</v>
      </c>
      <c r="D448" s="198"/>
      <c r="E448" s="198"/>
      <c r="F448" s="198"/>
      <c r="G448" s="198"/>
      <c r="H448" s="198"/>
      <c r="I448" s="198"/>
    </row>
    <row r="449" spans="1:9" ht="15.6" customHeight="1" x14ac:dyDescent="0.3">
      <c r="B449" s="166" t="s">
        <v>8</v>
      </c>
      <c r="C449" s="200" t="s">
        <v>361</v>
      </c>
      <c r="D449" s="198"/>
      <c r="E449" s="198"/>
      <c r="F449" s="198"/>
      <c r="G449" s="198"/>
      <c r="H449" s="198"/>
      <c r="I449" s="198"/>
    </row>
    <row r="450" spans="1:9" ht="14.1" customHeight="1" x14ac:dyDescent="0.3">
      <c r="B450" s="166" t="s">
        <v>8</v>
      </c>
      <c r="C450" s="200" t="s">
        <v>362</v>
      </c>
      <c r="D450" s="198"/>
      <c r="E450" s="198"/>
      <c r="F450" s="198"/>
      <c r="G450" s="198"/>
      <c r="H450" s="198"/>
      <c r="I450" s="198"/>
    </row>
    <row r="451" spans="1:9" ht="29.4" customHeight="1" x14ac:dyDescent="0.3">
      <c r="B451" s="166" t="s">
        <v>8</v>
      </c>
      <c r="C451" s="200" t="s">
        <v>363</v>
      </c>
      <c r="D451" s="198"/>
      <c r="E451" s="198"/>
      <c r="F451" s="198"/>
      <c r="G451" s="198"/>
      <c r="H451" s="198"/>
      <c r="I451" s="198"/>
    </row>
    <row r="452" spans="1:9" ht="21" customHeight="1" x14ac:dyDescent="0.3">
      <c r="D452" s="165"/>
      <c r="E452" s="165"/>
      <c r="F452" s="165"/>
      <c r="G452" s="165"/>
      <c r="H452" s="165"/>
      <c r="I452" s="165"/>
    </row>
    <row r="453" spans="1:9" ht="14.4" x14ac:dyDescent="0.3">
      <c r="A453" s="176" t="s">
        <v>364</v>
      </c>
      <c r="B453" s="203" t="s">
        <v>74</v>
      </c>
      <c r="C453" s="198"/>
      <c r="D453" s="198"/>
      <c r="E453" s="198"/>
      <c r="F453" s="198"/>
      <c r="G453" s="198"/>
      <c r="H453" s="198"/>
      <c r="I453" s="198"/>
    </row>
    <row r="454" spans="1:9" ht="14.4" x14ac:dyDescent="0.3">
      <c r="C454" s="165"/>
      <c r="D454" s="165"/>
      <c r="E454" s="165"/>
      <c r="F454" s="165"/>
      <c r="G454" s="165"/>
      <c r="H454" s="165"/>
      <c r="I454" s="165"/>
    </row>
    <row r="455" spans="1:9" ht="14.4" x14ac:dyDescent="0.3">
      <c r="A455" s="177" t="s">
        <v>365</v>
      </c>
      <c r="B455" s="203" t="s">
        <v>366</v>
      </c>
      <c r="C455" s="198"/>
      <c r="D455" s="198"/>
      <c r="E455" s="198"/>
      <c r="F455" s="198"/>
      <c r="G455" s="198"/>
      <c r="H455" s="198"/>
      <c r="I455" s="198"/>
    </row>
    <row r="456" spans="1:9" ht="14.4" x14ac:dyDescent="0.3">
      <c r="A456" s="3"/>
      <c r="B456" s="204" t="s">
        <v>6</v>
      </c>
      <c r="C456" s="198"/>
      <c r="D456" s="198"/>
      <c r="E456" s="198"/>
      <c r="F456" s="198"/>
      <c r="G456" s="198"/>
      <c r="H456" s="198"/>
      <c r="I456" s="198"/>
    </row>
    <row r="457" spans="1:9" ht="81" customHeight="1" x14ac:dyDescent="0.3">
      <c r="A457" s="60"/>
      <c r="B457" s="200" t="s">
        <v>367</v>
      </c>
      <c r="C457" s="198"/>
      <c r="D457" s="198"/>
      <c r="E457" s="198"/>
      <c r="F457" s="198"/>
      <c r="G457" s="198"/>
      <c r="H457" s="198"/>
      <c r="I457" s="198"/>
    </row>
    <row r="458" spans="1:9" ht="14.4" x14ac:dyDescent="0.3">
      <c r="A458" s="170"/>
      <c r="B458" s="205"/>
      <c r="C458" s="206"/>
      <c r="D458" s="206"/>
      <c r="E458" s="206"/>
      <c r="F458" s="206"/>
      <c r="G458" s="206"/>
      <c r="H458" s="206"/>
      <c r="I458" s="206"/>
    </row>
    <row r="459" spans="1:9" ht="14.4" x14ac:dyDescent="0.3">
      <c r="A459" s="60"/>
      <c r="B459" s="204" t="s">
        <v>0</v>
      </c>
      <c r="C459" s="198"/>
      <c r="D459" s="198"/>
      <c r="E459" s="198"/>
      <c r="F459" s="198"/>
      <c r="G459" s="198"/>
      <c r="H459" s="198"/>
      <c r="I459" s="198"/>
    </row>
    <row r="460" spans="1:9" ht="14.4" x14ac:dyDescent="0.3">
      <c r="B460" s="166" t="s">
        <v>8</v>
      </c>
      <c r="C460" s="200" t="s">
        <v>187</v>
      </c>
      <c r="D460" s="198"/>
      <c r="E460" s="198"/>
      <c r="F460" s="198"/>
      <c r="G460" s="198"/>
      <c r="H460" s="198"/>
      <c r="I460" s="198"/>
    </row>
    <row r="461" spans="1:9" ht="14.4" x14ac:dyDescent="0.3">
      <c r="B461" s="166" t="s">
        <v>8</v>
      </c>
      <c r="C461" s="200" t="s">
        <v>368</v>
      </c>
      <c r="D461" s="198"/>
      <c r="E461" s="198"/>
      <c r="F461" s="198"/>
      <c r="G461" s="198"/>
      <c r="H461" s="198"/>
      <c r="I461" s="198"/>
    </row>
    <row r="462" spans="1:9" ht="26.4" customHeight="1" x14ac:dyDescent="0.3">
      <c r="B462" s="166" t="s">
        <v>8</v>
      </c>
      <c r="C462" s="200" t="s">
        <v>369</v>
      </c>
      <c r="D462" s="198"/>
      <c r="E462" s="198"/>
      <c r="F462" s="198"/>
      <c r="G462" s="198"/>
      <c r="H462" s="198"/>
      <c r="I462" s="198"/>
    </row>
    <row r="463" spans="1:9" ht="25.5" customHeight="1" x14ac:dyDescent="0.3">
      <c r="B463" s="166" t="s">
        <v>8</v>
      </c>
      <c r="C463" s="200" t="s">
        <v>370</v>
      </c>
      <c r="D463" s="198"/>
      <c r="E463" s="198"/>
      <c r="F463" s="198"/>
      <c r="G463" s="198"/>
      <c r="H463" s="198"/>
      <c r="I463" s="198"/>
    </row>
    <row r="464" spans="1:9" ht="39.6" customHeight="1" x14ac:dyDescent="0.3">
      <c r="B464" s="166" t="s">
        <v>8</v>
      </c>
      <c r="C464" s="200" t="s">
        <v>371</v>
      </c>
      <c r="D464" s="198"/>
      <c r="E464" s="198"/>
      <c r="F464" s="198"/>
      <c r="G464" s="198"/>
      <c r="H464" s="198"/>
      <c r="I464" s="198"/>
    </row>
    <row r="465" spans="1:9" ht="27" customHeight="1" x14ac:dyDescent="0.3">
      <c r="B465" s="166" t="s">
        <v>8</v>
      </c>
      <c r="C465" s="200" t="s">
        <v>372</v>
      </c>
      <c r="D465" s="198"/>
      <c r="E465" s="198"/>
      <c r="F465" s="198"/>
      <c r="G465" s="198"/>
      <c r="H465" s="198"/>
      <c r="I465" s="198"/>
    </row>
    <row r="466" spans="1:9" ht="40.5" customHeight="1" x14ac:dyDescent="0.3">
      <c r="B466" s="166" t="s">
        <v>8</v>
      </c>
      <c r="C466" s="200" t="s">
        <v>373</v>
      </c>
      <c r="D466" s="198"/>
      <c r="E466" s="198"/>
      <c r="F466" s="198"/>
      <c r="G466" s="198"/>
      <c r="H466" s="198"/>
      <c r="I466" s="198"/>
    </row>
    <row r="467" spans="1:9" ht="27" customHeight="1" x14ac:dyDescent="0.3">
      <c r="B467" s="166" t="s">
        <v>8</v>
      </c>
      <c r="C467" s="200" t="s">
        <v>374</v>
      </c>
      <c r="D467" s="198"/>
      <c r="E467" s="198"/>
      <c r="F467" s="198"/>
      <c r="G467" s="198"/>
      <c r="H467" s="198"/>
      <c r="I467" s="198"/>
    </row>
    <row r="468" spans="1:9" ht="26.1" customHeight="1" x14ac:dyDescent="0.3">
      <c r="B468" s="166" t="s">
        <v>8</v>
      </c>
      <c r="C468" s="200" t="s">
        <v>375</v>
      </c>
      <c r="D468" s="198"/>
      <c r="E468" s="198"/>
      <c r="F468" s="198"/>
      <c r="G468" s="198"/>
      <c r="H468" s="198"/>
      <c r="I468" s="198"/>
    </row>
    <row r="469" spans="1:9" ht="14.4" x14ac:dyDescent="0.3">
      <c r="D469" s="165"/>
      <c r="E469" s="165"/>
      <c r="F469" s="165"/>
      <c r="G469" s="165"/>
      <c r="H469" s="165"/>
      <c r="I469" s="165"/>
    </row>
    <row r="470" spans="1:9" ht="14.4" x14ac:dyDescent="0.3">
      <c r="A470" s="177" t="s">
        <v>376</v>
      </c>
      <c r="B470" s="203" t="s">
        <v>377</v>
      </c>
      <c r="C470" s="198"/>
      <c r="D470" s="198"/>
      <c r="E470" s="198"/>
      <c r="F470" s="198"/>
      <c r="G470" s="198"/>
      <c r="H470" s="198"/>
      <c r="I470" s="198"/>
    </row>
    <row r="471" spans="1:9" ht="14.4" x14ac:dyDescent="0.3">
      <c r="A471" s="3"/>
      <c r="B471" s="204" t="s">
        <v>6</v>
      </c>
      <c r="C471" s="198"/>
      <c r="D471" s="198"/>
      <c r="E471" s="198"/>
      <c r="F471" s="198"/>
      <c r="G471" s="198"/>
      <c r="H471" s="198"/>
      <c r="I471" s="198"/>
    </row>
    <row r="472" spans="1:9" ht="40.5" customHeight="1" x14ac:dyDescent="0.3">
      <c r="A472" s="60"/>
      <c r="B472" s="200" t="s">
        <v>378</v>
      </c>
      <c r="C472" s="198"/>
      <c r="D472" s="198"/>
      <c r="E472" s="198"/>
      <c r="F472" s="198"/>
      <c r="G472" s="198"/>
      <c r="H472" s="198"/>
      <c r="I472" s="198"/>
    </row>
    <row r="473" spans="1:9" ht="14.4" x14ac:dyDescent="0.3">
      <c r="A473" s="170"/>
      <c r="B473" s="205"/>
      <c r="C473" s="206"/>
      <c r="D473" s="206"/>
      <c r="E473" s="206"/>
      <c r="F473" s="206"/>
      <c r="G473" s="206"/>
      <c r="H473" s="206"/>
      <c r="I473" s="206"/>
    </row>
    <row r="474" spans="1:9" ht="14.4" x14ac:dyDescent="0.3">
      <c r="A474" s="60"/>
      <c r="B474" s="204" t="s">
        <v>0</v>
      </c>
      <c r="C474" s="198"/>
      <c r="D474" s="198"/>
      <c r="E474" s="198"/>
      <c r="F474" s="198"/>
      <c r="G474" s="198"/>
      <c r="H474" s="198"/>
      <c r="I474" s="198"/>
    </row>
    <row r="475" spans="1:9" ht="14.4" x14ac:dyDescent="0.3">
      <c r="B475" s="166" t="s">
        <v>8</v>
      </c>
      <c r="C475" s="200" t="s">
        <v>187</v>
      </c>
      <c r="D475" s="198"/>
      <c r="E475" s="198"/>
      <c r="F475" s="198"/>
      <c r="G475" s="198"/>
      <c r="H475" s="198"/>
      <c r="I475" s="198"/>
    </row>
    <row r="476" spans="1:9" ht="41.4" customHeight="1" x14ac:dyDescent="0.3">
      <c r="B476" s="166" t="s">
        <v>8</v>
      </c>
      <c r="C476" s="200" t="s">
        <v>379</v>
      </c>
      <c r="D476" s="198"/>
      <c r="E476" s="198"/>
      <c r="F476" s="198"/>
      <c r="G476" s="198"/>
      <c r="H476" s="198"/>
      <c r="I476" s="198"/>
    </row>
    <row r="477" spans="1:9" ht="26.4" customHeight="1" x14ac:dyDescent="0.3">
      <c r="B477" s="166" t="s">
        <v>8</v>
      </c>
      <c r="C477" s="200" t="s">
        <v>380</v>
      </c>
      <c r="D477" s="198"/>
      <c r="E477" s="198"/>
      <c r="F477" s="198"/>
      <c r="G477" s="198"/>
      <c r="H477" s="198"/>
      <c r="I477" s="198"/>
    </row>
    <row r="478" spans="1:9" ht="27.6" customHeight="1" x14ac:dyDescent="0.3">
      <c r="B478" s="166" t="s">
        <v>8</v>
      </c>
      <c r="C478" s="200" t="s">
        <v>381</v>
      </c>
      <c r="D478" s="198"/>
      <c r="E478" s="198"/>
      <c r="F478" s="198"/>
      <c r="G478" s="198"/>
      <c r="H478" s="198"/>
      <c r="I478" s="198"/>
    </row>
    <row r="479" spans="1:9" x14ac:dyDescent="0.3">
      <c r="A479" s="170"/>
      <c r="B479" s="168"/>
      <c r="C479" s="168"/>
      <c r="D479" s="168"/>
      <c r="E479" s="168"/>
      <c r="F479" s="168"/>
      <c r="G479" s="168"/>
      <c r="H479" s="168"/>
      <c r="I479" s="168"/>
    </row>
    <row r="480" spans="1:9" ht="14.4" x14ac:dyDescent="0.3">
      <c r="A480" s="177" t="s">
        <v>382</v>
      </c>
      <c r="B480" s="203" t="s">
        <v>383</v>
      </c>
      <c r="C480" s="198"/>
      <c r="D480" s="198"/>
      <c r="E480" s="198"/>
      <c r="F480" s="198"/>
      <c r="G480" s="198"/>
      <c r="H480" s="198"/>
      <c r="I480" s="198"/>
    </row>
    <row r="481" spans="1:9" ht="14.4" x14ac:dyDescent="0.3">
      <c r="A481" s="3"/>
      <c r="B481" s="204" t="s">
        <v>6</v>
      </c>
      <c r="C481" s="198"/>
      <c r="D481" s="198"/>
      <c r="E481" s="198"/>
      <c r="F481" s="198"/>
      <c r="G481" s="198"/>
      <c r="H481" s="198"/>
      <c r="I481" s="198"/>
    </row>
    <row r="482" spans="1:9" ht="28.5" customHeight="1" x14ac:dyDescent="0.3">
      <c r="A482" s="60"/>
      <c r="B482" s="200" t="s">
        <v>384</v>
      </c>
      <c r="C482" s="198"/>
      <c r="D482" s="198"/>
      <c r="E482" s="198"/>
      <c r="F482" s="198"/>
      <c r="G482" s="198"/>
      <c r="H482" s="198"/>
      <c r="I482" s="198"/>
    </row>
    <row r="483" spans="1:9" ht="14.4" x14ac:dyDescent="0.3">
      <c r="A483" s="60"/>
      <c r="B483" s="178"/>
      <c r="C483" s="179"/>
      <c r="D483" s="179"/>
      <c r="E483" s="179"/>
      <c r="F483" s="179"/>
      <c r="G483" s="179"/>
      <c r="H483" s="179"/>
      <c r="I483" s="179"/>
    </row>
    <row r="484" spans="1:9" ht="14.4" x14ac:dyDescent="0.3">
      <c r="A484" s="60"/>
      <c r="B484" s="204" t="s">
        <v>0</v>
      </c>
      <c r="C484" s="198"/>
      <c r="D484" s="198"/>
      <c r="E484" s="198"/>
      <c r="F484" s="198"/>
      <c r="G484" s="198"/>
      <c r="H484" s="198"/>
      <c r="I484" s="198"/>
    </row>
    <row r="485" spans="1:9" ht="14.4" x14ac:dyDescent="0.3">
      <c r="B485" s="166" t="s">
        <v>8</v>
      </c>
      <c r="C485" s="200" t="s">
        <v>187</v>
      </c>
      <c r="D485" s="198"/>
      <c r="E485" s="198"/>
      <c r="F485" s="198"/>
      <c r="G485" s="198"/>
      <c r="H485" s="198"/>
      <c r="I485" s="198"/>
    </row>
    <row r="486" spans="1:9" ht="27" customHeight="1" x14ac:dyDescent="0.3">
      <c r="B486" s="166" t="s">
        <v>8</v>
      </c>
      <c r="C486" s="200" t="s">
        <v>385</v>
      </c>
      <c r="D486" s="198"/>
      <c r="E486" s="198"/>
      <c r="F486" s="198"/>
      <c r="G486" s="198"/>
      <c r="H486" s="198"/>
      <c r="I486" s="198"/>
    </row>
    <row r="487" spans="1:9" ht="14.4" customHeight="1" x14ac:dyDescent="0.3">
      <c r="B487" s="166" t="s">
        <v>8</v>
      </c>
      <c r="C487" s="200" t="s">
        <v>386</v>
      </c>
      <c r="D487" s="198"/>
      <c r="E487" s="198"/>
      <c r="F487" s="198"/>
      <c r="G487" s="198"/>
      <c r="H487" s="198"/>
      <c r="I487" s="198"/>
    </row>
    <row r="488" spans="1:9" ht="14.4" x14ac:dyDescent="0.3">
      <c r="D488" s="165"/>
      <c r="E488" s="165"/>
      <c r="F488" s="165"/>
      <c r="H488" s="165"/>
      <c r="I488" s="165"/>
    </row>
    <row r="489" spans="1:9" x14ac:dyDescent="0.3">
      <c r="A489" s="177" t="s">
        <v>387</v>
      </c>
      <c r="B489" s="203" t="s">
        <v>388</v>
      </c>
      <c r="C489" s="203"/>
      <c r="D489" s="203"/>
      <c r="E489" s="203"/>
      <c r="F489" s="203"/>
      <c r="G489" s="203"/>
      <c r="H489" s="203"/>
      <c r="I489" s="203"/>
    </row>
    <row r="490" spans="1:9" x14ac:dyDescent="0.3">
      <c r="A490" s="3"/>
      <c r="B490" s="204" t="s">
        <v>6</v>
      </c>
      <c r="C490" s="204"/>
      <c r="D490" s="204"/>
      <c r="E490" s="204"/>
      <c r="F490" s="204"/>
      <c r="G490" s="204"/>
      <c r="H490" s="204"/>
      <c r="I490" s="204"/>
    </row>
    <row r="491" spans="1:9" ht="29.1" customHeight="1" x14ac:dyDescent="0.3">
      <c r="A491" s="60"/>
      <c r="B491" s="200" t="s">
        <v>389</v>
      </c>
      <c r="C491" s="200"/>
      <c r="D491" s="200"/>
      <c r="E491" s="200"/>
      <c r="F491" s="200"/>
      <c r="G491" s="200"/>
      <c r="H491" s="200"/>
      <c r="I491" s="200"/>
    </row>
    <row r="492" spans="1:9" ht="111.9" customHeight="1" x14ac:dyDescent="0.3">
      <c r="A492" s="60"/>
      <c r="B492" s="201" t="s">
        <v>390</v>
      </c>
      <c r="C492" s="202"/>
      <c r="D492" s="202"/>
      <c r="E492" s="202"/>
      <c r="F492" s="202"/>
      <c r="G492" s="202"/>
      <c r="H492" s="202"/>
      <c r="I492" s="202"/>
    </row>
    <row r="493" spans="1:9" ht="15.6" customHeight="1" x14ac:dyDescent="0.3">
      <c r="A493" s="60"/>
      <c r="B493" s="200" t="s">
        <v>391</v>
      </c>
      <c r="C493" s="198"/>
      <c r="D493" s="198"/>
      <c r="E493" s="198"/>
      <c r="F493" s="198"/>
      <c r="G493" s="198"/>
      <c r="H493" s="198"/>
      <c r="I493" s="198"/>
    </row>
    <row r="494" spans="1:9" ht="15.6" customHeight="1" x14ac:dyDescent="0.3">
      <c r="A494" s="60"/>
      <c r="C494" s="165"/>
      <c r="D494" s="165"/>
      <c r="E494" s="165"/>
      <c r="F494" s="165"/>
      <c r="G494" s="165"/>
      <c r="H494" s="165"/>
      <c r="I494" s="165"/>
    </row>
    <row r="495" spans="1:9" ht="29.1" customHeight="1" x14ac:dyDescent="0.3">
      <c r="A495" s="60"/>
      <c r="B495" s="166" t="s">
        <v>21</v>
      </c>
      <c r="C495" s="207" t="s">
        <v>392</v>
      </c>
      <c r="D495" s="207"/>
      <c r="E495" s="207"/>
      <c r="F495" s="207"/>
      <c r="G495" s="207"/>
      <c r="H495" s="207"/>
      <c r="I495" s="207"/>
    </row>
    <row r="496" spans="1:9" ht="28.5" customHeight="1" x14ac:dyDescent="0.3">
      <c r="A496" s="60"/>
      <c r="B496" s="166" t="s">
        <v>23</v>
      </c>
      <c r="C496" s="207" t="s">
        <v>393</v>
      </c>
      <c r="D496" s="207"/>
      <c r="E496" s="207"/>
      <c r="F496" s="207"/>
      <c r="G496" s="207"/>
      <c r="H496" s="207"/>
      <c r="I496" s="207"/>
    </row>
    <row r="497" spans="1:9" ht="15.6" customHeight="1" x14ac:dyDescent="0.3">
      <c r="A497" s="60"/>
      <c r="B497" s="166" t="s">
        <v>25</v>
      </c>
      <c r="C497" s="207" t="s">
        <v>394</v>
      </c>
      <c r="D497" s="207"/>
      <c r="E497" s="207"/>
      <c r="F497" s="207"/>
      <c r="G497" s="207"/>
      <c r="H497" s="207"/>
      <c r="I497" s="207"/>
    </row>
    <row r="498" spans="1:9" x14ac:dyDescent="0.3">
      <c r="A498" s="170"/>
      <c r="B498" s="205"/>
      <c r="C498" s="205"/>
      <c r="D498" s="205"/>
      <c r="E498" s="205"/>
      <c r="F498" s="205"/>
      <c r="G498" s="205"/>
      <c r="H498" s="205"/>
      <c r="I498" s="205"/>
    </row>
    <row r="499" spans="1:9" x14ac:dyDescent="0.3">
      <c r="A499" s="60"/>
      <c r="B499" s="204" t="s">
        <v>0</v>
      </c>
      <c r="C499" s="204"/>
      <c r="D499" s="204"/>
      <c r="E499" s="204"/>
      <c r="F499" s="204"/>
      <c r="G499" s="204"/>
      <c r="H499" s="204"/>
      <c r="I499" s="204"/>
    </row>
    <row r="500" spans="1:9" x14ac:dyDescent="0.3">
      <c r="B500" s="166" t="s">
        <v>8</v>
      </c>
      <c r="C500" s="200" t="s">
        <v>187</v>
      </c>
      <c r="D500" s="200"/>
      <c r="E500" s="200"/>
      <c r="F500" s="200"/>
      <c r="G500" s="200"/>
      <c r="H500" s="200"/>
      <c r="I500" s="200"/>
    </row>
    <row r="501" spans="1:9" ht="12.6" customHeight="1" x14ac:dyDescent="0.3">
      <c r="B501" s="166" t="s">
        <v>8</v>
      </c>
      <c r="C501" s="200" t="s">
        <v>395</v>
      </c>
      <c r="D501" s="200"/>
      <c r="E501" s="200"/>
      <c r="F501" s="200"/>
      <c r="G501" s="200"/>
      <c r="H501" s="200"/>
      <c r="I501" s="200"/>
    </row>
    <row r="502" spans="1:9" ht="24.9" customHeight="1" x14ac:dyDescent="0.3">
      <c r="B502" s="166" t="s">
        <v>8</v>
      </c>
      <c r="C502" s="200" t="s">
        <v>396</v>
      </c>
      <c r="D502" s="200"/>
      <c r="E502" s="200"/>
      <c r="F502" s="200"/>
      <c r="G502" s="200"/>
      <c r="H502" s="200"/>
      <c r="I502" s="200"/>
    </row>
    <row r="504" spans="1:9" ht="14.4" x14ac:dyDescent="0.3">
      <c r="A504" s="177" t="s">
        <v>397</v>
      </c>
      <c r="B504" s="203" t="s">
        <v>398</v>
      </c>
      <c r="C504" s="198"/>
      <c r="D504" s="198"/>
      <c r="E504" s="198"/>
      <c r="F504" s="198"/>
      <c r="G504" s="198"/>
      <c r="H504" s="198"/>
      <c r="I504" s="198"/>
    </row>
    <row r="505" spans="1:9" ht="14.4" x14ac:dyDescent="0.3">
      <c r="A505" s="3"/>
      <c r="B505" s="204" t="s">
        <v>6</v>
      </c>
      <c r="C505" s="198"/>
      <c r="D505" s="198"/>
      <c r="E505" s="198"/>
      <c r="F505" s="198"/>
      <c r="G505" s="198"/>
      <c r="H505" s="198"/>
      <c r="I505" s="198"/>
    </row>
    <row r="506" spans="1:9" ht="26.1" customHeight="1" x14ac:dyDescent="0.3">
      <c r="A506" s="60"/>
      <c r="B506" s="200" t="s">
        <v>399</v>
      </c>
      <c r="C506" s="198"/>
      <c r="D506" s="198"/>
      <c r="E506" s="198"/>
      <c r="F506" s="198"/>
      <c r="G506" s="198"/>
      <c r="H506" s="198"/>
      <c r="I506" s="198"/>
    </row>
    <row r="507" spans="1:9" ht="14.4" x14ac:dyDescent="0.3">
      <c r="A507" s="170"/>
      <c r="B507" s="205"/>
      <c r="C507" s="206"/>
      <c r="D507" s="206"/>
      <c r="E507" s="206"/>
      <c r="F507" s="206"/>
      <c r="G507" s="206"/>
      <c r="H507" s="206"/>
      <c r="I507" s="206"/>
    </row>
    <row r="508" spans="1:9" ht="14.4" x14ac:dyDescent="0.3">
      <c r="A508" s="60"/>
      <c r="B508" s="204" t="s">
        <v>0</v>
      </c>
      <c r="C508" s="198"/>
      <c r="D508" s="198"/>
      <c r="E508" s="198"/>
      <c r="F508" s="198"/>
      <c r="G508" s="198"/>
      <c r="H508" s="198"/>
      <c r="I508" s="198"/>
    </row>
    <row r="509" spans="1:9" ht="14.4" x14ac:dyDescent="0.3">
      <c r="B509" s="166" t="s">
        <v>8</v>
      </c>
      <c r="C509" s="200" t="s">
        <v>187</v>
      </c>
      <c r="D509" s="198"/>
      <c r="E509" s="198"/>
      <c r="F509" s="198"/>
      <c r="G509" s="198"/>
      <c r="H509" s="198"/>
      <c r="I509" s="198"/>
    </row>
    <row r="510" spans="1:9" ht="14.4" x14ac:dyDescent="0.3">
      <c r="B510" s="166" t="s">
        <v>8</v>
      </c>
      <c r="C510" s="200" t="s">
        <v>400</v>
      </c>
      <c r="D510" s="198"/>
      <c r="E510" s="198"/>
      <c r="F510" s="198"/>
      <c r="G510" s="198"/>
      <c r="H510" s="198"/>
      <c r="I510" s="198"/>
    </row>
    <row r="511" spans="1:9" ht="14.4" x14ac:dyDescent="0.3">
      <c r="B511" s="166" t="s">
        <v>8</v>
      </c>
      <c r="C511" s="200" t="s">
        <v>401</v>
      </c>
      <c r="D511" s="198"/>
      <c r="E511" s="198"/>
      <c r="F511" s="198"/>
      <c r="G511" s="198"/>
      <c r="H511" s="198"/>
      <c r="I511" s="198"/>
    </row>
    <row r="512" spans="1:9" ht="27.6" customHeight="1" x14ac:dyDescent="0.3">
      <c r="B512" s="166" t="s">
        <v>8</v>
      </c>
      <c r="C512" s="200" t="s">
        <v>402</v>
      </c>
      <c r="D512" s="198"/>
      <c r="E512" s="198"/>
      <c r="F512" s="198"/>
      <c r="G512" s="198"/>
      <c r="H512" s="198"/>
      <c r="I512" s="198"/>
    </row>
    <row r="513" spans="1:9" ht="14.4" x14ac:dyDescent="0.3">
      <c r="B513" s="166" t="s">
        <v>8</v>
      </c>
      <c r="C513" s="200" t="s">
        <v>403</v>
      </c>
      <c r="D513" s="198"/>
      <c r="E513" s="198"/>
      <c r="F513" s="198"/>
      <c r="G513" s="198"/>
      <c r="H513" s="198"/>
      <c r="I513" s="198"/>
    </row>
    <row r="514" spans="1:9" ht="59.4" customHeight="1" x14ac:dyDescent="0.3">
      <c r="B514" s="166" t="s">
        <v>8</v>
      </c>
      <c r="C514" s="200" t="s">
        <v>404</v>
      </c>
      <c r="D514" s="198"/>
      <c r="E514" s="198"/>
      <c r="F514" s="198"/>
      <c r="G514" s="198"/>
      <c r="H514" s="198"/>
      <c r="I514" s="198"/>
    </row>
    <row r="515" spans="1:9" ht="30" customHeight="1" x14ac:dyDescent="0.3">
      <c r="B515" s="166" t="s">
        <v>21</v>
      </c>
      <c r="C515" s="207" t="s">
        <v>405</v>
      </c>
      <c r="D515" s="208"/>
      <c r="E515" s="208"/>
      <c r="F515" s="208"/>
      <c r="G515" s="208"/>
      <c r="H515" s="208"/>
      <c r="I515" s="208"/>
    </row>
    <row r="516" spans="1:9" ht="44.4" customHeight="1" x14ac:dyDescent="0.3">
      <c r="B516" s="166" t="s">
        <v>23</v>
      </c>
      <c r="C516" s="207" t="s">
        <v>406</v>
      </c>
      <c r="D516" s="208"/>
      <c r="E516" s="208"/>
      <c r="F516" s="208"/>
      <c r="G516" s="208"/>
      <c r="H516" s="208"/>
      <c r="I516" s="208"/>
    </row>
    <row r="518" spans="1:9" ht="14.4" x14ac:dyDescent="0.3">
      <c r="A518" s="176" t="s">
        <v>1749</v>
      </c>
      <c r="B518" s="203" t="s">
        <v>97</v>
      </c>
      <c r="C518" s="198"/>
      <c r="D518" s="198"/>
      <c r="E518" s="198"/>
      <c r="F518" s="198"/>
      <c r="G518" s="198"/>
      <c r="H518" s="198"/>
      <c r="I518" s="198"/>
    </row>
    <row r="519" spans="1:9" ht="14.4" x14ac:dyDescent="0.3">
      <c r="A519" s="177" t="s">
        <v>407</v>
      </c>
      <c r="B519" s="203" t="s">
        <v>408</v>
      </c>
      <c r="C519" s="198"/>
      <c r="D519" s="198"/>
      <c r="E519" s="198"/>
      <c r="F519" s="198"/>
      <c r="G519" s="198"/>
      <c r="H519" s="198"/>
      <c r="I519" s="198"/>
    </row>
    <row r="520" spans="1:9" ht="14.4" x14ac:dyDescent="0.3">
      <c r="A520" s="3"/>
      <c r="B520" s="204" t="s">
        <v>6</v>
      </c>
      <c r="C520" s="198"/>
      <c r="D520" s="198"/>
      <c r="E520" s="198"/>
      <c r="F520" s="198"/>
      <c r="G520" s="198"/>
      <c r="H520" s="198"/>
      <c r="I520" s="198"/>
    </row>
    <row r="521" spans="1:9" ht="54.6" customHeight="1" x14ac:dyDescent="0.3">
      <c r="A521" s="60"/>
      <c r="B521" s="200" t="s">
        <v>409</v>
      </c>
      <c r="C521" s="198"/>
      <c r="D521" s="198"/>
      <c r="E521" s="198"/>
      <c r="F521" s="198"/>
      <c r="G521" s="198"/>
      <c r="H521" s="198"/>
      <c r="I521" s="198"/>
    </row>
    <row r="522" spans="1:9" ht="14.4" x14ac:dyDescent="0.3">
      <c r="A522" s="170"/>
      <c r="B522" s="205"/>
      <c r="C522" s="206"/>
      <c r="D522" s="206"/>
      <c r="E522" s="206"/>
      <c r="F522" s="206"/>
      <c r="G522" s="206"/>
      <c r="H522" s="206"/>
      <c r="I522" s="206"/>
    </row>
    <row r="523" spans="1:9" ht="14.4" x14ac:dyDescent="0.3">
      <c r="A523" s="60"/>
      <c r="B523" s="204" t="s">
        <v>0</v>
      </c>
      <c r="C523" s="198"/>
      <c r="D523" s="198"/>
      <c r="E523" s="198"/>
      <c r="F523" s="198"/>
      <c r="G523" s="198"/>
      <c r="H523" s="198"/>
      <c r="I523" s="198"/>
    </row>
    <row r="524" spans="1:9" ht="14.4" x14ac:dyDescent="0.3">
      <c r="B524" s="166" t="s">
        <v>8</v>
      </c>
      <c r="C524" s="200" t="s">
        <v>410</v>
      </c>
      <c r="D524" s="198"/>
      <c r="E524" s="198"/>
      <c r="F524" s="198"/>
      <c r="G524" s="198"/>
      <c r="H524" s="198"/>
      <c r="I524" s="198"/>
    </row>
    <row r="525" spans="1:9" ht="14.4" x14ac:dyDescent="0.3">
      <c r="B525" s="166" t="s">
        <v>8</v>
      </c>
      <c r="C525" s="200" t="s">
        <v>411</v>
      </c>
      <c r="D525" s="198"/>
      <c r="E525" s="198"/>
      <c r="F525" s="198"/>
      <c r="G525" s="198"/>
      <c r="H525" s="198"/>
      <c r="I525" s="198"/>
    </row>
    <row r="526" spans="1:9" ht="14.4" x14ac:dyDescent="0.3">
      <c r="C526" s="200"/>
      <c r="D526" s="198"/>
      <c r="E526" s="198"/>
      <c r="F526" s="198"/>
      <c r="G526" s="198"/>
      <c r="H526" s="198"/>
      <c r="I526" s="198"/>
    </row>
    <row r="527" spans="1:9" ht="14.4" x14ac:dyDescent="0.3">
      <c r="A527" s="177" t="s">
        <v>412</v>
      </c>
      <c r="B527" s="203" t="s">
        <v>413</v>
      </c>
      <c r="C527" s="198"/>
      <c r="D527" s="198"/>
      <c r="E527" s="198"/>
      <c r="F527" s="198"/>
      <c r="G527" s="198"/>
      <c r="H527" s="198"/>
      <c r="I527" s="198"/>
    </row>
    <row r="528" spans="1:9" ht="14.4" x14ac:dyDescent="0.3">
      <c r="A528" s="3"/>
      <c r="B528" s="204" t="s">
        <v>6</v>
      </c>
      <c r="C528" s="198"/>
      <c r="D528" s="198"/>
      <c r="E528" s="198"/>
      <c r="F528" s="198"/>
      <c r="G528" s="198"/>
      <c r="H528" s="198"/>
      <c r="I528" s="198"/>
    </row>
    <row r="529" spans="1:9" ht="45.6" customHeight="1" x14ac:dyDescent="0.3">
      <c r="A529" s="60"/>
      <c r="B529" s="200" t="s">
        <v>414</v>
      </c>
      <c r="C529" s="198"/>
      <c r="D529" s="198"/>
      <c r="E529" s="198"/>
      <c r="F529" s="198"/>
      <c r="G529" s="198"/>
      <c r="H529" s="198"/>
      <c r="I529" s="198"/>
    </row>
    <row r="530" spans="1:9" ht="14.4" x14ac:dyDescent="0.3">
      <c r="A530" s="170"/>
      <c r="B530" s="205"/>
      <c r="C530" s="206"/>
      <c r="D530" s="206"/>
      <c r="E530" s="206"/>
      <c r="F530" s="206"/>
      <c r="G530" s="206"/>
      <c r="H530" s="206"/>
      <c r="I530" s="206"/>
    </row>
    <row r="531" spans="1:9" ht="14.4" x14ac:dyDescent="0.3">
      <c r="A531" s="60"/>
      <c r="B531" s="204" t="s">
        <v>0</v>
      </c>
      <c r="C531" s="198"/>
      <c r="D531" s="198"/>
      <c r="E531" s="198"/>
      <c r="F531" s="198"/>
      <c r="G531" s="198"/>
      <c r="H531" s="198"/>
      <c r="I531" s="198"/>
    </row>
    <row r="532" spans="1:9" ht="39" customHeight="1" x14ac:dyDescent="0.3">
      <c r="B532" s="166" t="s">
        <v>8</v>
      </c>
      <c r="C532" s="200" t="s">
        <v>415</v>
      </c>
      <c r="D532" s="198"/>
      <c r="E532" s="198"/>
      <c r="F532" s="198"/>
      <c r="G532" s="198"/>
      <c r="H532" s="198"/>
      <c r="I532" s="198"/>
    </row>
    <row r="533" spans="1:9" ht="14.4" x14ac:dyDescent="0.3">
      <c r="B533" s="166" t="s">
        <v>8</v>
      </c>
      <c r="C533" s="200" t="s">
        <v>416</v>
      </c>
      <c r="D533" s="198"/>
      <c r="E533" s="198"/>
      <c r="F533" s="198"/>
      <c r="G533" s="198"/>
      <c r="H533" s="198"/>
      <c r="I533" s="198"/>
    </row>
    <row r="535" spans="1:9" ht="14.4" x14ac:dyDescent="0.3">
      <c r="A535" s="177" t="s">
        <v>417</v>
      </c>
      <c r="B535" s="203" t="s">
        <v>383</v>
      </c>
      <c r="C535" s="198"/>
      <c r="D535" s="198"/>
      <c r="E535" s="198"/>
      <c r="F535" s="198"/>
      <c r="G535" s="198"/>
      <c r="H535" s="198"/>
      <c r="I535" s="198"/>
    </row>
    <row r="536" spans="1:9" ht="14.4" x14ac:dyDescent="0.3">
      <c r="A536" s="3"/>
      <c r="B536" s="204" t="s">
        <v>6</v>
      </c>
      <c r="C536" s="198"/>
      <c r="D536" s="198"/>
      <c r="E536" s="198"/>
      <c r="F536" s="198"/>
      <c r="G536" s="198"/>
      <c r="H536" s="198"/>
      <c r="I536" s="198"/>
    </row>
    <row r="537" spans="1:9" ht="40.5" customHeight="1" x14ac:dyDescent="0.3">
      <c r="A537" s="60"/>
      <c r="B537" s="200" t="s">
        <v>418</v>
      </c>
      <c r="C537" s="198"/>
      <c r="D537" s="198"/>
      <c r="E537" s="198"/>
      <c r="F537" s="198"/>
      <c r="G537" s="198"/>
      <c r="H537" s="198"/>
      <c r="I537" s="198"/>
    </row>
    <row r="538" spans="1:9" ht="14.4" x14ac:dyDescent="0.3">
      <c r="A538" s="170"/>
      <c r="C538" s="165"/>
      <c r="D538" s="165"/>
      <c r="E538" s="165"/>
      <c r="F538" s="165"/>
      <c r="G538" s="165"/>
      <c r="H538" s="165"/>
      <c r="I538" s="165"/>
    </row>
    <row r="539" spans="1:9" ht="14.4" x14ac:dyDescent="0.3">
      <c r="A539" s="60"/>
      <c r="B539" s="204" t="s">
        <v>0</v>
      </c>
      <c r="C539" s="198"/>
      <c r="D539" s="198"/>
      <c r="E539" s="198"/>
      <c r="F539" s="198"/>
      <c r="G539" s="198"/>
      <c r="H539" s="198"/>
      <c r="I539" s="198"/>
    </row>
    <row r="540" spans="1:9" ht="14.4" customHeight="1" x14ac:dyDescent="0.3">
      <c r="B540" s="166" t="s">
        <v>8</v>
      </c>
      <c r="C540" s="200" t="s">
        <v>419</v>
      </c>
      <c r="D540" s="198"/>
      <c r="E540" s="198"/>
      <c r="F540" s="198"/>
      <c r="G540" s="198"/>
      <c r="H540" s="198"/>
      <c r="I540" s="198"/>
    </row>
    <row r="541" spans="1:9" ht="25.5" customHeight="1" x14ac:dyDescent="0.3">
      <c r="B541" s="166" t="s">
        <v>8</v>
      </c>
      <c r="C541" s="200" t="s">
        <v>420</v>
      </c>
      <c r="D541" s="198"/>
      <c r="E541" s="198"/>
      <c r="F541" s="198"/>
      <c r="G541" s="198"/>
      <c r="H541" s="198"/>
      <c r="I541" s="198"/>
    </row>
    <row r="542" spans="1:9" ht="15.6" customHeight="1" x14ac:dyDescent="0.3">
      <c r="B542" s="166" t="s">
        <v>8</v>
      </c>
      <c r="C542" s="200" t="s">
        <v>421</v>
      </c>
      <c r="D542" s="198"/>
      <c r="E542" s="198"/>
      <c r="F542" s="198"/>
      <c r="G542" s="198"/>
      <c r="H542" s="198"/>
      <c r="I542" s="198"/>
    </row>
    <row r="543" spans="1:9" ht="15.6" customHeight="1" x14ac:dyDescent="0.3">
      <c r="D543" s="165"/>
      <c r="E543" s="165"/>
      <c r="F543" s="165"/>
      <c r="G543" s="165"/>
      <c r="H543" s="165"/>
      <c r="I543" s="165"/>
    </row>
    <row r="544" spans="1:9" ht="29.4" customHeight="1" x14ac:dyDescent="0.3">
      <c r="B544" s="166" t="s">
        <v>21</v>
      </c>
      <c r="C544" s="207" t="s">
        <v>422</v>
      </c>
      <c r="D544" s="208"/>
      <c r="E544" s="208"/>
      <c r="F544" s="208"/>
      <c r="G544" s="208"/>
      <c r="H544" s="208"/>
      <c r="I544" s="208"/>
    </row>
    <row r="546" spans="1:9" ht="14.4" x14ac:dyDescent="0.3">
      <c r="A546" s="177" t="s">
        <v>423</v>
      </c>
      <c r="B546" s="203" t="s">
        <v>424</v>
      </c>
      <c r="C546" s="198"/>
      <c r="D546" s="198"/>
      <c r="E546" s="198"/>
      <c r="F546" s="198"/>
      <c r="G546" s="198"/>
      <c r="H546" s="198"/>
      <c r="I546" s="198"/>
    </row>
    <row r="547" spans="1:9" ht="14.4" x14ac:dyDescent="0.3">
      <c r="A547" s="3"/>
      <c r="B547" s="204" t="s">
        <v>6</v>
      </c>
      <c r="C547" s="198"/>
      <c r="D547" s="198"/>
      <c r="E547" s="198"/>
      <c r="F547" s="198"/>
      <c r="G547" s="198"/>
      <c r="H547" s="198"/>
      <c r="I547" s="198"/>
    </row>
    <row r="548" spans="1:9" ht="26.1" customHeight="1" x14ac:dyDescent="0.3">
      <c r="A548" s="60"/>
      <c r="B548" s="200" t="s">
        <v>425</v>
      </c>
      <c r="C548" s="198"/>
      <c r="D548" s="198"/>
      <c r="E548" s="198"/>
      <c r="F548" s="198"/>
      <c r="G548" s="198"/>
      <c r="H548" s="198"/>
      <c r="I548" s="198"/>
    </row>
    <row r="549" spans="1:9" ht="24.6" customHeight="1" x14ac:dyDescent="0.3">
      <c r="A549" s="170"/>
      <c r="B549" s="200" t="s">
        <v>426</v>
      </c>
      <c r="C549" s="198"/>
      <c r="D549" s="198"/>
      <c r="E549" s="198"/>
      <c r="F549" s="198"/>
      <c r="G549" s="198"/>
      <c r="H549" s="198"/>
      <c r="I549" s="198"/>
    </row>
    <row r="550" spans="1:9" ht="14.4" x14ac:dyDescent="0.3">
      <c r="A550" s="60"/>
      <c r="B550" s="204" t="s">
        <v>0</v>
      </c>
      <c r="C550" s="198"/>
      <c r="D550" s="198"/>
      <c r="E550" s="198"/>
      <c r="F550" s="198"/>
      <c r="G550" s="198"/>
      <c r="H550" s="198"/>
      <c r="I550" s="198"/>
    </row>
    <row r="551" spans="1:9" ht="14.4" x14ac:dyDescent="0.3">
      <c r="B551" s="166" t="s">
        <v>8</v>
      </c>
      <c r="C551" s="200" t="s">
        <v>187</v>
      </c>
      <c r="D551" s="198"/>
      <c r="E551" s="198"/>
      <c r="F551" s="198"/>
      <c r="G551" s="198"/>
      <c r="H551" s="198"/>
      <c r="I551" s="198"/>
    </row>
    <row r="552" spans="1:9" ht="29.1" customHeight="1" x14ac:dyDescent="0.3">
      <c r="B552" s="166" t="s">
        <v>8</v>
      </c>
      <c r="C552" s="200" t="s">
        <v>427</v>
      </c>
      <c r="D552" s="198"/>
      <c r="E552" s="198"/>
      <c r="F552" s="198"/>
      <c r="G552" s="198"/>
      <c r="H552" s="198"/>
      <c r="I552" s="198"/>
    </row>
    <row r="553" spans="1:9" ht="14.4" x14ac:dyDescent="0.3">
      <c r="D553" s="165"/>
      <c r="E553" s="165"/>
      <c r="F553" s="165"/>
      <c r="G553" s="165"/>
      <c r="H553" s="165"/>
      <c r="I553" s="165"/>
    </row>
    <row r="554" spans="1:9" ht="14.4" x14ac:dyDescent="0.3">
      <c r="A554" s="177" t="s">
        <v>428</v>
      </c>
      <c r="B554" s="203" t="s">
        <v>398</v>
      </c>
      <c r="C554" s="198"/>
      <c r="D554" s="198"/>
      <c r="E554" s="198"/>
      <c r="F554" s="198"/>
      <c r="G554" s="198"/>
      <c r="H554" s="198"/>
      <c r="I554" s="198"/>
    </row>
    <row r="555" spans="1:9" ht="14.4" x14ac:dyDescent="0.3">
      <c r="A555" s="3"/>
      <c r="B555" s="204" t="s">
        <v>6</v>
      </c>
      <c r="C555" s="198"/>
      <c r="D555" s="198"/>
      <c r="E555" s="198"/>
      <c r="F555" s="198"/>
      <c r="G555" s="198"/>
      <c r="H555" s="198"/>
      <c r="I555" s="198"/>
    </row>
    <row r="556" spans="1:9" ht="41.1" customHeight="1" x14ac:dyDescent="0.3">
      <c r="A556" s="60"/>
      <c r="B556" s="200" t="s">
        <v>429</v>
      </c>
      <c r="C556" s="198"/>
      <c r="D556" s="198"/>
      <c r="E556" s="198"/>
      <c r="F556" s="198"/>
      <c r="G556" s="198"/>
      <c r="H556" s="198"/>
      <c r="I556" s="198"/>
    </row>
    <row r="557" spans="1:9" ht="14.4" x14ac:dyDescent="0.3">
      <c r="A557" s="170"/>
      <c r="B557" s="205"/>
      <c r="C557" s="206"/>
      <c r="D557" s="206"/>
      <c r="E557" s="206"/>
      <c r="F557" s="206"/>
      <c r="G557" s="206"/>
      <c r="H557" s="206"/>
      <c r="I557" s="206"/>
    </row>
    <row r="558" spans="1:9" ht="14.4" x14ac:dyDescent="0.3">
      <c r="A558" s="60"/>
      <c r="B558" s="204" t="s">
        <v>0</v>
      </c>
      <c r="C558" s="198"/>
      <c r="D558" s="198"/>
      <c r="E558" s="198"/>
      <c r="F558" s="198"/>
      <c r="G558" s="198"/>
      <c r="H558" s="198"/>
      <c r="I558" s="198"/>
    </row>
    <row r="559" spans="1:9" ht="14.4" x14ac:dyDescent="0.3">
      <c r="B559" s="166" t="s">
        <v>8</v>
      </c>
      <c r="C559" s="200" t="s">
        <v>187</v>
      </c>
      <c r="D559" s="198"/>
      <c r="E559" s="198"/>
      <c r="F559" s="198"/>
      <c r="G559" s="198"/>
      <c r="H559" s="198"/>
      <c r="I559" s="198"/>
    </row>
    <row r="560" spans="1:9" ht="14.4" x14ac:dyDescent="0.3">
      <c r="B560" s="166" t="s">
        <v>8</v>
      </c>
      <c r="C560" s="200" t="s">
        <v>400</v>
      </c>
      <c r="D560" s="198"/>
      <c r="E560" s="198"/>
      <c r="F560" s="198"/>
      <c r="G560" s="198"/>
      <c r="H560" s="198"/>
      <c r="I560" s="198"/>
    </row>
    <row r="561" spans="1:9" ht="14.4" x14ac:dyDescent="0.3">
      <c r="B561" s="166" t="s">
        <v>8</v>
      </c>
      <c r="C561" s="200" t="s">
        <v>401</v>
      </c>
      <c r="D561" s="198"/>
      <c r="E561" s="198"/>
      <c r="F561" s="198"/>
      <c r="G561" s="198"/>
      <c r="H561" s="198"/>
      <c r="I561" s="198"/>
    </row>
    <row r="562" spans="1:9" ht="27" customHeight="1" x14ac:dyDescent="0.3">
      <c r="B562" s="166" t="s">
        <v>8</v>
      </c>
      <c r="C562" s="200" t="s">
        <v>430</v>
      </c>
      <c r="D562" s="198"/>
      <c r="E562" s="198"/>
      <c r="F562" s="198"/>
      <c r="G562" s="198"/>
      <c r="H562" s="198"/>
      <c r="I562" s="198"/>
    </row>
    <row r="563" spans="1:9" ht="14.4" x14ac:dyDescent="0.3">
      <c r="B563" s="166" t="s">
        <v>8</v>
      </c>
      <c r="C563" s="200" t="s">
        <v>431</v>
      </c>
      <c r="D563" s="198"/>
      <c r="E563" s="198"/>
      <c r="F563" s="198"/>
      <c r="G563" s="198"/>
      <c r="H563" s="198"/>
      <c r="I563" s="198"/>
    </row>
    <row r="564" spans="1:9" ht="44.1" customHeight="1" x14ac:dyDescent="0.3">
      <c r="B564" s="166" t="s">
        <v>8</v>
      </c>
      <c r="C564" s="200" t="s">
        <v>432</v>
      </c>
      <c r="D564" s="198"/>
      <c r="E564" s="198"/>
      <c r="F564" s="198"/>
      <c r="G564" s="198"/>
      <c r="H564" s="198"/>
      <c r="I564" s="198"/>
    </row>
    <row r="565" spans="1:9" x14ac:dyDescent="0.3">
      <c r="C565" s="200"/>
      <c r="D565" s="200"/>
      <c r="E565" s="200"/>
      <c r="F565" s="200"/>
      <c r="G565" s="200"/>
      <c r="H565" s="200"/>
      <c r="I565" s="200"/>
    </row>
    <row r="566" spans="1:9" ht="26.4" customHeight="1" x14ac:dyDescent="0.3">
      <c r="B566" s="166" t="s">
        <v>21</v>
      </c>
      <c r="C566" s="207" t="s">
        <v>433</v>
      </c>
      <c r="D566" s="207"/>
      <c r="E566" s="207"/>
      <c r="F566" s="207"/>
      <c r="G566" s="207"/>
      <c r="H566" s="207"/>
      <c r="I566" s="207"/>
    </row>
    <row r="567" spans="1:9" ht="39.6" customHeight="1" x14ac:dyDescent="0.3">
      <c r="B567" s="166" t="s">
        <v>23</v>
      </c>
      <c r="C567" s="207" t="s">
        <v>434</v>
      </c>
      <c r="D567" s="207"/>
      <c r="E567" s="207"/>
      <c r="F567" s="207"/>
      <c r="G567" s="207"/>
      <c r="H567" s="207"/>
      <c r="I567" s="207"/>
    </row>
    <row r="568" spans="1:9" ht="14.4" x14ac:dyDescent="0.3">
      <c r="D568" s="165"/>
      <c r="E568" s="165"/>
      <c r="F568" s="165"/>
      <c r="G568" s="165"/>
      <c r="H568" s="165"/>
      <c r="I568" s="165"/>
    </row>
    <row r="569" spans="1:9" ht="16.2" x14ac:dyDescent="0.35">
      <c r="A569" s="142" t="s">
        <v>435</v>
      </c>
      <c r="B569" s="195" t="s">
        <v>436</v>
      </c>
      <c r="C569" s="196"/>
      <c r="D569" s="196"/>
      <c r="E569" s="196"/>
      <c r="F569" s="196"/>
      <c r="G569" s="196"/>
      <c r="H569" s="196"/>
      <c r="I569" s="196"/>
    </row>
    <row r="570" spans="1:9" x14ac:dyDescent="0.3">
      <c r="A570" s="170"/>
      <c r="B570" s="168"/>
      <c r="C570" s="168"/>
      <c r="D570" s="168"/>
      <c r="E570" s="168"/>
      <c r="F570" s="168"/>
      <c r="G570" s="168"/>
      <c r="H570" s="168"/>
      <c r="I570" s="168"/>
    </row>
    <row r="571" spans="1:9" ht="14.4" x14ac:dyDescent="0.3">
      <c r="A571" s="177" t="s">
        <v>437</v>
      </c>
      <c r="B571" s="203" t="s">
        <v>438</v>
      </c>
      <c r="C571" s="198"/>
      <c r="D571" s="198"/>
      <c r="E571" s="198"/>
      <c r="F571" s="198"/>
      <c r="G571" s="198"/>
      <c r="H571" s="198"/>
      <c r="I571" s="198"/>
    </row>
    <row r="572" spans="1:9" ht="14.4" x14ac:dyDescent="0.3">
      <c r="A572" s="3"/>
      <c r="B572" s="204" t="s">
        <v>6</v>
      </c>
      <c r="C572" s="198"/>
      <c r="D572" s="198"/>
      <c r="E572" s="198"/>
      <c r="F572" s="198"/>
      <c r="G572" s="198"/>
      <c r="H572" s="198"/>
      <c r="I572" s="198"/>
    </row>
    <row r="573" spans="1:9" ht="27.6" customHeight="1" x14ac:dyDescent="0.3">
      <c r="A573" s="60"/>
      <c r="B573" s="200" t="s">
        <v>439</v>
      </c>
      <c r="C573" s="198"/>
      <c r="D573" s="198"/>
      <c r="E573" s="198"/>
      <c r="F573" s="198"/>
      <c r="G573" s="198"/>
      <c r="H573" s="198"/>
      <c r="I573" s="198"/>
    </row>
    <row r="574" spans="1:9" ht="11.4" customHeight="1" x14ac:dyDescent="0.3">
      <c r="A574" s="170"/>
      <c r="B574" s="200"/>
      <c r="C574" s="198"/>
      <c r="D574" s="198"/>
      <c r="E574" s="198"/>
      <c r="F574" s="198"/>
      <c r="G574" s="198"/>
      <c r="H574" s="198"/>
      <c r="I574" s="198"/>
    </row>
    <row r="575" spans="1:9" ht="14.4" x14ac:dyDescent="0.3">
      <c r="A575" s="60"/>
      <c r="B575" s="204" t="s">
        <v>0</v>
      </c>
      <c r="C575" s="198"/>
      <c r="D575" s="198"/>
      <c r="E575" s="198"/>
      <c r="F575" s="198"/>
      <c r="G575" s="198"/>
      <c r="H575" s="198"/>
      <c r="I575" s="198"/>
    </row>
    <row r="576" spans="1:9" ht="14.4" x14ac:dyDescent="0.3">
      <c r="B576" s="166" t="s">
        <v>8</v>
      </c>
      <c r="C576" s="200" t="s">
        <v>440</v>
      </c>
      <c r="D576" s="198"/>
      <c r="E576" s="198"/>
      <c r="F576" s="198"/>
      <c r="G576" s="198"/>
      <c r="H576" s="198"/>
      <c r="I576" s="198"/>
    </row>
    <row r="577" spans="1:9" ht="27" customHeight="1" x14ac:dyDescent="0.3">
      <c r="B577" s="166" t="s">
        <v>1741</v>
      </c>
      <c r="C577" s="200" t="s">
        <v>1742</v>
      </c>
      <c r="D577" s="198"/>
      <c r="E577" s="198"/>
      <c r="F577" s="198"/>
      <c r="G577" s="198"/>
      <c r="H577" s="198"/>
      <c r="I577" s="198"/>
    </row>
    <row r="579" spans="1:9" ht="14.4" x14ac:dyDescent="0.3">
      <c r="A579" s="177" t="s">
        <v>441</v>
      </c>
      <c r="B579" s="203" t="s">
        <v>442</v>
      </c>
      <c r="C579" s="198"/>
      <c r="D579" s="198"/>
      <c r="E579" s="198"/>
      <c r="F579" s="198"/>
      <c r="G579" s="198"/>
      <c r="H579" s="198"/>
      <c r="I579" s="198"/>
    </row>
    <row r="580" spans="1:9" ht="14.4" x14ac:dyDescent="0.3">
      <c r="A580" s="3"/>
      <c r="B580" s="204" t="s">
        <v>6</v>
      </c>
      <c r="C580" s="198"/>
      <c r="D580" s="198"/>
      <c r="E580" s="198"/>
      <c r="F580" s="198"/>
      <c r="G580" s="198"/>
      <c r="H580" s="198"/>
      <c r="I580" s="198"/>
    </row>
    <row r="581" spans="1:9" ht="42.9" customHeight="1" x14ac:dyDescent="0.3">
      <c r="A581" s="60"/>
      <c r="B581" s="200" t="s">
        <v>443</v>
      </c>
      <c r="C581" s="198"/>
      <c r="D581" s="198"/>
      <c r="E581" s="198"/>
      <c r="F581" s="198"/>
      <c r="G581" s="198"/>
      <c r="H581" s="198"/>
      <c r="I581" s="198"/>
    </row>
    <row r="582" spans="1:9" ht="14.4" x14ac:dyDescent="0.3">
      <c r="A582" s="170"/>
      <c r="B582" s="205"/>
      <c r="C582" s="206"/>
      <c r="D582" s="206"/>
      <c r="E582" s="206"/>
      <c r="F582" s="206"/>
      <c r="G582" s="206"/>
      <c r="H582" s="206"/>
      <c r="I582" s="206"/>
    </row>
    <row r="583" spans="1:9" ht="14.4" x14ac:dyDescent="0.3">
      <c r="A583" s="60"/>
      <c r="B583" s="204" t="s">
        <v>0</v>
      </c>
      <c r="C583" s="198"/>
      <c r="D583" s="198"/>
      <c r="E583" s="198"/>
      <c r="F583" s="198"/>
      <c r="G583" s="198"/>
      <c r="H583" s="198"/>
      <c r="I583" s="198"/>
    </row>
    <row r="584" spans="1:9" ht="14.4" x14ac:dyDescent="0.3">
      <c r="B584" s="166" t="s">
        <v>8</v>
      </c>
      <c r="C584" s="200" t="s">
        <v>187</v>
      </c>
      <c r="D584" s="198"/>
      <c r="E584" s="198"/>
      <c r="F584" s="198"/>
      <c r="G584" s="198"/>
      <c r="H584" s="198"/>
      <c r="I584" s="198"/>
    </row>
    <row r="585" spans="1:9" ht="26.1" customHeight="1" x14ac:dyDescent="0.3">
      <c r="B585" s="166" t="s">
        <v>8</v>
      </c>
      <c r="C585" s="200" t="s">
        <v>444</v>
      </c>
      <c r="D585" s="198"/>
      <c r="E585" s="198"/>
      <c r="F585" s="198"/>
      <c r="G585" s="198"/>
      <c r="H585" s="198"/>
      <c r="I585" s="198"/>
    </row>
    <row r="586" spans="1:9" ht="14.4" x14ac:dyDescent="0.3">
      <c r="D586" s="165"/>
      <c r="E586" s="165"/>
      <c r="F586" s="165"/>
      <c r="G586" s="165"/>
      <c r="H586" s="165"/>
      <c r="I586" s="165"/>
    </row>
    <row r="587" spans="1:9" ht="14.4" x14ac:dyDescent="0.3">
      <c r="A587" s="177" t="s">
        <v>445</v>
      </c>
      <c r="B587" s="203" t="s">
        <v>446</v>
      </c>
      <c r="C587" s="198"/>
      <c r="D587" s="198"/>
      <c r="E587" s="198"/>
      <c r="F587" s="198"/>
      <c r="G587" s="198"/>
      <c r="H587" s="198"/>
      <c r="I587" s="198"/>
    </row>
    <row r="588" spans="1:9" ht="14.4" x14ac:dyDescent="0.3">
      <c r="A588" s="3"/>
      <c r="B588" s="204" t="s">
        <v>6</v>
      </c>
      <c r="C588" s="198"/>
      <c r="D588" s="198"/>
      <c r="E588" s="198"/>
      <c r="F588" s="198"/>
      <c r="G588" s="198"/>
      <c r="H588" s="198"/>
      <c r="I588" s="198"/>
    </row>
    <row r="589" spans="1:9" ht="39.9" customHeight="1" x14ac:dyDescent="0.3">
      <c r="A589" s="60"/>
      <c r="B589" s="200" t="s">
        <v>447</v>
      </c>
      <c r="C589" s="198"/>
      <c r="D589" s="198"/>
      <c r="E589" s="198"/>
      <c r="F589" s="198"/>
      <c r="G589" s="198"/>
      <c r="H589" s="198"/>
      <c r="I589" s="198"/>
    </row>
    <row r="590" spans="1:9" ht="14.4" x14ac:dyDescent="0.3">
      <c r="A590" s="170"/>
      <c r="B590" s="205"/>
      <c r="C590" s="206"/>
      <c r="D590" s="206"/>
      <c r="E590" s="206"/>
      <c r="F590" s="206"/>
      <c r="G590" s="206"/>
      <c r="H590" s="206"/>
      <c r="I590" s="206"/>
    </row>
    <row r="591" spans="1:9" ht="14.4" x14ac:dyDescent="0.3">
      <c r="A591" s="60"/>
      <c r="B591" s="204" t="s">
        <v>0</v>
      </c>
      <c r="C591" s="198"/>
      <c r="D591" s="198"/>
      <c r="E591" s="198"/>
      <c r="F591" s="198"/>
      <c r="G591" s="198"/>
      <c r="H591" s="198"/>
      <c r="I591" s="198"/>
    </row>
    <row r="592" spans="1:9" ht="14.4" x14ac:dyDescent="0.3">
      <c r="B592" s="166" t="s">
        <v>8</v>
      </c>
      <c r="C592" s="200" t="s">
        <v>187</v>
      </c>
      <c r="D592" s="198"/>
      <c r="E592" s="198"/>
      <c r="F592" s="198"/>
      <c r="G592" s="198"/>
      <c r="H592" s="198"/>
      <c r="I592" s="198"/>
    </row>
    <row r="593" spans="1:9" ht="14.4" x14ac:dyDescent="0.3">
      <c r="B593" s="166" t="s">
        <v>8</v>
      </c>
      <c r="C593" s="200" t="s">
        <v>448</v>
      </c>
      <c r="D593" s="198"/>
      <c r="E593" s="198"/>
      <c r="F593" s="198"/>
      <c r="G593" s="198"/>
      <c r="H593" s="198"/>
      <c r="I593" s="198"/>
    </row>
    <row r="594" spans="1:9" ht="14.4" x14ac:dyDescent="0.3">
      <c r="D594" s="165"/>
      <c r="E594" s="165"/>
      <c r="F594" s="165"/>
      <c r="G594" s="165"/>
      <c r="H594" s="165"/>
      <c r="I594" s="165"/>
    </row>
    <row r="595" spans="1:9" ht="16.2" x14ac:dyDescent="0.35">
      <c r="A595" s="142" t="s">
        <v>449</v>
      </c>
      <c r="B595" s="195" t="s">
        <v>450</v>
      </c>
      <c r="C595" s="196"/>
      <c r="D595" s="196"/>
      <c r="E595" s="196"/>
      <c r="F595" s="196"/>
      <c r="G595" s="196"/>
      <c r="H595" s="196"/>
      <c r="I595" s="196"/>
    </row>
    <row r="596" spans="1:9" ht="14.4" x14ac:dyDescent="0.3">
      <c r="D596" s="165"/>
      <c r="E596" s="165"/>
      <c r="F596" s="165"/>
      <c r="G596" s="165"/>
      <c r="H596" s="165"/>
      <c r="I596" s="165"/>
    </row>
    <row r="597" spans="1:9" ht="14.4" customHeight="1" x14ac:dyDescent="0.3">
      <c r="A597" s="177" t="s">
        <v>451</v>
      </c>
      <c r="B597" s="203" t="s">
        <v>145</v>
      </c>
      <c r="C597" s="198"/>
      <c r="D597" s="198"/>
      <c r="E597" s="198"/>
      <c r="F597" s="198"/>
      <c r="G597" s="198"/>
      <c r="H597" s="198"/>
      <c r="I597" s="198"/>
    </row>
    <row r="598" spans="1:9" ht="14.4" x14ac:dyDescent="0.3">
      <c r="D598" s="165"/>
      <c r="E598" s="165"/>
      <c r="F598" s="165"/>
      <c r="G598" s="165"/>
      <c r="H598" s="165"/>
      <c r="I598" s="165"/>
    </row>
    <row r="599" spans="1:9" ht="14.4" x14ac:dyDescent="0.3">
      <c r="A599" s="177" t="s">
        <v>452</v>
      </c>
      <c r="B599" s="203" t="s">
        <v>453</v>
      </c>
      <c r="C599" s="198"/>
      <c r="D599" s="198"/>
      <c r="E599" s="198"/>
      <c r="F599" s="198"/>
      <c r="G599" s="198"/>
      <c r="H599" s="198"/>
      <c r="I599" s="198"/>
    </row>
    <row r="600" spans="1:9" ht="14.4" x14ac:dyDescent="0.3">
      <c r="A600" s="3"/>
      <c r="B600" s="204" t="s">
        <v>6</v>
      </c>
      <c r="C600" s="198"/>
      <c r="D600" s="198"/>
      <c r="E600" s="198"/>
      <c r="F600" s="198"/>
      <c r="G600" s="198"/>
      <c r="H600" s="198"/>
      <c r="I600" s="198"/>
    </row>
    <row r="601" spans="1:9" ht="56.4" customHeight="1" x14ac:dyDescent="0.3">
      <c r="A601" s="60"/>
      <c r="B601" s="200" t="s">
        <v>454</v>
      </c>
      <c r="C601" s="198"/>
      <c r="D601" s="198"/>
      <c r="E601" s="198"/>
      <c r="F601" s="198"/>
      <c r="G601" s="198"/>
      <c r="H601" s="198"/>
      <c r="I601" s="198"/>
    </row>
    <row r="602" spans="1:9" ht="14.4" x14ac:dyDescent="0.3">
      <c r="A602" s="170"/>
      <c r="B602" s="205"/>
      <c r="C602" s="206"/>
      <c r="D602" s="206"/>
      <c r="E602" s="206"/>
      <c r="F602" s="206"/>
      <c r="G602" s="206"/>
      <c r="H602" s="206"/>
      <c r="I602" s="206"/>
    </row>
    <row r="603" spans="1:9" ht="14.4" x14ac:dyDescent="0.3">
      <c r="A603" s="60"/>
      <c r="B603" s="204" t="s">
        <v>0</v>
      </c>
      <c r="C603" s="198"/>
      <c r="D603" s="198"/>
      <c r="E603" s="198"/>
      <c r="F603" s="198"/>
      <c r="G603" s="198"/>
      <c r="H603" s="198"/>
      <c r="I603" s="198"/>
    </row>
    <row r="604" spans="1:9" ht="14.4" x14ac:dyDescent="0.3">
      <c r="B604" s="166" t="s">
        <v>8</v>
      </c>
      <c r="C604" s="200" t="s">
        <v>455</v>
      </c>
      <c r="D604" s="198"/>
      <c r="E604" s="198"/>
      <c r="F604" s="198"/>
      <c r="G604" s="198"/>
      <c r="H604" s="198"/>
      <c r="I604" s="198"/>
    </row>
    <row r="605" spans="1:9" ht="14.4" x14ac:dyDescent="0.3">
      <c r="B605" s="166" t="s">
        <v>8</v>
      </c>
      <c r="C605" s="200" t="s">
        <v>456</v>
      </c>
      <c r="D605" s="198"/>
      <c r="E605" s="198"/>
      <c r="F605" s="198"/>
      <c r="G605" s="198"/>
      <c r="H605" s="198"/>
      <c r="I605" s="198"/>
    </row>
    <row r="606" spans="1:9" ht="26.4" customHeight="1" x14ac:dyDescent="0.3">
      <c r="B606" s="166" t="s">
        <v>8</v>
      </c>
      <c r="C606" s="200" t="s">
        <v>457</v>
      </c>
      <c r="D606" s="198"/>
      <c r="E606" s="198"/>
      <c r="F606" s="198"/>
      <c r="G606" s="198"/>
      <c r="H606" s="198"/>
      <c r="I606" s="198"/>
    </row>
    <row r="607" spans="1:9" ht="27.6" customHeight="1" x14ac:dyDescent="0.3">
      <c r="B607" s="166" t="s">
        <v>8</v>
      </c>
      <c r="C607" s="200" t="s">
        <v>458</v>
      </c>
      <c r="D607" s="198"/>
      <c r="E607" s="198"/>
      <c r="F607" s="198"/>
      <c r="G607" s="198"/>
      <c r="H607" s="198"/>
      <c r="I607" s="198"/>
    </row>
    <row r="608" spans="1:9" x14ac:dyDescent="0.3">
      <c r="A608" s="170"/>
      <c r="B608" s="168"/>
      <c r="C608" s="168"/>
      <c r="D608" s="168"/>
      <c r="E608" s="168"/>
      <c r="F608" s="168"/>
      <c r="G608" s="168"/>
      <c r="H608" s="168"/>
      <c r="I608" s="168"/>
    </row>
    <row r="609" spans="1:9" ht="14.4" x14ac:dyDescent="0.3">
      <c r="A609" s="177" t="s">
        <v>459</v>
      </c>
      <c r="B609" s="203" t="s">
        <v>460</v>
      </c>
      <c r="C609" s="198"/>
      <c r="D609" s="198"/>
      <c r="E609" s="198"/>
      <c r="F609" s="198"/>
      <c r="G609" s="198"/>
      <c r="H609" s="198"/>
      <c r="I609" s="198"/>
    </row>
    <row r="610" spans="1:9" ht="14.4" x14ac:dyDescent="0.3">
      <c r="A610" s="3"/>
      <c r="B610" s="204" t="s">
        <v>6</v>
      </c>
      <c r="C610" s="198"/>
      <c r="D610" s="198"/>
      <c r="E610" s="198"/>
      <c r="F610" s="198"/>
      <c r="G610" s="198"/>
      <c r="H610" s="198"/>
      <c r="I610" s="198"/>
    </row>
    <row r="611" spans="1:9" ht="24.9" customHeight="1" x14ac:dyDescent="0.3">
      <c r="A611" s="60"/>
      <c r="B611" s="200" t="s">
        <v>461</v>
      </c>
      <c r="C611" s="198"/>
      <c r="D611" s="198"/>
      <c r="E611" s="198"/>
      <c r="F611" s="198"/>
      <c r="G611" s="198"/>
      <c r="H611" s="198"/>
      <c r="I611" s="198"/>
    </row>
    <row r="612" spans="1:9" ht="14.4" x14ac:dyDescent="0.3">
      <c r="A612" s="60"/>
      <c r="B612" s="178"/>
      <c r="C612" s="179"/>
      <c r="D612" s="179"/>
      <c r="E612" s="179"/>
      <c r="F612" s="179"/>
      <c r="G612" s="179"/>
      <c r="H612" s="179"/>
      <c r="I612" s="179"/>
    </row>
    <row r="613" spans="1:9" ht="14.4" x14ac:dyDescent="0.3">
      <c r="A613" s="60"/>
      <c r="B613" s="204" t="s">
        <v>0</v>
      </c>
      <c r="C613" s="198"/>
      <c r="D613" s="198"/>
      <c r="E613" s="198"/>
      <c r="F613" s="198"/>
      <c r="G613" s="198"/>
      <c r="H613" s="198"/>
      <c r="I613" s="198"/>
    </row>
    <row r="614" spans="1:9" ht="14.4" x14ac:dyDescent="0.3">
      <c r="B614" s="166" t="s">
        <v>8</v>
      </c>
      <c r="C614" s="200" t="s">
        <v>462</v>
      </c>
      <c r="D614" s="198"/>
      <c r="E614" s="198"/>
      <c r="F614" s="198"/>
      <c r="G614" s="198"/>
      <c r="H614" s="198"/>
      <c r="I614" s="198"/>
    </row>
    <row r="615" spans="1:9" ht="14.4" x14ac:dyDescent="0.3">
      <c r="B615" s="166" t="s">
        <v>8</v>
      </c>
      <c r="C615" s="200" t="s">
        <v>463</v>
      </c>
      <c r="D615" s="198"/>
      <c r="E615" s="198"/>
      <c r="F615" s="198"/>
      <c r="G615" s="198"/>
      <c r="H615" s="198"/>
      <c r="I615" s="198"/>
    </row>
    <row r="616" spans="1:9" ht="26.4" customHeight="1" x14ac:dyDescent="0.3">
      <c r="B616" s="166" t="s">
        <v>8</v>
      </c>
      <c r="C616" s="200" t="s">
        <v>464</v>
      </c>
      <c r="D616" s="198"/>
      <c r="E616" s="198"/>
      <c r="F616" s="198"/>
      <c r="G616" s="198"/>
      <c r="H616" s="198"/>
      <c r="I616" s="198"/>
    </row>
    <row r="617" spans="1:9" ht="14.4" x14ac:dyDescent="0.3">
      <c r="D617" s="165"/>
      <c r="E617" s="165"/>
      <c r="F617" s="165"/>
      <c r="H617" s="165"/>
      <c r="I617" s="165"/>
    </row>
    <row r="618" spans="1:9" x14ac:dyDescent="0.3">
      <c r="A618" s="177" t="s">
        <v>465</v>
      </c>
      <c r="B618" s="203" t="s">
        <v>466</v>
      </c>
      <c r="C618" s="203"/>
      <c r="D618" s="203"/>
      <c r="E618" s="203"/>
      <c r="F618" s="203"/>
      <c r="G618" s="203"/>
      <c r="H618" s="203"/>
      <c r="I618" s="203"/>
    </row>
    <row r="619" spans="1:9" x14ac:dyDescent="0.3">
      <c r="A619" s="3"/>
      <c r="B619" s="204" t="s">
        <v>6</v>
      </c>
      <c r="C619" s="204"/>
      <c r="D619" s="204"/>
      <c r="E619" s="204"/>
      <c r="F619" s="204"/>
      <c r="G619" s="204"/>
      <c r="H619" s="204"/>
      <c r="I619" s="204"/>
    </row>
    <row r="620" spans="1:9" ht="26.1" customHeight="1" x14ac:dyDescent="0.3">
      <c r="A620" s="60"/>
      <c r="B620" s="200" t="s">
        <v>467</v>
      </c>
      <c r="C620" s="200"/>
      <c r="D620" s="200"/>
      <c r="E620" s="200"/>
      <c r="F620" s="200"/>
      <c r="G620" s="200"/>
      <c r="H620" s="200"/>
      <c r="I620" s="200"/>
    </row>
    <row r="621" spans="1:9" x14ac:dyDescent="0.3">
      <c r="A621" s="170"/>
      <c r="B621" s="205"/>
      <c r="C621" s="205"/>
      <c r="D621" s="205"/>
      <c r="E621" s="205"/>
      <c r="F621" s="205"/>
      <c r="G621" s="205"/>
      <c r="H621" s="205"/>
      <c r="I621" s="205"/>
    </row>
    <row r="622" spans="1:9" x14ac:dyDescent="0.3">
      <c r="A622" s="60"/>
      <c r="B622" s="204" t="s">
        <v>0</v>
      </c>
      <c r="C622" s="204"/>
      <c r="D622" s="204"/>
      <c r="E622" s="204"/>
      <c r="F622" s="204"/>
      <c r="G622" s="204"/>
      <c r="H622" s="204"/>
      <c r="I622" s="204"/>
    </row>
    <row r="623" spans="1:9" x14ac:dyDescent="0.3">
      <c r="B623" s="166" t="s">
        <v>8</v>
      </c>
      <c r="C623" s="200" t="s">
        <v>462</v>
      </c>
      <c r="D623" s="200"/>
      <c r="E623" s="200"/>
      <c r="F623" s="200"/>
      <c r="G623" s="200"/>
      <c r="H623" s="200"/>
      <c r="I623" s="200"/>
    </row>
    <row r="625" spans="1:9" ht="14.4" x14ac:dyDescent="0.3">
      <c r="A625" s="177" t="s">
        <v>468</v>
      </c>
      <c r="B625" s="203" t="s">
        <v>469</v>
      </c>
      <c r="C625" s="198"/>
      <c r="D625" s="198"/>
      <c r="E625" s="198"/>
      <c r="F625" s="198"/>
      <c r="G625" s="198"/>
      <c r="H625" s="198"/>
      <c r="I625" s="198"/>
    </row>
    <row r="626" spans="1:9" ht="14.4" x14ac:dyDescent="0.3">
      <c r="A626" s="3"/>
      <c r="B626" s="204" t="s">
        <v>6</v>
      </c>
      <c r="C626" s="198"/>
      <c r="D626" s="198"/>
      <c r="E626" s="198"/>
      <c r="F626" s="198"/>
      <c r="G626" s="198"/>
      <c r="H626" s="198"/>
      <c r="I626" s="198"/>
    </row>
    <row r="627" spans="1:9" ht="14.4" x14ac:dyDescent="0.3">
      <c r="A627" s="60"/>
      <c r="B627" s="200" t="s">
        <v>470</v>
      </c>
      <c r="C627" s="198"/>
      <c r="D627" s="198"/>
      <c r="E627" s="198"/>
      <c r="F627" s="198"/>
      <c r="G627" s="198"/>
      <c r="H627" s="198"/>
      <c r="I627" s="198"/>
    </row>
    <row r="628" spans="1:9" ht="41.1" customHeight="1" x14ac:dyDescent="0.3">
      <c r="A628" s="60"/>
      <c r="B628" s="201" t="s">
        <v>471</v>
      </c>
      <c r="C628" s="202"/>
      <c r="D628" s="202"/>
      <c r="E628" s="202"/>
      <c r="F628" s="202"/>
      <c r="G628" s="202"/>
      <c r="H628" s="202"/>
      <c r="I628" s="202"/>
    </row>
    <row r="629" spans="1:9" ht="14.4" x14ac:dyDescent="0.3">
      <c r="A629" s="170"/>
      <c r="B629" s="205"/>
      <c r="C629" s="206"/>
      <c r="D629" s="206"/>
      <c r="E629" s="206"/>
      <c r="F629" s="206"/>
      <c r="G629" s="206"/>
      <c r="H629" s="206"/>
      <c r="I629" s="206"/>
    </row>
    <row r="630" spans="1:9" ht="14.4" x14ac:dyDescent="0.3">
      <c r="A630" s="60"/>
      <c r="B630" s="204" t="s">
        <v>0</v>
      </c>
      <c r="C630" s="198"/>
      <c r="D630" s="198"/>
      <c r="E630" s="198"/>
      <c r="F630" s="198"/>
      <c r="G630" s="198"/>
      <c r="H630" s="198"/>
      <c r="I630" s="198"/>
    </row>
    <row r="631" spans="1:9" ht="14.4" x14ac:dyDescent="0.3">
      <c r="B631" s="166" t="s">
        <v>8</v>
      </c>
      <c r="C631" s="200" t="s">
        <v>187</v>
      </c>
      <c r="D631" s="198"/>
      <c r="E631" s="198"/>
      <c r="F631" s="198"/>
      <c r="G631" s="198"/>
      <c r="H631" s="198"/>
      <c r="I631" s="198"/>
    </row>
    <row r="632" spans="1:9" ht="14.4" x14ac:dyDescent="0.3">
      <c r="D632" s="165"/>
      <c r="E632" s="165"/>
      <c r="F632" s="165"/>
      <c r="G632" s="165"/>
      <c r="H632" s="165"/>
      <c r="I632" s="165"/>
    </row>
    <row r="633" spans="1:9" ht="14.4" x14ac:dyDescent="0.3">
      <c r="A633" s="177" t="s">
        <v>472</v>
      </c>
      <c r="B633" s="203" t="s">
        <v>473</v>
      </c>
      <c r="C633" s="198"/>
      <c r="D633" s="198"/>
      <c r="E633" s="198"/>
      <c r="F633" s="198"/>
      <c r="G633" s="198"/>
      <c r="H633" s="198"/>
      <c r="I633" s="198"/>
    </row>
    <row r="634" spans="1:9" ht="14.4" x14ac:dyDescent="0.3">
      <c r="A634" s="3"/>
      <c r="B634" s="204" t="s">
        <v>6</v>
      </c>
      <c r="C634" s="198"/>
      <c r="D634" s="198"/>
      <c r="E634" s="198"/>
      <c r="F634" s="198"/>
      <c r="G634" s="198"/>
      <c r="H634" s="198"/>
      <c r="I634" s="198"/>
    </row>
    <row r="635" spans="1:9" ht="77.099999999999994" customHeight="1" x14ac:dyDescent="0.3">
      <c r="A635" s="60"/>
      <c r="B635" s="200" t="s">
        <v>474</v>
      </c>
      <c r="C635" s="198"/>
      <c r="D635" s="198"/>
      <c r="E635" s="198"/>
      <c r="F635" s="198"/>
      <c r="G635" s="198"/>
      <c r="H635" s="198"/>
      <c r="I635" s="198"/>
    </row>
    <row r="636" spans="1:9" ht="65.099999999999994" customHeight="1" x14ac:dyDescent="0.3">
      <c r="A636" s="60"/>
      <c r="B636" s="200" t="s">
        <v>475</v>
      </c>
      <c r="C636" s="198"/>
      <c r="D636" s="198"/>
      <c r="E636" s="198"/>
      <c r="F636" s="198"/>
      <c r="G636" s="198"/>
      <c r="H636" s="198"/>
      <c r="I636" s="198"/>
    </row>
    <row r="637" spans="1:9" ht="14.1" customHeight="1" x14ac:dyDescent="0.3">
      <c r="A637" s="170"/>
      <c r="B637" s="200" t="s">
        <v>476</v>
      </c>
      <c r="C637" s="198"/>
      <c r="D637" s="198"/>
      <c r="E637" s="198"/>
      <c r="F637" s="198"/>
      <c r="G637" s="198"/>
      <c r="H637" s="198"/>
      <c r="I637" s="198"/>
    </row>
    <row r="638" spans="1:9" ht="14.4" x14ac:dyDescent="0.3">
      <c r="A638" s="170"/>
      <c r="B638" s="168"/>
      <c r="C638" s="169"/>
      <c r="D638" s="169"/>
      <c r="E638" s="169"/>
      <c r="F638" s="169"/>
      <c r="G638" s="169"/>
      <c r="H638" s="169"/>
      <c r="I638" s="169"/>
    </row>
    <row r="639" spans="1:9" x14ac:dyDescent="0.3">
      <c r="A639" s="170"/>
      <c r="B639" s="168" t="s">
        <v>21</v>
      </c>
      <c r="C639" s="211" t="s">
        <v>477</v>
      </c>
      <c r="D639" s="212"/>
      <c r="E639" s="212"/>
      <c r="F639" s="212"/>
      <c r="G639" s="212"/>
      <c r="H639" s="212"/>
      <c r="I639" s="212"/>
    </row>
    <row r="640" spans="1:9" ht="14.4" x14ac:dyDescent="0.3">
      <c r="A640" s="170"/>
      <c r="B640" s="168"/>
      <c r="C640" s="169"/>
      <c r="D640" s="169"/>
      <c r="E640" s="169"/>
      <c r="F640" s="169"/>
      <c r="G640" s="169"/>
      <c r="H640" s="169"/>
      <c r="I640" s="169"/>
    </row>
    <row r="641" spans="1:9" ht="14.4" x14ac:dyDescent="0.3">
      <c r="A641" s="60"/>
      <c r="B641" s="204" t="s">
        <v>0</v>
      </c>
      <c r="C641" s="198"/>
      <c r="D641" s="198"/>
      <c r="E641" s="198"/>
      <c r="F641" s="198"/>
      <c r="G641" s="198"/>
      <c r="H641" s="198"/>
      <c r="I641" s="198"/>
    </row>
    <row r="642" spans="1:9" ht="14.4" x14ac:dyDescent="0.3">
      <c r="B642" s="166" t="s">
        <v>8</v>
      </c>
      <c r="C642" s="200" t="s">
        <v>410</v>
      </c>
      <c r="D642" s="198"/>
      <c r="E642" s="198"/>
      <c r="F642" s="198"/>
      <c r="G642" s="198"/>
      <c r="H642" s="198"/>
      <c r="I642" s="198"/>
    </row>
    <row r="644" spans="1:9" ht="14.4" x14ac:dyDescent="0.3">
      <c r="A644" s="177" t="s">
        <v>478</v>
      </c>
      <c r="B644" s="203" t="s">
        <v>479</v>
      </c>
      <c r="C644" s="198"/>
      <c r="D644" s="198"/>
      <c r="E644" s="198"/>
      <c r="F644" s="198"/>
      <c r="G644" s="198"/>
      <c r="H644" s="198"/>
      <c r="I644" s="198"/>
    </row>
    <row r="645" spans="1:9" ht="14.4" x14ac:dyDescent="0.3">
      <c r="A645" s="3"/>
      <c r="B645" s="204" t="s">
        <v>6</v>
      </c>
      <c r="C645" s="198"/>
      <c r="D645" s="198"/>
      <c r="E645" s="198"/>
      <c r="F645" s="198"/>
      <c r="G645" s="198"/>
      <c r="H645" s="198"/>
      <c r="I645" s="198"/>
    </row>
    <row r="646" spans="1:9" ht="26.1" customHeight="1" x14ac:dyDescent="0.3">
      <c r="A646" s="60"/>
      <c r="B646" s="200" t="s">
        <v>480</v>
      </c>
      <c r="C646" s="198"/>
      <c r="D646" s="198"/>
      <c r="E646" s="198"/>
      <c r="F646" s="198"/>
      <c r="G646" s="198"/>
      <c r="H646" s="198"/>
      <c r="I646" s="198"/>
    </row>
    <row r="647" spans="1:9" ht="14.4" x14ac:dyDescent="0.3">
      <c r="A647" s="170"/>
      <c r="B647" s="205"/>
      <c r="C647" s="206"/>
      <c r="D647" s="206"/>
      <c r="E647" s="206"/>
      <c r="F647" s="206"/>
      <c r="G647" s="206"/>
      <c r="H647" s="206"/>
      <c r="I647" s="206"/>
    </row>
    <row r="648" spans="1:9" ht="14.4" x14ac:dyDescent="0.3">
      <c r="A648" s="60"/>
      <c r="B648" s="204" t="s">
        <v>0</v>
      </c>
      <c r="C648" s="198"/>
      <c r="D648" s="198"/>
      <c r="E648" s="198"/>
      <c r="F648" s="198"/>
      <c r="G648" s="198"/>
      <c r="H648" s="198"/>
      <c r="I648" s="198"/>
    </row>
    <row r="649" spans="1:9" ht="14.4" x14ac:dyDescent="0.3">
      <c r="B649" s="166" t="s">
        <v>8</v>
      </c>
      <c r="C649" s="200" t="s">
        <v>187</v>
      </c>
      <c r="D649" s="198"/>
      <c r="E649" s="198"/>
      <c r="F649" s="198"/>
      <c r="G649" s="198"/>
      <c r="H649" s="198"/>
      <c r="I649" s="198"/>
    </row>
    <row r="650" spans="1:9" x14ac:dyDescent="0.3">
      <c r="A650" s="170"/>
      <c r="B650" s="168"/>
      <c r="C650" s="168"/>
      <c r="D650" s="168"/>
      <c r="E650" s="168"/>
      <c r="F650" s="168"/>
      <c r="G650" s="168"/>
      <c r="H650" s="168"/>
      <c r="I650" s="168"/>
    </row>
    <row r="651" spans="1:9" ht="14.4" x14ac:dyDescent="0.3">
      <c r="A651" s="177" t="s">
        <v>481</v>
      </c>
      <c r="B651" s="203" t="s">
        <v>482</v>
      </c>
      <c r="C651" s="198"/>
      <c r="D651" s="198"/>
      <c r="E651" s="198"/>
      <c r="F651" s="198"/>
      <c r="G651" s="198"/>
      <c r="H651" s="198"/>
      <c r="I651" s="198"/>
    </row>
    <row r="652" spans="1:9" ht="14.4" x14ac:dyDescent="0.3">
      <c r="A652" s="3"/>
      <c r="B652" s="204" t="s">
        <v>6</v>
      </c>
      <c r="C652" s="198"/>
      <c r="D652" s="198"/>
      <c r="E652" s="198"/>
      <c r="F652" s="198"/>
      <c r="G652" s="198"/>
      <c r="H652" s="198"/>
      <c r="I652" s="198"/>
    </row>
    <row r="653" spans="1:9" ht="14.4" x14ac:dyDescent="0.3">
      <c r="A653" s="60"/>
      <c r="B653" s="200" t="s">
        <v>483</v>
      </c>
      <c r="C653" s="198"/>
      <c r="D653" s="198"/>
      <c r="E653" s="198"/>
      <c r="F653" s="198"/>
      <c r="G653" s="198"/>
      <c r="H653" s="198"/>
      <c r="I653" s="198"/>
    </row>
    <row r="654" spans="1:9" ht="11.4" customHeight="1" x14ac:dyDescent="0.3">
      <c r="A654" s="60"/>
      <c r="B654" s="178"/>
      <c r="C654" s="179"/>
      <c r="D654" s="179"/>
      <c r="E654" s="179"/>
      <c r="F654" s="179"/>
      <c r="G654" s="179"/>
      <c r="H654" s="179"/>
      <c r="I654" s="179"/>
    </row>
    <row r="655" spans="1:9" ht="14.4" x14ac:dyDescent="0.3">
      <c r="A655" s="60"/>
      <c r="B655" s="204" t="s">
        <v>0</v>
      </c>
      <c r="C655" s="198"/>
      <c r="D655" s="198"/>
      <c r="E655" s="198"/>
      <c r="F655" s="198"/>
      <c r="G655" s="198"/>
      <c r="H655" s="198"/>
      <c r="I655" s="198"/>
    </row>
    <row r="656" spans="1:9" ht="14.4" x14ac:dyDescent="0.3">
      <c r="B656" s="166" t="s">
        <v>8</v>
      </c>
      <c r="C656" s="200" t="s">
        <v>102</v>
      </c>
      <c r="D656" s="198"/>
      <c r="E656" s="198"/>
      <c r="F656" s="198"/>
      <c r="G656" s="198"/>
      <c r="H656" s="198"/>
      <c r="I656" s="198"/>
    </row>
    <row r="657" spans="1:9" ht="14.4" x14ac:dyDescent="0.3">
      <c r="B657" s="166" t="s">
        <v>8</v>
      </c>
      <c r="C657" s="200" t="s">
        <v>484</v>
      </c>
      <c r="D657" s="198"/>
      <c r="E657" s="198"/>
      <c r="F657" s="198"/>
      <c r="G657" s="198"/>
      <c r="H657" s="198"/>
      <c r="I657" s="198"/>
    </row>
    <row r="658" spans="1:9" ht="11.4" customHeight="1" x14ac:dyDescent="0.3">
      <c r="D658" s="165"/>
      <c r="E658" s="165"/>
      <c r="F658" s="165"/>
      <c r="G658" s="165"/>
      <c r="H658" s="165"/>
      <c r="I658" s="165"/>
    </row>
    <row r="659" spans="1:9" ht="32.1" customHeight="1" x14ac:dyDescent="0.3">
      <c r="B659" s="166" t="s">
        <v>21</v>
      </c>
      <c r="C659" s="207" t="s">
        <v>485</v>
      </c>
      <c r="D659" s="208"/>
      <c r="E659" s="208"/>
      <c r="F659" s="208"/>
      <c r="G659" s="208"/>
      <c r="H659" s="208"/>
      <c r="I659" s="208"/>
    </row>
    <row r="660" spans="1:9" ht="12.6" customHeight="1" x14ac:dyDescent="0.3">
      <c r="C660" s="171"/>
      <c r="D660" s="175"/>
      <c r="E660" s="175"/>
      <c r="F660" s="175"/>
      <c r="G660" s="175"/>
      <c r="H660" s="175"/>
      <c r="I660" s="175"/>
    </row>
    <row r="661" spans="1:9" ht="14.4" customHeight="1" x14ac:dyDescent="0.3">
      <c r="A661" s="177" t="s">
        <v>486</v>
      </c>
      <c r="B661" s="203" t="s">
        <v>487</v>
      </c>
      <c r="C661" s="203"/>
      <c r="D661" s="203"/>
      <c r="E661" s="203"/>
      <c r="F661" s="203"/>
      <c r="G661" s="203"/>
      <c r="H661" s="203"/>
      <c r="I661" s="203"/>
    </row>
    <row r="662" spans="1:9" ht="14.4" x14ac:dyDescent="0.3">
      <c r="D662" s="165"/>
      <c r="E662" s="165"/>
      <c r="F662" s="165"/>
      <c r="H662" s="165"/>
      <c r="I662" s="165"/>
    </row>
    <row r="663" spans="1:9" x14ac:dyDescent="0.3">
      <c r="A663" s="177" t="s">
        <v>488</v>
      </c>
      <c r="B663" s="203" t="s">
        <v>489</v>
      </c>
      <c r="C663" s="203"/>
      <c r="D663" s="203"/>
      <c r="E663" s="203"/>
      <c r="F663" s="203"/>
      <c r="G663" s="203"/>
      <c r="H663" s="203"/>
      <c r="I663" s="203"/>
    </row>
    <row r="664" spans="1:9" x14ac:dyDescent="0.3">
      <c r="A664" s="3"/>
      <c r="B664" s="204" t="s">
        <v>6</v>
      </c>
      <c r="C664" s="204"/>
      <c r="D664" s="204"/>
      <c r="E664" s="204"/>
      <c r="F664" s="204"/>
      <c r="G664" s="204"/>
      <c r="H664" s="204"/>
      <c r="I664" s="204"/>
    </row>
    <row r="665" spans="1:9" ht="25.5" customHeight="1" x14ac:dyDescent="0.3">
      <c r="A665" s="60"/>
      <c r="B665" s="200" t="s">
        <v>490</v>
      </c>
      <c r="C665" s="200"/>
      <c r="D665" s="200"/>
      <c r="E665" s="200"/>
      <c r="F665" s="200"/>
      <c r="G665" s="200"/>
      <c r="H665" s="200"/>
      <c r="I665" s="200"/>
    </row>
    <row r="666" spans="1:9" x14ac:dyDescent="0.3">
      <c r="A666" s="170"/>
      <c r="B666" s="205"/>
      <c r="C666" s="205"/>
      <c r="D666" s="205"/>
      <c r="E666" s="205"/>
      <c r="F666" s="205"/>
      <c r="G666" s="205"/>
      <c r="H666" s="205"/>
      <c r="I666" s="205"/>
    </row>
    <row r="667" spans="1:9" x14ac:dyDescent="0.3">
      <c r="A667" s="60"/>
      <c r="B667" s="204" t="s">
        <v>0</v>
      </c>
      <c r="C667" s="204"/>
      <c r="D667" s="204"/>
      <c r="E667" s="204"/>
      <c r="F667" s="204"/>
      <c r="G667" s="204"/>
      <c r="H667" s="204"/>
      <c r="I667" s="204"/>
    </row>
    <row r="668" spans="1:9" x14ac:dyDescent="0.3">
      <c r="B668" s="166" t="s">
        <v>8</v>
      </c>
      <c r="C668" s="200" t="s">
        <v>491</v>
      </c>
      <c r="D668" s="200"/>
      <c r="E668" s="200"/>
      <c r="F668" s="200"/>
      <c r="G668" s="200"/>
      <c r="H668" s="200"/>
      <c r="I668" s="200"/>
    </row>
    <row r="669" spans="1:9" x14ac:dyDescent="0.3">
      <c r="B669" s="166" t="s">
        <v>8</v>
      </c>
      <c r="C669" s="200" t="s">
        <v>492</v>
      </c>
      <c r="D669" s="200"/>
      <c r="E669" s="200"/>
      <c r="F669" s="200"/>
      <c r="G669" s="200"/>
      <c r="H669" s="200"/>
      <c r="I669" s="200"/>
    </row>
    <row r="671" spans="1:9" ht="14.4" x14ac:dyDescent="0.3">
      <c r="A671" s="177" t="s">
        <v>493</v>
      </c>
      <c r="B671" s="203" t="s">
        <v>494</v>
      </c>
      <c r="C671" s="198"/>
      <c r="D671" s="198"/>
      <c r="E671" s="198"/>
      <c r="F671" s="198"/>
      <c r="G671" s="198"/>
      <c r="H671" s="198"/>
      <c r="I671" s="198"/>
    </row>
    <row r="672" spans="1:9" ht="14.4" x14ac:dyDescent="0.3">
      <c r="A672" s="3"/>
      <c r="B672" s="204" t="s">
        <v>6</v>
      </c>
      <c r="C672" s="198"/>
      <c r="D672" s="198"/>
      <c r="E672" s="198"/>
      <c r="F672" s="198"/>
      <c r="G672" s="198"/>
      <c r="H672" s="198"/>
      <c r="I672" s="198"/>
    </row>
    <row r="673" spans="1:9" ht="54.6" customHeight="1" x14ac:dyDescent="0.3">
      <c r="A673" s="60"/>
      <c r="B673" s="200" t="s">
        <v>495</v>
      </c>
      <c r="C673" s="198"/>
      <c r="D673" s="198"/>
      <c r="E673" s="198"/>
      <c r="F673" s="198"/>
      <c r="G673" s="198"/>
      <c r="H673" s="198"/>
      <c r="I673" s="198"/>
    </row>
    <row r="674" spans="1:9" ht="14.4" x14ac:dyDescent="0.3">
      <c r="A674" s="170"/>
      <c r="B674" s="205"/>
      <c r="C674" s="206"/>
      <c r="D674" s="206"/>
      <c r="E674" s="206"/>
      <c r="F674" s="206"/>
      <c r="G674" s="206"/>
      <c r="H674" s="206"/>
      <c r="I674" s="206"/>
    </row>
    <row r="675" spans="1:9" ht="14.4" x14ac:dyDescent="0.3">
      <c r="A675" s="60"/>
      <c r="B675" s="204" t="s">
        <v>0</v>
      </c>
      <c r="C675" s="198"/>
      <c r="D675" s="198"/>
      <c r="E675" s="198"/>
      <c r="F675" s="198"/>
      <c r="G675" s="198"/>
      <c r="H675" s="198"/>
      <c r="I675" s="198"/>
    </row>
    <row r="676" spans="1:9" ht="14.4" x14ac:dyDescent="0.3">
      <c r="B676" s="166" t="s">
        <v>8</v>
      </c>
      <c r="C676" s="200" t="s">
        <v>491</v>
      </c>
      <c r="D676" s="198"/>
      <c r="E676" s="198"/>
      <c r="F676" s="198"/>
      <c r="G676" s="198"/>
      <c r="H676" s="198"/>
      <c r="I676" s="198"/>
    </row>
    <row r="677" spans="1:9" ht="27" customHeight="1" x14ac:dyDescent="0.3">
      <c r="B677" s="166" t="s">
        <v>8</v>
      </c>
      <c r="C677" s="200" t="s">
        <v>496</v>
      </c>
      <c r="D677" s="198"/>
      <c r="E677" s="198"/>
      <c r="F677" s="198"/>
      <c r="G677" s="198"/>
      <c r="H677" s="198"/>
      <c r="I677" s="198"/>
    </row>
    <row r="678" spans="1:9" ht="14.4" x14ac:dyDescent="0.3">
      <c r="D678" s="165"/>
      <c r="E678" s="165"/>
      <c r="F678" s="165"/>
      <c r="G678" s="165"/>
      <c r="H678" s="165"/>
      <c r="I678" s="165"/>
    </row>
    <row r="679" spans="1:9" ht="18.600000000000001" customHeight="1" x14ac:dyDescent="0.3">
      <c r="A679" s="177" t="s">
        <v>497</v>
      </c>
      <c r="B679" s="203" t="s">
        <v>498</v>
      </c>
      <c r="C679" s="203"/>
      <c r="D679" s="203"/>
      <c r="E679" s="203"/>
      <c r="F679" s="203"/>
      <c r="G679" s="203"/>
      <c r="H679" s="203"/>
      <c r="I679" s="203"/>
    </row>
    <row r="680" spans="1:9" ht="42" customHeight="1" x14ac:dyDescent="0.3">
      <c r="A680" s="177"/>
      <c r="B680" s="207" t="s">
        <v>499</v>
      </c>
      <c r="C680" s="208"/>
      <c r="D680" s="208"/>
      <c r="E680" s="208"/>
      <c r="F680" s="208"/>
      <c r="G680" s="208"/>
      <c r="H680" s="208"/>
      <c r="I680" s="208"/>
    </row>
    <row r="681" spans="1:9" ht="10.5" customHeight="1" x14ac:dyDescent="0.3">
      <c r="D681" s="165"/>
      <c r="E681" s="165"/>
      <c r="F681" s="165"/>
      <c r="G681" s="165"/>
      <c r="H681" s="165"/>
      <c r="I681" s="165"/>
    </row>
    <row r="682" spans="1:9" ht="14.4" x14ac:dyDescent="0.3">
      <c r="A682" s="177" t="s">
        <v>500</v>
      </c>
      <c r="B682" s="203" t="s">
        <v>501</v>
      </c>
      <c r="C682" s="198"/>
      <c r="D682" s="198"/>
      <c r="E682" s="198"/>
      <c r="F682" s="198"/>
      <c r="G682" s="198"/>
      <c r="H682" s="198"/>
      <c r="I682" s="198"/>
    </row>
    <row r="683" spans="1:9" ht="14.4" x14ac:dyDescent="0.3">
      <c r="A683" s="3"/>
      <c r="B683" s="204" t="s">
        <v>6</v>
      </c>
      <c r="C683" s="198"/>
      <c r="D683" s="198"/>
      <c r="E683" s="198"/>
      <c r="F683" s="198"/>
      <c r="G683" s="198"/>
      <c r="H683" s="198"/>
      <c r="I683" s="198"/>
    </row>
    <row r="684" spans="1:9" ht="27.6" customHeight="1" x14ac:dyDescent="0.3">
      <c r="A684" s="60"/>
      <c r="B684" s="200" t="s">
        <v>502</v>
      </c>
      <c r="C684" s="198"/>
      <c r="D684" s="198"/>
      <c r="E684" s="198"/>
      <c r="F684" s="198"/>
      <c r="G684" s="198"/>
      <c r="H684" s="198"/>
      <c r="I684" s="198"/>
    </row>
    <row r="685" spans="1:9" ht="14.4" x14ac:dyDescent="0.3">
      <c r="A685" s="60"/>
      <c r="B685" s="200"/>
      <c r="C685" s="198"/>
      <c r="D685" s="198"/>
      <c r="E685" s="198"/>
      <c r="F685" s="198"/>
      <c r="G685" s="198"/>
      <c r="H685" s="198"/>
      <c r="I685" s="198"/>
    </row>
    <row r="686" spans="1:9" ht="14.4" x14ac:dyDescent="0.3">
      <c r="A686" s="60"/>
      <c r="B686" s="204" t="s">
        <v>0</v>
      </c>
      <c r="C686" s="198"/>
      <c r="D686" s="198"/>
      <c r="E686" s="198"/>
      <c r="F686" s="198"/>
      <c r="G686" s="198"/>
      <c r="H686" s="198"/>
      <c r="I686" s="198"/>
    </row>
    <row r="687" spans="1:9" ht="14.4" x14ac:dyDescent="0.3">
      <c r="B687" s="166" t="s">
        <v>8</v>
      </c>
      <c r="C687" s="200" t="s">
        <v>462</v>
      </c>
      <c r="D687" s="198"/>
      <c r="E687" s="198"/>
      <c r="F687" s="198"/>
      <c r="G687" s="198"/>
      <c r="H687" s="198"/>
      <c r="I687" s="198"/>
    </row>
    <row r="689" spans="1:9" ht="14.4" x14ac:dyDescent="0.3">
      <c r="A689" s="177" t="s">
        <v>503</v>
      </c>
      <c r="B689" s="203" t="s">
        <v>504</v>
      </c>
      <c r="C689" s="198"/>
      <c r="D689" s="198"/>
      <c r="E689" s="198"/>
      <c r="F689" s="198"/>
      <c r="G689" s="198"/>
      <c r="H689" s="198"/>
      <c r="I689" s="198"/>
    </row>
    <row r="690" spans="1:9" ht="14.4" x14ac:dyDescent="0.3">
      <c r="A690" s="3"/>
      <c r="B690" s="204" t="s">
        <v>6</v>
      </c>
      <c r="C690" s="198"/>
      <c r="D690" s="198"/>
      <c r="E690" s="198"/>
      <c r="F690" s="198"/>
      <c r="G690" s="198"/>
      <c r="H690" s="198"/>
      <c r="I690" s="198"/>
    </row>
    <row r="691" spans="1:9" ht="27.9" customHeight="1" x14ac:dyDescent="0.3">
      <c r="A691" s="60"/>
      <c r="B691" s="200" t="s">
        <v>505</v>
      </c>
      <c r="C691" s="198"/>
      <c r="D691" s="198"/>
      <c r="E691" s="198"/>
      <c r="F691" s="198"/>
      <c r="G691" s="198"/>
      <c r="H691" s="198"/>
      <c r="I691" s="198"/>
    </row>
    <row r="692" spans="1:9" ht="14.4" x14ac:dyDescent="0.3">
      <c r="A692" s="170"/>
      <c r="B692" s="205"/>
      <c r="C692" s="206"/>
      <c r="D692" s="206"/>
      <c r="E692" s="206"/>
      <c r="F692" s="206"/>
      <c r="G692" s="206"/>
      <c r="H692" s="206"/>
      <c r="I692" s="206"/>
    </row>
    <row r="693" spans="1:9" ht="14.4" x14ac:dyDescent="0.3">
      <c r="A693" s="60"/>
      <c r="B693" s="204" t="s">
        <v>0</v>
      </c>
      <c r="C693" s="198"/>
      <c r="D693" s="198"/>
      <c r="E693" s="198"/>
      <c r="F693" s="198"/>
      <c r="G693" s="198"/>
      <c r="H693" s="198"/>
      <c r="I693" s="198"/>
    </row>
    <row r="694" spans="1:9" ht="14.4" x14ac:dyDescent="0.3">
      <c r="B694" s="166" t="s">
        <v>8</v>
      </c>
      <c r="C694" s="200" t="s">
        <v>506</v>
      </c>
      <c r="D694" s="198"/>
      <c r="E694" s="198"/>
      <c r="F694" s="198"/>
      <c r="G694" s="198"/>
      <c r="H694" s="198"/>
      <c r="I694" s="198"/>
    </row>
    <row r="695" spans="1:9" x14ac:dyDescent="0.3">
      <c r="A695" s="170"/>
      <c r="B695" s="168"/>
      <c r="C695" s="168"/>
      <c r="D695" s="168"/>
      <c r="E695" s="168"/>
      <c r="F695" s="168"/>
      <c r="G695" s="168"/>
      <c r="H695" s="168"/>
      <c r="I695" s="168"/>
    </row>
    <row r="696" spans="1:9" ht="14.4" x14ac:dyDescent="0.3">
      <c r="A696" s="177" t="s">
        <v>507</v>
      </c>
      <c r="B696" s="203" t="s">
        <v>508</v>
      </c>
      <c r="C696" s="198"/>
      <c r="D696" s="198"/>
      <c r="E696" s="198"/>
      <c r="F696" s="198"/>
      <c r="G696" s="198"/>
      <c r="H696" s="198"/>
      <c r="I696" s="198"/>
    </row>
    <row r="697" spans="1:9" ht="14.4" x14ac:dyDescent="0.3">
      <c r="A697" s="3"/>
      <c r="B697" s="204" t="s">
        <v>6</v>
      </c>
      <c r="C697" s="198"/>
      <c r="D697" s="198"/>
      <c r="E697" s="198"/>
      <c r="F697" s="198"/>
      <c r="G697" s="198"/>
      <c r="H697" s="198"/>
      <c r="I697" s="198"/>
    </row>
    <row r="698" spans="1:9" ht="43.5" customHeight="1" x14ac:dyDescent="0.3">
      <c r="A698" s="60"/>
      <c r="B698" s="200" t="s">
        <v>509</v>
      </c>
      <c r="C698" s="198"/>
      <c r="D698" s="198"/>
      <c r="E698" s="198"/>
      <c r="F698" s="198"/>
      <c r="G698" s="198"/>
      <c r="H698" s="198"/>
      <c r="I698" s="198"/>
    </row>
    <row r="699" spans="1:9" ht="14.4" x14ac:dyDescent="0.3">
      <c r="A699" s="60"/>
      <c r="B699" s="178"/>
      <c r="C699" s="179"/>
      <c r="D699" s="179"/>
      <c r="E699" s="179"/>
      <c r="F699" s="179"/>
      <c r="G699" s="179"/>
      <c r="H699" s="179"/>
      <c r="I699" s="179"/>
    </row>
    <row r="700" spans="1:9" ht="14.4" x14ac:dyDescent="0.3">
      <c r="A700" s="60"/>
      <c r="B700" s="204" t="s">
        <v>0</v>
      </c>
      <c r="C700" s="198"/>
      <c r="D700" s="198"/>
      <c r="E700" s="198"/>
      <c r="F700" s="198"/>
      <c r="G700" s="198"/>
      <c r="H700" s="198"/>
      <c r="I700" s="198"/>
    </row>
    <row r="701" spans="1:9" ht="14.4" x14ac:dyDescent="0.3">
      <c r="B701" s="166" t="s">
        <v>8</v>
      </c>
      <c r="C701" s="200" t="s">
        <v>187</v>
      </c>
      <c r="D701" s="198"/>
      <c r="E701" s="198"/>
      <c r="F701" s="198"/>
      <c r="G701" s="198"/>
      <c r="H701" s="198"/>
      <c r="I701" s="198"/>
    </row>
    <row r="702" spans="1:9" ht="14.4" x14ac:dyDescent="0.3">
      <c r="B702" s="166" t="s">
        <v>8</v>
      </c>
      <c r="C702" s="200" t="s">
        <v>510</v>
      </c>
      <c r="D702" s="198"/>
      <c r="E702" s="198"/>
      <c r="F702" s="198"/>
      <c r="G702" s="198"/>
      <c r="H702" s="198"/>
      <c r="I702" s="198"/>
    </row>
    <row r="703" spans="1:9" ht="14.4" x14ac:dyDescent="0.3">
      <c r="D703" s="165"/>
      <c r="E703" s="165"/>
      <c r="F703" s="165"/>
      <c r="H703" s="165"/>
      <c r="I703" s="165"/>
    </row>
    <row r="704" spans="1:9" x14ac:dyDescent="0.3">
      <c r="A704" s="177" t="s">
        <v>511</v>
      </c>
      <c r="B704" s="203" t="s">
        <v>512</v>
      </c>
      <c r="C704" s="203"/>
      <c r="D704" s="203"/>
      <c r="E704" s="203"/>
      <c r="F704" s="203"/>
      <c r="G704" s="203"/>
      <c r="H704" s="203"/>
      <c r="I704" s="203"/>
    </row>
    <row r="705" spans="1:9" x14ac:dyDescent="0.3">
      <c r="A705" s="3"/>
      <c r="B705" s="204" t="s">
        <v>6</v>
      </c>
      <c r="C705" s="204"/>
      <c r="D705" s="204"/>
      <c r="E705" s="204"/>
      <c r="F705" s="204"/>
      <c r="G705" s="204"/>
      <c r="H705" s="204"/>
      <c r="I705" s="204"/>
    </row>
    <row r="706" spans="1:9" ht="42.9" customHeight="1" x14ac:dyDescent="0.3">
      <c r="A706" s="60"/>
      <c r="B706" s="200" t="s">
        <v>513</v>
      </c>
      <c r="C706" s="200"/>
      <c r="D706" s="200"/>
      <c r="E706" s="200"/>
      <c r="F706" s="200"/>
      <c r="G706" s="200"/>
      <c r="H706" s="200"/>
      <c r="I706" s="200"/>
    </row>
    <row r="707" spans="1:9" x14ac:dyDescent="0.3">
      <c r="A707" s="170"/>
      <c r="B707" s="205"/>
      <c r="C707" s="205"/>
      <c r="D707" s="205"/>
      <c r="E707" s="205"/>
      <c r="F707" s="205"/>
      <c r="G707" s="205"/>
      <c r="H707" s="205"/>
      <c r="I707" s="205"/>
    </row>
    <row r="708" spans="1:9" x14ac:dyDescent="0.3">
      <c r="A708" s="60"/>
      <c r="B708" s="204" t="s">
        <v>0</v>
      </c>
      <c r="C708" s="204"/>
      <c r="D708" s="204"/>
      <c r="E708" s="204"/>
      <c r="F708" s="204"/>
      <c r="G708" s="204"/>
      <c r="H708" s="204"/>
      <c r="I708" s="204"/>
    </row>
    <row r="709" spans="1:9" x14ac:dyDescent="0.3">
      <c r="B709" s="166" t="s">
        <v>8</v>
      </c>
      <c r="C709" s="200" t="s">
        <v>187</v>
      </c>
      <c r="D709" s="200"/>
      <c r="E709" s="200"/>
      <c r="F709" s="200"/>
      <c r="G709" s="200"/>
      <c r="H709" s="200"/>
      <c r="I709" s="200"/>
    </row>
    <row r="710" spans="1:9" ht="40.5" customHeight="1" x14ac:dyDescent="0.3">
      <c r="B710" s="166" t="s">
        <v>8</v>
      </c>
      <c r="C710" s="200" t="s">
        <v>514</v>
      </c>
      <c r="D710" s="200"/>
      <c r="E710" s="200"/>
      <c r="F710" s="200"/>
      <c r="G710" s="200"/>
      <c r="H710" s="200"/>
      <c r="I710" s="200"/>
    </row>
    <row r="711" spans="1:9" ht="26.1" customHeight="1" x14ac:dyDescent="0.3">
      <c r="B711" s="166" t="s">
        <v>8</v>
      </c>
      <c r="C711" s="200" t="s">
        <v>515</v>
      </c>
      <c r="D711" s="200"/>
      <c r="E711" s="200"/>
      <c r="F711" s="200"/>
      <c r="G711" s="200"/>
      <c r="H711" s="200"/>
      <c r="I711" s="200"/>
    </row>
    <row r="712" spans="1:9" ht="13.5" customHeight="1" x14ac:dyDescent="0.3">
      <c r="B712" s="166" t="s">
        <v>8</v>
      </c>
      <c r="C712" s="200" t="s">
        <v>516</v>
      </c>
      <c r="D712" s="200"/>
      <c r="E712" s="200"/>
      <c r="F712" s="200"/>
      <c r="G712" s="200"/>
      <c r="H712" s="200"/>
      <c r="I712" s="200"/>
    </row>
    <row r="713" spans="1:9" ht="25.5" customHeight="1" x14ac:dyDescent="0.3">
      <c r="B713" s="166" t="s">
        <v>8</v>
      </c>
      <c r="C713" s="200" t="s">
        <v>517</v>
      </c>
      <c r="D713" s="200"/>
      <c r="E713" s="200"/>
      <c r="F713" s="200"/>
      <c r="G713" s="200"/>
      <c r="H713" s="200"/>
      <c r="I713" s="200"/>
    </row>
    <row r="715" spans="1:9" ht="14.4" x14ac:dyDescent="0.3">
      <c r="A715" s="177" t="s">
        <v>518</v>
      </c>
      <c r="B715" s="203" t="s">
        <v>519</v>
      </c>
      <c r="C715" s="198"/>
      <c r="D715" s="198"/>
      <c r="E715" s="198"/>
      <c r="F715" s="198"/>
      <c r="G715" s="198"/>
      <c r="H715" s="198"/>
      <c r="I715" s="198"/>
    </row>
    <row r="716" spans="1:9" ht="14.4" x14ac:dyDescent="0.3">
      <c r="A716" s="3"/>
      <c r="B716" s="204" t="s">
        <v>6</v>
      </c>
      <c r="C716" s="198"/>
      <c r="D716" s="198"/>
      <c r="E716" s="198"/>
      <c r="F716" s="198"/>
      <c r="G716" s="198"/>
      <c r="H716" s="198"/>
      <c r="I716" s="198"/>
    </row>
    <row r="717" spans="1:9" ht="29.4" customHeight="1" x14ac:dyDescent="0.3">
      <c r="A717" s="60"/>
      <c r="B717" s="200" t="s">
        <v>520</v>
      </c>
      <c r="C717" s="198"/>
      <c r="D717" s="198"/>
      <c r="E717" s="198"/>
      <c r="F717" s="198"/>
      <c r="G717" s="198"/>
      <c r="H717" s="198"/>
      <c r="I717" s="198"/>
    </row>
    <row r="718" spans="1:9" ht="14.4" x14ac:dyDescent="0.3">
      <c r="A718" s="170"/>
      <c r="B718" s="205"/>
      <c r="C718" s="206"/>
      <c r="D718" s="206"/>
      <c r="E718" s="206"/>
      <c r="F718" s="206"/>
      <c r="G718" s="206"/>
      <c r="H718" s="206"/>
      <c r="I718" s="206"/>
    </row>
    <row r="719" spans="1:9" ht="14.4" x14ac:dyDescent="0.3">
      <c r="A719" s="60"/>
      <c r="B719" s="204" t="s">
        <v>0</v>
      </c>
      <c r="C719" s="198"/>
      <c r="D719" s="198"/>
      <c r="E719" s="198"/>
      <c r="F719" s="198"/>
      <c r="G719" s="198"/>
      <c r="H719" s="198"/>
      <c r="I719" s="198"/>
    </row>
    <row r="720" spans="1:9" ht="14.4" x14ac:dyDescent="0.3">
      <c r="B720" s="166" t="s">
        <v>8</v>
      </c>
      <c r="C720" s="200" t="s">
        <v>187</v>
      </c>
      <c r="D720" s="198"/>
      <c r="E720" s="198"/>
      <c r="F720" s="198"/>
      <c r="G720" s="198"/>
      <c r="H720" s="198"/>
      <c r="I720" s="198"/>
    </row>
    <row r="721" spans="1:9" ht="14.4" x14ac:dyDescent="0.3">
      <c r="D721" s="165"/>
      <c r="E721" s="165"/>
      <c r="F721" s="165"/>
      <c r="G721" s="165"/>
      <c r="H721" s="165"/>
      <c r="I721" s="165"/>
    </row>
    <row r="722" spans="1:9" ht="14.4" x14ac:dyDescent="0.3">
      <c r="A722" s="177" t="s">
        <v>521</v>
      </c>
      <c r="B722" s="203" t="s">
        <v>388</v>
      </c>
      <c r="C722" s="198"/>
      <c r="D722" s="198"/>
      <c r="E722" s="198"/>
      <c r="F722" s="198"/>
      <c r="G722" s="198"/>
      <c r="H722" s="198"/>
      <c r="I722" s="198"/>
    </row>
    <row r="723" spans="1:9" ht="14.4" x14ac:dyDescent="0.3">
      <c r="A723" s="3"/>
      <c r="B723" s="204" t="s">
        <v>6</v>
      </c>
      <c r="C723" s="198"/>
      <c r="D723" s="198"/>
      <c r="E723" s="198"/>
      <c r="F723" s="198"/>
      <c r="G723" s="198"/>
      <c r="H723" s="198"/>
      <c r="I723" s="198"/>
    </row>
    <row r="724" spans="1:9" ht="45" customHeight="1" x14ac:dyDescent="0.3">
      <c r="A724" s="60"/>
      <c r="B724" s="200" t="s">
        <v>522</v>
      </c>
      <c r="C724" s="198"/>
      <c r="D724" s="198"/>
      <c r="E724" s="198"/>
      <c r="F724" s="198"/>
      <c r="G724" s="198"/>
      <c r="H724" s="198"/>
      <c r="I724" s="198"/>
    </row>
    <row r="725" spans="1:9" ht="139.19999999999999" customHeight="1" x14ac:dyDescent="0.3">
      <c r="A725" s="60"/>
      <c r="B725" s="201" t="s">
        <v>523</v>
      </c>
      <c r="C725" s="202"/>
      <c r="D725" s="202"/>
      <c r="E725" s="202"/>
      <c r="F725" s="202"/>
      <c r="G725" s="202"/>
      <c r="H725" s="202"/>
      <c r="I725" s="202"/>
    </row>
    <row r="726" spans="1:9" ht="6.6" customHeight="1" x14ac:dyDescent="0.3">
      <c r="A726" s="60"/>
      <c r="B726" s="178"/>
      <c r="C726" s="179"/>
      <c r="D726" s="179"/>
      <c r="E726" s="179"/>
      <c r="F726" s="179"/>
      <c r="G726" s="179"/>
      <c r="H726" s="179"/>
      <c r="I726" s="179"/>
    </row>
    <row r="727" spans="1:9" ht="39.6" customHeight="1" x14ac:dyDescent="0.3">
      <c r="A727" s="60"/>
      <c r="B727" s="181" t="s">
        <v>21</v>
      </c>
      <c r="C727" s="209" t="s">
        <v>524</v>
      </c>
      <c r="D727" s="210"/>
      <c r="E727" s="210"/>
      <c r="F727" s="210"/>
      <c r="G727" s="210"/>
      <c r="H727" s="210"/>
      <c r="I727" s="210"/>
    </row>
    <row r="728" spans="1:9" ht="29.4" customHeight="1" x14ac:dyDescent="0.3">
      <c r="A728" s="60"/>
      <c r="B728" s="181" t="s">
        <v>23</v>
      </c>
      <c r="C728" s="209" t="s">
        <v>525</v>
      </c>
      <c r="D728" s="209"/>
      <c r="E728" s="209"/>
      <c r="F728" s="209"/>
      <c r="G728" s="209"/>
      <c r="H728" s="209"/>
      <c r="I728" s="209"/>
    </row>
    <row r="729" spans="1:9" ht="17.399999999999999" customHeight="1" x14ac:dyDescent="0.3">
      <c r="A729" s="60"/>
      <c r="B729" s="178"/>
      <c r="C729" s="179"/>
      <c r="D729" s="179"/>
      <c r="E729" s="179"/>
      <c r="F729" s="179"/>
      <c r="G729" s="179"/>
      <c r="H729" s="179"/>
      <c r="I729" s="179"/>
    </row>
    <row r="730" spans="1:9" ht="14.4" x14ac:dyDescent="0.3">
      <c r="A730" s="60"/>
      <c r="B730" s="204" t="s">
        <v>0</v>
      </c>
      <c r="C730" s="198"/>
      <c r="D730" s="198"/>
      <c r="E730" s="198"/>
      <c r="F730" s="198"/>
      <c r="G730" s="198"/>
      <c r="H730" s="198"/>
      <c r="I730" s="198"/>
    </row>
    <row r="731" spans="1:9" ht="14.4" x14ac:dyDescent="0.3">
      <c r="B731" s="166" t="s">
        <v>8</v>
      </c>
      <c r="C731" s="200" t="s">
        <v>410</v>
      </c>
      <c r="D731" s="198"/>
      <c r="E731" s="198"/>
      <c r="F731" s="198"/>
      <c r="G731" s="198"/>
      <c r="H731" s="198"/>
      <c r="I731" s="198"/>
    </row>
    <row r="732" spans="1:9" ht="27" customHeight="1" x14ac:dyDescent="0.3">
      <c r="B732" s="166" t="s">
        <v>8</v>
      </c>
      <c r="C732" s="200" t="s">
        <v>526</v>
      </c>
      <c r="D732" s="198"/>
      <c r="E732" s="198"/>
      <c r="F732" s="198"/>
      <c r="G732" s="198"/>
      <c r="H732" s="198"/>
      <c r="I732" s="198"/>
    </row>
    <row r="733" spans="1:9" ht="15" customHeight="1" x14ac:dyDescent="0.3">
      <c r="B733" s="166" t="s">
        <v>8</v>
      </c>
      <c r="C733" s="200" t="s">
        <v>527</v>
      </c>
      <c r="D733" s="198"/>
      <c r="E733" s="198"/>
      <c r="F733" s="198"/>
      <c r="G733" s="198"/>
      <c r="H733" s="198"/>
      <c r="I733" s="198"/>
    </row>
    <row r="734" spans="1:9" ht="14.4" x14ac:dyDescent="0.3">
      <c r="D734" s="165"/>
      <c r="E734" s="165"/>
      <c r="F734" s="165"/>
      <c r="G734" s="165"/>
      <c r="H734" s="165"/>
      <c r="I734" s="165"/>
    </row>
    <row r="735" spans="1:9" ht="14.4" x14ac:dyDescent="0.3">
      <c r="A735" s="177" t="s">
        <v>528</v>
      </c>
      <c r="B735" s="203" t="s">
        <v>398</v>
      </c>
      <c r="C735" s="198"/>
      <c r="D735" s="198"/>
      <c r="E735" s="198"/>
      <c r="F735" s="198"/>
      <c r="G735" s="198"/>
      <c r="H735" s="198"/>
      <c r="I735" s="198"/>
    </row>
    <row r="736" spans="1:9" ht="14.4" x14ac:dyDescent="0.3">
      <c r="A736" s="3"/>
      <c r="B736" s="204" t="s">
        <v>6</v>
      </c>
      <c r="C736" s="198"/>
      <c r="D736" s="198"/>
      <c r="E736" s="198"/>
      <c r="F736" s="198"/>
      <c r="G736" s="198"/>
      <c r="H736" s="198"/>
      <c r="I736" s="198"/>
    </row>
    <row r="737" spans="1:9" ht="39" customHeight="1" x14ac:dyDescent="0.3">
      <c r="A737" s="60"/>
      <c r="B737" s="200" t="s">
        <v>529</v>
      </c>
      <c r="C737" s="198"/>
      <c r="D737" s="198"/>
      <c r="E737" s="198"/>
      <c r="F737" s="198"/>
      <c r="G737" s="198"/>
      <c r="H737" s="198"/>
      <c r="I737" s="198"/>
    </row>
    <row r="738" spans="1:9" ht="14.4" x14ac:dyDescent="0.3">
      <c r="A738" s="170"/>
      <c r="B738" s="205"/>
      <c r="C738" s="206"/>
      <c r="D738" s="206"/>
      <c r="E738" s="206"/>
      <c r="F738" s="206"/>
      <c r="G738" s="206"/>
      <c r="H738" s="206"/>
      <c r="I738" s="206"/>
    </row>
    <row r="739" spans="1:9" ht="14.4" x14ac:dyDescent="0.3">
      <c r="A739" s="60"/>
      <c r="B739" s="204" t="s">
        <v>0</v>
      </c>
      <c r="C739" s="198"/>
      <c r="D739" s="198"/>
      <c r="E739" s="198"/>
      <c r="F739" s="198"/>
      <c r="G739" s="198"/>
      <c r="H739" s="198"/>
      <c r="I739" s="198"/>
    </row>
    <row r="740" spans="1:9" ht="14.4" x14ac:dyDescent="0.3">
      <c r="B740" s="166" t="s">
        <v>8</v>
      </c>
      <c r="C740" s="200" t="s">
        <v>187</v>
      </c>
      <c r="D740" s="198"/>
      <c r="E740" s="198"/>
      <c r="F740" s="198"/>
      <c r="G740" s="198"/>
      <c r="H740" s="198"/>
      <c r="I740" s="198"/>
    </row>
    <row r="741" spans="1:9" ht="14.4" x14ac:dyDescent="0.3">
      <c r="B741" s="166" t="s">
        <v>8</v>
      </c>
      <c r="C741" s="200" t="s">
        <v>400</v>
      </c>
      <c r="D741" s="198"/>
      <c r="E741" s="198"/>
      <c r="F741" s="198"/>
      <c r="G741" s="198"/>
      <c r="H741" s="198"/>
      <c r="I741" s="198"/>
    </row>
    <row r="742" spans="1:9" ht="14.4" x14ac:dyDescent="0.3">
      <c r="B742" s="166" t="s">
        <v>8</v>
      </c>
      <c r="C742" s="200" t="s">
        <v>401</v>
      </c>
      <c r="D742" s="198"/>
      <c r="E742" s="198"/>
      <c r="F742" s="198"/>
      <c r="G742" s="198"/>
      <c r="H742" s="198"/>
      <c r="I742" s="198"/>
    </row>
    <row r="743" spans="1:9" ht="26.4" customHeight="1" x14ac:dyDescent="0.3">
      <c r="B743" s="166" t="s">
        <v>8</v>
      </c>
      <c r="C743" s="200" t="s">
        <v>430</v>
      </c>
      <c r="D743" s="198"/>
      <c r="E743" s="198"/>
      <c r="F743" s="198"/>
      <c r="G743" s="198"/>
      <c r="H743" s="198"/>
      <c r="I743" s="198"/>
    </row>
    <row r="744" spans="1:9" ht="14.4" x14ac:dyDescent="0.3">
      <c r="B744" s="166" t="s">
        <v>8</v>
      </c>
      <c r="C744" s="200" t="s">
        <v>530</v>
      </c>
      <c r="D744" s="198"/>
      <c r="E744" s="198"/>
      <c r="F744" s="198"/>
      <c r="G744" s="198"/>
      <c r="H744" s="198"/>
      <c r="I744" s="198"/>
    </row>
    <row r="745" spans="1:9" ht="41.4" customHeight="1" x14ac:dyDescent="0.3">
      <c r="B745" s="166" t="s">
        <v>8</v>
      </c>
      <c r="C745" s="200" t="s">
        <v>531</v>
      </c>
      <c r="D745" s="198"/>
      <c r="E745" s="198"/>
      <c r="F745" s="198"/>
      <c r="G745" s="198"/>
      <c r="H745" s="198"/>
      <c r="I745" s="198"/>
    </row>
    <row r="746" spans="1:9" ht="14.4" x14ac:dyDescent="0.3">
      <c r="D746" s="165"/>
      <c r="E746" s="165"/>
      <c r="F746" s="165"/>
      <c r="G746" s="165"/>
      <c r="H746" s="165"/>
      <c r="I746" s="165"/>
    </row>
    <row r="747" spans="1:9" ht="30" customHeight="1" x14ac:dyDescent="0.3">
      <c r="B747" s="166" t="s">
        <v>21</v>
      </c>
      <c r="C747" s="207" t="s">
        <v>405</v>
      </c>
      <c r="D747" s="208"/>
      <c r="E747" s="208"/>
      <c r="F747" s="208"/>
      <c r="G747" s="208"/>
      <c r="H747" s="208"/>
      <c r="I747" s="208"/>
    </row>
    <row r="748" spans="1:9" ht="41.4" customHeight="1" x14ac:dyDescent="0.3">
      <c r="B748" s="166" t="s">
        <v>23</v>
      </c>
      <c r="C748" s="207" t="s">
        <v>532</v>
      </c>
      <c r="D748" s="208"/>
      <c r="E748" s="208"/>
      <c r="F748" s="208"/>
      <c r="G748" s="208"/>
      <c r="H748" s="208"/>
      <c r="I748" s="208"/>
    </row>
    <row r="749" spans="1:9" ht="13.5" customHeight="1" x14ac:dyDescent="0.3">
      <c r="D749" s="165"/>
      <c r="E749" s="165"/>
      <c r="F749" s="165"/>
      <c r="G749" s="165"/>
      <c r="H749" s="165"/>
      <c r="I749" s="165"/>
    </row>
    <row r="750" spans="1:9" ht="14.4" x14ac:dyDescent="0.3">
      <c r="A750" s="177" t="s">
        <v>533</v>
      </c>
      <c r="B750" s="203" t="s">
        <v>534</v>
      </c>
      <c r="C750" s="198"/>
      <c r="D750" s="198"/>
      <c r="E750" s="198"/>
      <c r="F750" s="198"/>
      <c r="G750" s="198"/>
      <c r="H750" s="198"/>
      <c r="I750" s="198"/>
    </row>
    <row r="751" spans="1:9" ht="14.4" x14ac:dyDescent="0.3">
      <c r="A751" s="3"/>
      <c r="B751" s="204" t="s">
        <v>6</v>
      </c>
      <c r="C751" s="198"/>
      <c r="D751" s="198"/>
      <c r="E751" s="198"/>
      <c r="F751" s="198"/>
      <c r="G751" s="198"/>
      <c r="H751" s="198"/>
      <c r="I751" s="198"/>
    </row>
    <row r="752" spans="1:9" ht="27.9" customHeight="1" x14ac:dyDescent="0.3">
      <c r="A752" s="60"/>
      <c r="B752" s="200" t="s">
        <v>535</v>
      </c>
      <c r="C752" s="198"/>
      <c r="D752" s="198"/>
      <c r="E752" s="198"/>
      <c r="F752" s="198"/>
      <c r="G752" s="198"/>
      <c r="H752" s="198"/>
      <c r="I752" s="198"/>
    </row>
    <row r="753" spans="1:9" ht="14.4" x14ac:dyDescent="0.3">
      <c r="A753" s="60"/>
      <c r="B753" s="178"/>
      <c r="C753" s="179"/>
      <c r="D753" s="179"/>
      <c r="E753" s="179"/>
      <c r="F753" s="179"/>
      <c r="G753" s="179"/>
      <c r="H753" s="179"/>
      <c r="I753" s="179"/>
    </row>
    <row r="754" spans="1:9" ht="14.4" x14ac:dyDescent="0.3">
      <c r="A754" s="60"/>
      <c r="B754" s="204" t="s">
        <v>0</v>
      </c>
      <c r="C754" s="198"/>
      <c r="D754" s="198"/>
      <c r="E754" s="198"/>
      <c r="F754" s="198"/>
      <c r="G754" s="198"/>
      <c r="H754" s="198"/>
      <c r="I754" s="198"/>
    </row>
    <row r="755" spans="1:9" ht="14.4" x14ac:dyDescent="0.3">
      <c r="B755" s="166" t="s">
        <v>8</v>
      </c>
      <c r="C755" s="200" t="s">
        <v>536</v>
      </c>
      <c r="D755" s="198"/>
      <c r="E755" s="198"/>
      <c r="F755" s="198"/>
      <c r="G755" s="198"/>
      <c r="H755" s="198"/>
      <c r="I755" s="198"/>
    </row>
    <row r="756" spans="1:9" ht="14.4" x14ac:dyDescent="0.3">
      <c r="B756" s="166" t="s">
        <v>8</v>
      </c>
      <c r="C756" s="200" t="s">
        <v>537</v>
      </c>
      <c r="D756" s="198"/>
      <c r="E756" s="198"/>
      <c r="F756" s="198"/>
      <c r="G756" s="198"/>
      <c r="H756" s="198"/>
      <c r="I756" s="198"/>
    </row>
    <row r="757" spans="1:9" ht="12.6" customHeight="1" x14ac:dyDescent="0.3">
      <c r="C757" s="171"/>
      <c r="D757" s="175"/>
      <c r="E757" s="175"/>
      <c r="F757" s="175"/>
      <c r="G757" s="175"/>
      <c r="H757" s="175"/>
      <c r="I757" s="175"/>
    </row>
    <row r="758" spans="1:9" x14ac:dyDescent="0.3">
      <c r="A758" s="177" t="s">
        <v>538</v>
      </c>
      <c r="B758" s="203" t="s">
        <v>539</v>
      </c>
      <c r="C758" s="203"/>
      <c r="D758" s="203"/>
      <c r="E758" s="203"/>
      <c r="F758" s="203"/>
      <c r="G758" s="203"/>
      <c r="H758" s="203"/>
      <c r="I758" s="203"/>
    </row>
    <row r="759" spans="1:9" x14ac:dyDescent="0.3">
      <c r="A759" s="3"/>
      <c r="B759" s="204" t="s">
        <v>6</v>
      </c>
      <c r="C759" s="204"/>
      <c r="D759" s="204"/>
      <c r="E759" s="204"/>
      <c r="F759" s="204"/>
      <c r="G759" s="204"/>
      <c r="H759" s="204"/>
      <c r="I759" s="204"/>
    </row>
    <row r="760" spans="1:9" ht="14.1" customHeight="1" x14ac:dyDescent="0.3">
      <c r="A760" s="60"/>
      <c r="B760" s="200" t="s">
        <v>540</v>
      </c>
      <c r="C760" s="200"/>
      <c r="D760" s="200"/>
      <c r="E760" s="200"/>
      <c r="F760" s="200"/>
      <c r="G760" s="200"/>
      <c r="H760" s="200"/>
      <c r="I760" s="200"/>
    </row>
    <row r="761" spans="1:9" x14ac:dyDescent="0.3">
      <c r="A761" s="170"/>
      <c r="B761" s="205"/>
      <c r="C761" s="205"/>
      <c r="D761" s="205"/>
      <c r="E761" s="205"/>
      <c r="F761" s="205"/>
      <c r="G761" s="205"/>
      <c r="H761" s="205"/>
      <c r="I761" s="205"/>
    </row>
    <row r="762" spans="1:9" x14ac:dyDescent="0.3">
      <c r="A762" s="60"/>
      <c r="B762" s="204" t="s">
        <v>0</v>
      </c>
      <c r="C762" s="204"/>
      <c r="D762" s="204"/>
      <c r="E762" s="204"/>
      <c r="F762" s="204"/>
      <c r="G762" s="204"/>
      <c r="H762" s="204"/>
      <c r="I762" s="204"/>
    </row>
    <row r="763" spans="1:9" x14ac:dyDescent="0.3">
      <c r="B763" s="166" t="s">
        <v>8</v>
      </c>
      <c r="C763" s="200" t="s">
        <v>541</v>
      </c>
      <c r="D763" s="200"/>
      <c r="E763" s="200"/>
      <c r="F763" s="200"/>
      <c r="G763" s="200"/>
      <c r="H763" s="200"/>
      <c r="I763" s="200"/>
    </row>
    <row r="764" spans="1:9" x14ac:dyDescent="0.3">
      <c r="B764" s="166" t="s">
        <v>8</v>
      </c>
      <c r="C764" s="200" t="s">
        <v>542</v>
      </c>
      <c r="D764" s="200"/>
      <c r="E764" s="200"/>
      <c r="F764" s="200"/>
      <c r="G764" s="200"/>
      <c r="H764" s="200"/>
      <c r="I764" s="200"/>
    </row>
    <row r="765" spans="1:9" ht="66.599999999999994" customHeight="1" x14ac:dyDescent="0.3">
      <c r="B765" s="166" t="s">
        <v>8</v>
      </c>
      <c r="C765" s="200" t="s">
        <v>543</v>
      </c>
      <c r="D765" s="200"/>
      <c r="E765" s="200"/>
      <c r="F765" s="200"/>
      <c r="G765" s="200"/>
      <c r="H765" s="200"/>
      <c r="I765" s="200"/>
    </row>
    <row r="766" spans="1:9" ht="16.2" x14ac:dyDescent="0.35">
      <c r="A766" s="142" t="s">
        <v>544</v>
      </c>
      <c r="B766" s="195" t="s">
        <v>545</v>
      </c>
      <c r="C766" s="196"/>
      <c r="D766" s="196"/>
      <c r="E766" s="196"/>
      <c r="F766" s="196"/>
      <c r="G766" s="196"/>
      <c r="H766" s="196"/>
      <c r="I766" s="196"/>
    </row>
    <row r="767" spans="1:9" ht="14.4" x14ac:dyDescent="0.3">
      <c r="D767" s="165"/>
      <c r="E767" s="165"/>
      <c r="F767" s="165"/>
      <c r="G767" s="165"/>
      <c r="H767" s="165"/>
      <c r="I767" s="165"/>
    </row>
    <row r="768" spans="1:9" ht="14.4" customHeight="1" x14ac:dyDescent="0.3">
      <c r="A768" s="177" t="s">
        <v>546</v>
      </c>
      <c r="B768" s="203" t="s">
        <v>74</v>
      </c>
      <c r="C768" s="198"/>
      <c r="D768" s="198"/>
      <c r="E768" s="198"/>
      <c r="F768" s="198"/>
      <c r="G768" s="198"/>
      <c r="H768" s="198"/>
      <c r="I768" s="198"/>
    </row>
    <row r="769" spans="1:9" ht="12" customHeight="1" x14ac:dyDescent="0.3"/>
    <row r="770" spans="1:9" ht="14.4" customHeight="1" x14ac:dyDescent="0.3">
      <c r="A770" s="177" t="s">
        <v>547</v>
      </c>
      <c r="B770" s="203" t="s">
        <v>548</v>
      </c>
      <c r="C770" s="203"/>
      <c r="D770" s="203"/>
      <c r="E770" s="203"/>
      <c r="F770" s="203"/>
      <c r="G770" s="203"/>
      <c r="H770" s="203"/>
      <c r="I770" s="203"/>
    </row>
    <row r="771" spans="1:9" ht="14.4" customHeight="1" x14ac:dyDescent="0.3">
      <c r="A771" s="3"/>
      <c r="B771" s="204" t="s">
        <v>6</v>
      </c>
      <c r="C771" s="204"/>
      <c r="D771" s="204"/>
      <c r="E771" s="204"/>
      <c r="F771" s="204"/>
      <c r="G771" s="204"/>
      <c r="H771" s="204"/>
      <c r="I771" s="204"/>
    </row>
    <row r="772" spans="1:9" ht="15.9" customHeight="1" x14ac:dyDescent="0.3">
      <c r="A772" s="60"/>
      <c r="B772" s="200" t="s">
        <v>549</v>
      </c>
      <c r="C772" s="198"/>
      <c r="D772" s="198"/>
      <c r="E772" s="198"/>
      <c r="F772" s="198"/>
      <c r="G772" s="198"/>
      <c r="H772" s="198"/>
      <c r="I772" s="198"/>
    </row>
    <row r="773" spans="1:9" ht="14.4" x14ac:dyDescent="0.3">
      <c r="A773" s="170"/>
      <c r="B773" s="205"/>
      <c r="C773" s="206"/>
      <c r="D773" s="206"/>
      <c r="E773" s="206"/>
      <c r="F773" s="206"/>
      <c r="G773" s="206"/>
      <c r="H773" s="206"/>
      <c r="I773" s="206"/>
    </row>
    <row r="774" spans="1:9" ht="14.4" x14ac:dyDescent="0.3">
      <c r="A774" s="60"/>
      <c r="B774" s="204" t="s">
        <v>0</v>
      </c>
      <c r="C774" s="198"/>
      <c r="D774" s="198"/>
      <c r="E774" s="198"/>
      <c r="F774" s="198"/>
      <c r="G774" s="198"/>
      <c r="H774" s="198"/>
      <c r="I774" s="198"/>
    </row>
    <row r="775" spans="1:9" ht="14.4" x14ac:dyDescent="0.3">
      <c r="B775" s="166" t="s">
        <v>8</v>
      </c>
      <c r="C775" s="200" t="s">
        <v>462</v>
      </c>
      <c r="D775" s="198"/>
      <c r="E775" s="198"/>
      <c r="F775" s="198"/>
      <c r="G775" s="198"/>
      <c r="H775" s="198"/>
      <c r="I775" s="198"/>
    </row>
    <row r="776" spans="1:9" ht="14.4" x14ac:dyDescent="0.3">
      <c r="B776" s="166" t="s">
        <v>8</v>
      </c>
      <c r="C776" s="200" t="s">
        <v>550</v>
      </c>
      <c r="D776" s="198"/>
      <c r="E776" s="198"/>
      <c r="F776" s="198"/>
      <c r="G776" s="198"/>
      <c r="H776" s="198"/>
      <c r="I776" s="198"/>
    </row>
    <row r="777" spans="1:9" ht="14.4" x14ac:dyDescent="0.3">
      <c r="B777" s="166" t="s">
        <v>8</v>
      </c>
      <c r="C777" s="200" t="s">
        <v>551</v>
      </c>
      <c r="D777" s="198"/>
      <c r="E777" s="198"/>
      <c r="F777" s="198"/>
      <c r="G777" s="198"/>
      <c r="H777" s="198"/>
      <c r="I777" s="198"/>
    </row>
    <row r="778" spans="1:9" ht="14.4" x14ac:dyDescent="0.3">
      <c r="D778" s="165"/>
      <c r="E778" s="165"/>
      <c r="F778" s="165"/>
      <c r="G778" s="165"/>
      <c r="H778" s="165"/>
      <c r="I778" s="165"/>
    </row>
    <row r="779" spans="1:9" ht="14.4" customHeight="1" x14ac:dyDescent="0.3">
      <c r="A779" s="177" t="s">
        <v>552</v>
      </c>
      <c r="B779" s="203" t="s">
        <v>97</v>
      </c>
      <c r="C779" s="198"/>
      <c r="D779" s="198"/>
      <c r="E779" s="198"/>
      <c r="F779" s="198"/>
      <c r="G779" s="198"/>
      <c r="H779" s="198"/>
      <c r="I779" s="198"/>
    </row>
    <row r="780" spans="1:9" ht="12" customHeight="1" x14ac:dyDescent="0.3"/>
    <row r="781" spans="1:9" ht="14.4" x14ac:dyDescent="0.3">
      <c r="A781" s="177" t="s">
        <v>553</v>
      </c>
      <c r="B781" s="203" t="s">
        <v>554</v>
      </c>
      <c r="C781" s="198"/>
      <c r="D781" s="198"/>
      <c r="E781" s="198"/>
      <c r="F781" s="198"/>
      <c r="G781" s="198"/>
      <c r="H781" s="198"/>
      <c r="I781" s="198"/>
    </row>
    <row r="782" spans="1:9" ht="14.4" x14ac:dyDescent="0.3">
      <c r="A782" s="3"/>
      <c r="B782" s="204" t="s">
        <v>6</v>
      </c>
      <c r="C782" s="198"/>
      <c r="D782" s="198"/>
      <c r="E782" s="198"/>
      <c r="F782" s="198"/>
      <c r="G782" s="198"/>
      <c r="H782" s="198"/>
      <c r="I782" s="198"/>
    </row>
    <row r="783" spans="1:9" ht="15.6" customHeight="1" x14ac:dyDescent="0.3">
      <c r="A783" s="60"/>
      <c r="B783" s="200" t="s">
        <v>555</v>
      </c>
      <c r="C783" s="198"/>
      <c r="D783" s="198"/>
      <c r="E783" s="198"/>
      <c r="F783" s="198"/>
      <c r="G783" s="198"/>
      <c r="H783" s="198"/>
      <c r="I783" s="198"/>
    </row>
    <row r="784" spans="1:9" ht="14.4" x14ac:dyDescent="0.3">
      <c r="A784" s="60"/>
      <c r="B784" s="200"/>
      <c r="C784" s="198"/>
      <c r="D784" s="198"/>
      <c r="E784" s="198"/>
      <c r="F784" s="198"/>
      <c r="G784" s="198"/>
      <c r="H784" s="198"/>
      <c r="I784" s="198"/>
    </row>
    <row r="785" spans="1:9" ht="14.4" x14ac:dyDescent="0.3">
      <c r="A785" s="60"/>
      <c r="B785" s="204" t="s">
        <v>0</v>
      </c>
      <c r="C785" s="198"/>
      <c r="D785" s="198"/>
      <c r="E785" s="198"/>
      <c r="F785" s="198"/>
      <c r="G785" s="198"/>
      <c r="H785" s="198"/>
      <c r="I785" s="198"/>
    </row>
    <row r="786" spans="1:9" ht="14.4" x14ac:dyDescent="0.3">
      <c r="B786" s="166" t="s">
        <v>8</v>
      </c>
      <c r="C786" s="200" t="s">
        <v>462</v>
      </c>
      <c r="D786" s="198"/>
      <c r="E786" s="198"/>
      <c r="F786" s="198"/>
      <c r="G786" s="198"/>
      <c r="H786" s="198"/>
      <c r="I786" s="198"/>
    </row>
    <row r="787" spans="1:9" ht="14.4" x14ac:dyDescent="0.3">
      <c r="B787" s="166" t="s">
        <v>8</v>
      </c>
      <c r="C787" s="200" t="s">
        <v>550</v>
      </c>
      <c r="D787" s="198"/>
      <c r="E787" s="198"/>
      <c r="F787" s="198"/>
      <c r="G787" s="198"/>
      <c r="H787" s="198"/>
      <c r="I787" s="198"/>
    </row>
    <row r="788" spans="1:9" ht="14.4" x14ac:dyDescent="0.3">
      <c r="B788" s="166" t="s">
        <v>8</v>
      </c>
      <c r="C788" s="200" t="s">
        <v>556</v>
      </c>
      <c r="D788" s="198"/>
      <c r="E788" s="198"/>
      <c r="F788" s="198"/>
      <c r="G788" s="198"/>
      <c r="H788" s="198"/>
      <c r="I788" s="198"/>
    </row>
    <row r="789" spans="1:9" ht="14.4" x14ac:dyDescent="0.3">
      <c r="D789" s="165"/>
      <c r="E789" s="165"/>
      <c r="F789" s="165"/>
      <c r="G789" s="165"/>
      <c r="H789" s="165"/>
      <c r="I789" s="165"/>
    </row>
    <row r="790" spans="1:9" ht="14.4" customHeight="1" x14ac:dyDescent="0.3">
      <c r="A790" s="177" t="s">
        <v>557</v>
      </c>
      <c r="B790" s="203" t="s">
        <v>558</v>
      </c>
      <c r="C790" s="198"/>
      <c r="D790" s="198"/>
      <c r="E790" s="198"/>
      <c r="F790" s="198"/>
      <c r="G790" s="198"/>
      <c r="H790" s="198"/>
      <c r="I790" s="198"/>
    </row>
    <row r="791" spans="1:9" ht="12" customHeight="1" x14ac:dyDescent="0.3"/>
    <row r="792" spans="1:9" x14ac:dyDescent="0.3">
      <c r="A792" s="177" t="s">
        <v>559</v>
      </c>
      <c r="B792" s="203" t="s">
        <v>560</v>
      </c>
      <c r="C792" s="203"/>
      <c r="D792" s="203"/>
      <c r="E792" s="203"/>
      <c r="F792" s="203"/>
      <c r="G792" s="203"/>
      <c r="H792" s="203"/>
      <c r="I792" s="203"/>
    </row>
    <row r="793" spans="1:9" x14ac:dyDescent="0.3">
      <c r="A793" s="3"/>
      <c r="B793" s="204" t="s">
        <v>6</v>
      </c>
      <c r="C793" s="204"/>
      <c r="D793" s="204"/>
      <c r="E793" s="204"/>
      <c r="F793" s="204"/>
      <c r="G793" s="204"/>
      <c r="H793" s="204"/>
      <c r="I793" s="204"/>
    </row>
    <row r="794" spans="1:9" ht="30.9" customHeight="1" x14ac:dyDescent="0.3">
      <c r="A794" s="60"/>
      <c r="B794" s="200" t="s">
        <v>561</v>
      </c>
      <c r="C794" s="198"/>
      <c r="D794" s="198"/>
      <c r="E794" s="198"/>
      <c r="F794" s="198"/>
      <c r="G794" s="198"/>
      <c r="H794" s="198"/>
      <c r="I794" s="198"/>
    </row>
    <row r="795" spans="1:9" ht="14.4" x14ac:dyDescent="0.3">
      <c r="A795" s="170"/>
      <c r="B795" s="205"/>
      <c r="C795" s="206"/>
      <c r="D795" s="206"/>
      <c r="E795" s="206"/>
      <c r="F795" s="206"/>
      <c r="G795" s="206"/>
      <c r="H795" s="206"/>
      <c r="I795" s="206"/>
    </row>
    <row r="796" spans="1:9" ht="14.4" x14ac:dyDescent="0.3">
      <c r="A796" s="60"/>
      <c r="B796" s="204" t="s">
        <v>0</v>
      </c>
      <c r="C796" s="198"/>
      <c r="D796" s="198"/>
      <c r="E796" s="198"/>
      <c r="F796" s="198"/>
      <c r="G796" s="198"/>
      <c r="H796" s="198"/>
      <c r="I796" s="198"/>
    </row>
    <row r="797" spans="1:9" ht="14.4" x14ac:dyDescent="0.3">
      <c r="B797" s="166" t="s">
        <v>8</v>
      </c>
      <c r="C797" s="200" t="s">
        <v>562</v>
      </c>
      <c r="D797" s="198"/>
      <c r="E797" s="198"/>
      <c r="F797" s="198"/>
      <c r="G797" s="198"/>
      <c r="H797" s="198"/>
      <c r="I797" s="198"/>
    </row>
    <row r="798" spans="1:9" ht="14.4" x14ac:dyDescent="0.3">
      <c r="B798" s="166" t="s">
        <v>8</v>
      </c>
      <c r="C798" s="200" t="s">
        <v>563</v>
      </c>
      <c r="D798" s="198"/>
      <c r="E798" s="198"/>
      <c r="F798" s="198"/>
      <c r="G798" s="198"/>
      <c r="H798" s="198"/>
      <c r="I798" s="198"/>
    </row>
    <row r="799" spans="1:9" ht="14.4" x14ac:dyDescent="0.3">
      <c r="D799" s="165"/>
      <c r="E799" s="165"/>
      <c r="F799" s="165"/>
      <c r="G799" s="165"/>
      <c r="H799" s="165"/>
      <c r="I799" s="165"/>
    </row>
    <row r="800" spans="1:9" ht="16.2" x14ac:dyDescent="0.35">
      <c r="A800" s="142" t="s">
        <v>564</v>
      </c>
      <c r="B800" s="195" t="s">
        <v>565</v>
      </c>
      <c r="C800" s="196"/>
      <c r="D800" s="196"/>
      <c r="E800" s="196"/>
      <c r="F800" s="196"/>
      <c r="G800" s="196"/>
      <c r="H800" s="196"/>
      <c r="I800" s="196"/>
    </row>
    <row r="801" spans="1:9" ht="14.4" x14ac:dyDescent="0.3">
      <c r="D801" s="165"/>
      <c r="E801" s="165"/>
      <c r="F801" s="165"/>
      <c r="G801" s="165"/>
      <c r="H801" s="165"/>
      <c r="I801" s="165"/>
    </row>
    <row r="802" spans="1:9" ht="14.4" x14ac:dyDescent="0.3">
      <c r="A802" s="177" t="s">
        <v>566</v>
      </c>
      <c r="B802" s="203" t="s">
        <v>74</v>
      </c>
      <c r="C802" s="198"/>
      <c r="D802" s="198"/>
      <c r="E802" s="198"/>
      <c r="F802" s="198"/>
      <c r="G802" s="198"/>
      <c r="H802" s="198"/>
      <c r="I802" s="198"/>
    </row>
    <row r="804" spans="1:9" x14ac:dyDescent="0.3">
      <c r="A804" s="177" t="s">
        <v>567</v>
      </c>
      <c r="B804" s="203" t="s">
        <v>568</v>
      </c>
      <c r="C804" s="203"/>
      <c r="D804" s="203"/>
      <c r="E804" s="203"/>
      <c r="F804" s="203"/>
      <c r="G804" s="203"/>
      <c r="H804" s="203"/>
      <c r="I804" s="203"/>
    </row>
    <row r="805" spans="1:9" x14ac:dyDescent="0.3">
      <c r="A805" s="3"/>
      <c r="B805" s="204" t="s">
        <v>6</v>
      </c>
      <c r="C805" s="204"/>
      <c r="D805" s="204"/>
      <c r="E805" s="204"/>
      <c r="F805" s="204"/>
      <c r="G805" s="204"/>
      <c r="H805" s="204"/>
      <c r="I805" s="204"/>
    </row>
    <row r="806" spans="1:9" ht="14.4" x14ac:dyDescent="0.3">
      <c r="A806" s="60"/>
      <c r="B806" s="200" t="s">
        <v>569</v>
      </c>
      <c r="C806" s="198"/>
      <c r="D806" s="198"/>
      <c r="E806" s="198"/>
      <c r="F806" s="198"/>
      <c r="G806" s="198"/>
      <c r="H806" s="198"/>
      <c r="I806" s="198"/>
    </row>
    <row r="807" spans="1:9" ht="14.4" x14ac:dyDescent="0.3">
      <c r="A807" s="170"/>
      <c r="B807" s="205"/>
      <c r="C807" s="206"/>
      <c r="D807" s="206"/>
      <c r="E807" s="206"/>
      <c r="F807" s="206"/>
      <c r="G807" s="206"/>
      <c r="H807" s="206"/>
      <c r="I807" s="206"/>
    </row>
    <row r="808" spans="1:9" ht="14.4" x14ac:dyDescent="0.3">
      <c r="A808" s="60"/>
      <c r="B808" s="204" t="s">
        <v>0</v>
      </c>
      <c r="C808" s="198"/>
      <c r="D808" s="198"/>
      <c r="E808" s="198"/>
      <c r="F808" s="198"/>
      <c r="G808" s="198"/>
      <c r="H808" s="198"/>
      <c r="I808" s="198"/>
    </row>
    <row r="809" spans="1:9" ht="14.4" x14ac:dyDescent="0.3">
      <c r="B809" s="166" t="s">
        <v>8</v>
      </c>
      <c r="C809" s="200" t="s">
        <v>102</v>
      </c>
      <c r="D809" s="198"/>
      <c r="E809" s="198"/>
      <c r="F809" s="198"/>
      <c r="G809" s="198"/>
      <c r="H809" s="198"/>
      <c r="I809" s="198"/>
    </row>
    <row r="810" spans="1:9" ht="14.4" x14ac:dyDescent="0.3">
      <c r="B810" s="166" t="s">
        <v>8</v>
      </c>
      <c r="C810" s="200" t="s">
        <v>570</v>
      </c>
      <c r="D810" s="198"/>
      <c r="E810" s="198"/>
      <c r="F810" s="198"/>
      <c r="G810" s="198"/>
      <c r="H810" s="198"/>
      <c r="I810" s="198"/>
    </row>
    <row r="811" spans="1:9" ht="24.9" customHeight="1" x14ac:dyDescent="0.3">
      <c r="B811" s="166" t="s">
        <v>8</v>
      </c>
      <c r="C811" s="200" t="s">
        <v>571</v>
      </c>
      <c r="D811" s="198"/>
      <c r="E811" s="198"/>
      <c r="F811" s="198"/>
      <c r="G811" s="198"/>
      <c r="H811" s="198"/>
      <c r="I811" s="198"/>
    </row>
    <row r="812" spans="1:9" ht="16.5" customHeight="1" x14ac:dyDescent="0.3">
      <c r="B812" s="166" t="s">
        <v>8</v>
      </c>
      <c r="C812" s="200" t="s">
        <v>572</v>
      </c>
      <c r="D812" s="198"/>
      <c r="E812" s="198"/>
      <c r="F812" s="198"/>
      <c r="G812" s="198"/>
      <c r="H812" s="198"/>
      <c r="I812" s="198"/>
    </row>
    <row r="814" spans="1:9" ht="14.4" x14ac:dyDescent="0.3">
      <c r="A814" s="177" t="s">
        <v>573</v>
      </c>
      <c r="B814" s="203" t="s">
        <v>534</v>
      </c>
      <c r="C814" s="198"/>
      <c r="D814" s="198"/>
      <c r="E814" s="198"/>
      <c r="F814" s="198"/>
      <c r="G814" s="198"/>
      <c r="H814" s="198"/>
      <c r="I814" s="198"/>
    </row>
    <row r="815" spans="1:9" ht="14.4" x14ac:dyDescent="0.3">
      <c r="A815" s="3"/>
      <c r="B815" s="204" t="s">
        <v>6</v>
      </c>
      <c r="C815" s="198"/>
      <c r="D815" s="198"/>
      <c r="E815" s="198"/>
      <c r="F815" s="198"/>
      <c r="G815" s="198"/>
      <c r="H815" s="198"/>
      <c r="I815" s="198"/>
    </row>
    <row r="816" spans="1:9" ht="28.5" customHeight="1" x14ac:dyDescent="0.3">
      <c r="A816" s="60"/>
      <c r="B816" s="200" t="s">
        <v>574</v>
      </c>
      <c r="C816" s="198"/>
      <c r="D816" s="198"/>
      <c r="E816" s="198"/>
      <c r="F816" s="198"/>
      <c r="G816" s="198"/>
      <c r="H816" s="198"/>
      <c r="I816" s="198"/>
    </row>
    <row r="817" spans="1:9" ht="14.4" x14ac:dyDescent="0.3">
      <c r="A817" s="60"/>
      <c r="B817" s="200"/>
      <c r="C817" s="198"/>
      <c r="D817" s="198"/>
      <c r="E817" s="198"/>
      <c r="F817" s="198"/>
      <c r="G817" s="198"/>
      <c r="H817" s="198"/>
      <c r="I817" s="198"/>
    </row>
    <row r="818" spans="1:9" ht="14.4" x14ac:dyDescent="0.3">
      <c r="A818" s="60"/>
      <c r="B818" s="204" t="s">
        <v>0</v>
      </c>
      <c r="C818" s="198"/>
      <c r="D818" s="198"/>
      <c r="E818" s="198"/>
      <c r="F818" s="198"/>
      <c r="G818" s="198"/>
      <c r="H818" s="198"/>
      <c r="I818" s="198"/>
    </row>
    <row r="819" spans="1:9" ht="14.4" x14ac:dyDescent="0.3">
      <c r="B819" s="166" t="s">
        <v>8</v>
      </c>
      <c r="C819" s="200" t="s">
        <v>575</v>
      </c>
      <c r="D819" s="198"/>
      <c r="E819" s="198"/>
      <c r="F819" s="198"/>
      <c r="G819" s="198"/>
      <c r="H819" s="198"/>
      <c r="I819" s="198"/>
    </row>
    <row r="820" spans="1:9" ht="14.4" x14ac:dyDescent="0.3">
      <c r="B820" s="166" t="s">
        <v>8</v>
      </c>
      <c r="C820" s="200" t="s">
        <v>576</v>
      </c>
      <c r="D820" s="198"/>
      <c r="E820" s="198"/>
      <c r="F820" s="198"/>
      <c r="G820" s="198"/>
      <c r="H820" s="198"/>
      <c r="I820" s="198"/>
    </row>
    <row r="821" spans="1:9" ht="14.4" x14ac:dyDescent="0.3">
      <c r="B821" s="166" t="s">
        <v>8</v>
      </c>
      <c r="C821" s="200" t="s">
        <v>577</v>
      </c>
      <c r="D821" s="198"/>
      <c r="E821" s="198"/>
      <c r="F821" s="198"/>
      <c r="G821" s="198"/>
      <c r="H821" s="198"/>
      <c r="I821" s="198"/>
    </row>
    <row r="822" spans="1:9" ht="14.4" customHeight="1" x14ac:dyDescent="0.3">
      <c r="B822" s="166" t="s">
        <v>8</v>
      </c>
      <c r="C822" s="200" t="s">
        <v>578</v>
      </c>
      <c r="D822" s="198"/>
      <c r="E822" s="198"/>
      <c r="F822" s="198"/>
      <c r="G822" s="198"/>
      <c r="H822" s="198"/>
      <c r="I822" s="198"/>
    </row>
    <row r="823" spans="1:9" ht="14.4" customHeight="1" x14ac:dyDescent="0.3">
      <c r="D823" s="165"/>
      <c r="E823" s="165"/>
      <c r="F823" s="165"/>
      <c r="G823" s="165"/>
      <c r="H823" s="165"/>
      <c r="I823" s="165"/>
    </row>
    <row r="824" spans="1:9" x14ac:dyDescent="0.3">
      <c r="A824" s="177" t="s">
        <v>579</v>
      </c>
      <c r="B824" s="203" t="s">
        <v>539</v>
      </c>
      <c r="C824" s="203"/>
      <c r="D824" s="203"/>
      <c r="E824" s="203"/>
      <c r="F824" s="203"/>
      <c r="G824" s="203"/>
      <c r="H824" s="203"/>
      <c r="I824" s="203"/>
    </row>
    <row r="825" spans="1:9" x14ac:dyDescent="0.3">
      <c r="A825" s="3"/>
      <c r="B825" s="204" t="s">
        <v>6</v>
      </c>
      <c r="C825" s="204"/>
      <c r="D825" s="204"/>
      <c r="E825" s="204"/>
      <c r="F825" s="204"/>
      <c r="G825" s="204"/>
      <c r="H825" s="204"/>
      <c r="I825" s="204"/>
    </row>
    <row r="826" spans="1:9" x14ac:dyDescent="0.3">
      <c r="A826" s="60"/>
      <c r="B826" s="200" t="s">
        <v>540</v>
      </c>
      <c r="C826" s="200"/>
      <c r="D826" s="200"/>
      <c r="E826" s="200"/>
      <c r="F826" s="200"/>
      <c r="G826" s="200"/>
      <c r="H826" s="200"/>
      <c r="I826" s="200"/>
    </row>
    <row r="827" spans="1:9" x14ac:dyDescent="0.3">
      <c r="A827" s="170"/>
      <c r="B827" s="205"/>
      <c r="C827" s="205"/>
      <c r="D827" s="205"/>
      <c r="E827" s="205"/>
      <c r="F827" s="205"/>
      <c r="G827" s="205"/>
      <c r="H827" s="205"/>
      <c r="I827" s="205"/>
    </row>
    <row r="828" spans="1:9" x14ac:dyDescent="0.3">
      <c r="A828" s="60"/>
      <c r="B828" s="204" t="s">
        <v>0</v>
      </c>
      <c r="C828" s="204"/>
      <c r="D828" s="204"/>
      <c r="E828" s="204"/>
      <c r="F828" s="204"/>
      <c r="G828" s="204"/>
      <c r="H828" s="204"/>
      <c r="I828" s="204"/>
    </row>
    <row r="829" spans="1:9" x14ac:dyDescent="0.3">
      <c r="B829" s="166" t="s">
        <v>8</v>
      </c>
      <c r="C829" s="200" t="s">
        <v>541</v>
      </c>
      <c r="D829" s="200"/>
      <c r="E829" s="200"/>
      <c r="F829" s="200"/>
      <c r="G829" s="200"/>
      <c r="H829" s="200"/>
      <c r="I829" s="200"/>
    </row>
    <row r="830" spans="1:9" ht="14.1" customHeight="1" x14ac:dyDescent="0.3">
      <c r="B830" s="166" t="s">
        <v>8</v>
      </c>
      <c r="C830" s="200" t="s">
        <v>580</v>
      </c>
      <c r="D830" s="200"/>
      <c r="E830" s="200"/>
      <c r="F830" s="200"/>
      <c r="G830" s="200"/>
      <c r="H830" s="200"/>
      <c r="I830" s="200"/>
    </row>
    <row r="831" spans="1:9" ht="48.9" customHeight="1" x14ac:dyDescent="0.3">
      <c r="B831" s="166" t="s">
        <v>8</v>
      </c>
      <c r="C831" s="200" t="s">
        <v>581</v>
      </c>
      <c r="D831" s="200"/>
      <c r="E831" s="200"/>
      <c r="F831" s="200"/>
      <c r="G831" s="200"/>
      <c r="H831" s="200"/>
      <c r="I831" s="200"/>
    </row>
    <row r="833" spans="1:9" ht="14.4" x14ac:dyDescent="0.3">
      <c r="A833" s="177" t="s">
        <v>582</v>
      </c>
      <c r="B833" s="203" t="s">
        <v>583</v>
      </c>
      <c r="C833" s="198"/>
      <c r="D833" s="198"/>
      <c r="E833" s="198"/>
      <c r="F833" s="198"/>
      <c r="G833" s="198"/>
      <c r="H833" s="198"/>
      <c r="I833" s="198"/>
    </row>
    <row r="834" spans="1:9" ht="14.4" x14ac:dyDescent="0.3">
      <c r="A834" s="3"/>
      <c r="B834" s="204" t="s">
        <v>6</v>
      </c>
      <c r="C834" s="198"/>
      <c r="D834" s="198"/>
      <c r="E834" s="198"/>
      <c r="F834" s="198"/>
      <c r="G834" s="198"/>
      <c r="H834" s="198"/>
      <c r="I834" s="198"/>
    </row>
    <row r="835" spans="1:9" ht="41.4" customHeight="1" x14ac:dyDescent="0.3">
      <c r="A835" s="60"/>
      <c r="B835" s="200" t="s">
        <v>584</v>
      </c>
      <c r="C835" s="198"/>
      <c r="D835" s="198"/>
      <c r="E835" s="198"/>
      <c r="F835" s="198"/>
      <c r="G835" s="198"/>
      <c r="H835" s="198"/>
      <c r="I835" s="198"/>
    </row>
    <row r="836" spans="1:9" ht="14.4" x14ac:dyDescent="0.3">
      <c r="A836" s="170"/>
      <c r="B836" s="205"/>
      <c r="C836" s="206"/>
      <c r="D836" s="206"/>
      <c r="E836" s="206"/>
      <c r="F836" s="206"/>
      <c r="G836" s="206"/>
      <c r="H836" s="206"/>
      <c r="I836" s="206"/>
    </row>
    <row r="837" spans="1:9" ht="14.4" x14ac:dyDescent="0.3">
      <c r="A837" s="60"/>
      <c r="B837" s="204" t="s">
        <v>0</v>
      </c>
      <c r="C837" s="198"/>
      <c r="D837" s="198"/>
      <c r="E837" s="198"/>
      <c r="F837" s="198"/>
      <c r="G837" s="198"/>
      <c r="H837" s="198"/>
      <c r="I837" s="198"/>
    </row>
    <row r="838" spans="1:9" ht="14.4" x14ac:dyDescent="0.3">
      <c r="B838" s="166" t="s">
        <v>8</v>
      </c>
      <c r="C838" s="200" t="s">
        <v>187</v>
      </c>
      <c r="D838" s="198"/>
      <c r="E838" s="198"/>
      <c r="F838" s="198"/>
      <c r="G838" s="198"/>
      <c r="H838" s="198"/>
      <c r="I838" s="198"/>
    </row>
    <row r="839" spans="1:9" ht="14.4" x14ac:dyDescent="0.3">
      <c r="D839" s="165"/>
      <c r="E839" s="165"/>
      <c r="F839" s="165"/>
      <c r="G839" s="165"/>
      <c r="H839" s="165"/>
      <c r="I839" s="165"/>
    </row>
    <row r="840" spans="1:9" ht="14.4" customHeight="1" x14ac:dyDescent="0.3">
      <c r="A840" s="177" t="s">
        <v>585</v>
      </c>
      <c r="B840" s="203" t="s">
        <v>97</v>
      </c>
      <c r="C840" s="198"/>
      <c r="D840" s="198"/>
      <c r="E840" s="198"/>
      <c r="F840" s="198"/>
      <c r="G840" s="198"/>
      <c r="H840" s="198"/>
      <c r="I840" s="198"/>
    </row>
    <row r="841" spans="1:9" ht="14.4" x14ac:dyDescent="0.3">
      <c r="D841" s="165"/>
      <c r="E841" s="165"/>
      <c r="F841" s="165"/>
      <c r="G841" s="165"/>
      <c r="H841" s="165"/>
      <c r="I841" s="165"/>
    </row>
    <row r="842" spans="1:9" ht="14.4" x14ac:dyDescent="0.3">
      <c r="A842" s="177" t="s">
        <v>586</v>
      </c>
      <c r="B842" s="203" t="s">
        <v>587</v>
      </c>
      <c r="C842" s="198"/>
      <c r="D842" s="198"/>
      <c r="E842" s="198"/>
      <c r="F842" s="198"/>
      <c r="G842" s="198"/>
      <c r="H842" s="198"/>
      <c r="I842" s="198"/>
    </row>
    <row r="843" spans="1:9" ht="14.4" x14ac:dyDescent="0.3">
      <c r="A843" s="3"/>
      <c r="B843" s="204" t="s">
        <v>6</v>
      </c>
      <c r="C843" s="198"/>
      <c r="D843" s="198"/>
      <c r="E843" s="198"/>
      <c r="F843" s="198"/>
      <c r="G843" s="198"/>
      <c r="H843" s="198"/>
      <c r="I843" s="198"/>
    </row>
    <row r="844" spans="1:9" ht="27" customHeight="1" x14ac:dyDescent="0.3">
      <c r="A844" s="60"/>
      <c r="B844" s="200" t="s">
        <v>588</v>
      </c>
      <c r="C844" s="198"/>
      <c r="D844" s="198"/>
      <c r="E844" s="198"/>
      <c r="F844" s="198"/>
      <c r="G844" s="198"/>
      <c r="H844" s="198"/>
      <c r="I844" s="198"/>
    </row>
    <row r="845" spans="1:9" ht="14.4" x14ac:dyDescent="0.3">
      <c r="A845" s="170"/>
      <c r="B845" s="168"/>
      <c r="C845" s="169"/>
      <c r="D845" s="169"/>
      <c r="E845" s="169"/>
      <c r="F845" s="169"/>
      <c r="G845" s="169"/>
      <c r="H845" s="169"/>
      <c r="I845" s="169"/>
    </row>
    <row r="846" spans="1:9" ht="14.4" x14ac:dyDescent="0.3">
      <c r="A846" s="60"/>
      <c r="B846" s="204" t="s">
        <v>0</v>
      </c>
      <c r="C846" s="198"/>
      <c r="D846" s="198"/>
      <c r="E846" s="198"/>
      <c r="F846" s="198"/>
      <c r="G846" s="198"/>
      <c r="H846" s="198"/>
      <c r="I846" s="198"/>
    </row>
    <row r="847" spans="1:9" ht="14.4" x14ac:dyDescent="0.3">
      <c r="B847" s="166" t="s">
        <v>8</v>
      </c>
      <c r="C847" s="200" t="s">
        <v>410</v>
      </c>
      <c r="D847" s="198"/>
      <c r="E847" s="198"/>
      <c r="F847" s="198"/>
      <c r="G847" s="198"/>
      <c r="H847" s="198"/>
      <c r="I847" s="198"/>
    </row>
    <row r="848" spans="1:9" ht="14.4" x14ac:dyDescent="0.3">
      <c r="B848" s="166" t="s">
        <v>8</v>
      </c>
      <c r="C848" s="200" t="s">
        <v>589</v>
      </c>
      <c r="D848" s="198"/>
      <c r="E848" s="198"/>
      <c r="F848" s="198"/>
      <c r="G848" s="198"/>
      <c r="H848" s="198"/>
      <c r="I848" s="198"/>
    </row>
    <row r="849" spans="1:9" ht="27.9" customHeight="1" x14ac:dyDescent="0.3">
      <c r="B849" s="166" t="s">
        <v>8</v>
      </c>
      <c r="C849" s="200" t="s">
        <v>590</v>
      </c>
      <c r="D849" s="198"/>
      <c r="E849" s="198"/>
      <c r="F849" s="198"/>
      <c r="G849" s="198"/>
      <c r="H849" s="198"/>
      <c r="I849" s="198"/>
    </row>
    <row r="850" spans="1:9" ht="16.5" customHeight="1" x14ac:dyDescent="0.3">
      <c r="B850" s="166" t="s">
        <v>8</v>
      </c>
      <c r="C850" s="200" t="s">
        <v>591</v>
      </c>
      <c r="D850" s="198"/>
      <c r="E850" s="198"/>
      <c r="F850" s="198"/>
      <c r="G850" s="198"/>
      <c r="H850" s="198"/>
      <c r="I850" s="198"/>
    </row>
    <row r="852" spans="1:9" ht="14.4" x14ac:dyDescent="0.3">
      <c r="A852" s="177" t="s">
        <v>592</v>
      </c>
      <c r="B852" s="203" t="s">
        <v>534</v>
      </c>
      <c r="C852" s="198"/>
      <c r="D852" s="198"/>
      <c r="E852" s="198"/>
      <c r="F852" s="198"/>
      <c r="G852" s="198"/>
      <c r="H852" s="198"/>
      <c r="I852" s="198"/>
    </row>
    <row r="853" spans="1:9" ht="14.4" x14ac:dyDescent="0.3">
      <c r="A853" s="3"/>
      <c r="B853" s="204" t="s">
        <v>6</v>
      </c>
      <c r="C853" s="198"/>
      <c r="D853" s="198"/>
      <c r="E853" s="198"/>
      <c r="F853" s="198"/>
      <c r="G853" s="198"/>
      <c r="H853" s="198"/>
      <c r="I853" s="198"/>
    </row>
    <row r="854" spans="1:9" ht="30" customHeight="1" x14ac:dyDescent="0.3">
      <c r="A854" s="60"/>
      <c r="B854" s="200" t="s">
        <v>593</v>
      </c>
      <c r="C854" s="198"/>
      <c r="D854" s="198"/>
      <c r="E854" s="198"/>
      <c r="F854" s="198"/>
      <c r="G854" s="198"/>
      <c r="H854" s="198"/>
      <c r="I854" s="198"/>
    </row>
    <row r="855" spans="1:9" ht="14.4" x14ac:dyDescent="0.3">
      <c r="A855" s="170"/>
      <c r="B855" s="205"/>
      <c r="C855" s="206"/>
      <c r="D855" s="206"/>
      <c r="E855" s="206"/>
      <c r="F855" s="206"/>
      <c r="G855" s="206"/>
      <c r="H855" s="206"/>
      <c r="I855" s="206"/>
    </row>
    <row r="856" spans="1:9" ht="14.4" x14ac:dyDescent="0.3">
      <c r="A856" s="60"/>
      <c r="B856" s="204" t="s">
        <v>0</v>
      </c>
      <c r="C856" s="198"/>
      <c r="D856" s="198"/>
      <c r="E856" s="198"/>
      <c r="F856" s="198"/>
      <c r="G856" s="198"/>
      <c r="H856" s="198"/>
      <c r="I856" s="198"/>
    </row>
    <row r="857" spans="1:9" ht="14.4" x14ac:dyDescent="0.3">
      <c r="B857" s="166" t="s">
        <v>8</v>
      </c>
      <c r="C857" s="200" t="s">
        <v>536</v>
      </c>
      <c r="D857" s="198"/>
      <c r="E857" s="198"/>
      <c r="F857" s="198"/>
      <c r="G857" s="198"/>
      <c r="H857" s="198"/>
      <c r="I857" s="198"/>
    </row>
    <row r="858" spans="1:9" ht="14.4" customHeight="1" x14ac:dyDescent="0.3">
      <c r="B858" s="166" t="s">
        <v>8</v>
      </c>
      <c r="C858" s="200" t="s">
        <v>576</v>
      </c>
      <c r="D858" s="198"/>
      <c r="E858" s="198"/>
      <c r="F858" s="198"/>
      <c r="G858" s="198"/>
      <c r="H858" s="198"/>
      <c r="I858" s="198"/>
    </row>
    <row r="859" spans="1:9" ht="14.4" x14ac:dyDescent="0.3">
      <c r="B859" s="166" t="s">
        <v>8</v>
      </c>
      <c r="C859" s="200" t="s">
        <v>578</v>
      </c>
      <c r="D859" s="198"/>
      <c r="E859" s="198"/>
      <c r="F859" s="198"/>
      <c r="G859" s="198"/>
      <c r="H859" s="198"/>
      <c r="I859" s="198"/>
    </row>
    <row r="860" spans="1:9" x14ac:dyDescent="0.3">
      <c r="A860" s="170"/>
      <c r="B860" s="168"/>
      <c r="C860" s="168"/>
      <c r="D860" s="168"/>
      <c r="E860" s="168"/>
      <c r="F860" s="168"/>
      <c r="G860" s="168"/>
      <c r="H860" s="168"/>
      <c r="I860" s="168"/>
    </row>
    <row r="861" spans="1:9" ht="14.4" x14ac:dyDescent="0.3">
      <c r="A861" s="177" t="s">
        <v>594</v>
      </c>
      <c r="B861" s="203" t="s">
        <v>539</v>
      </c>
      <c r="C861" s="198"/>
      <c r="D861" s="198"/>
      <c r="E861" s="198"/>
      <c r="F861" s="198"/>
      <c r="G861" s="198"/>
      <c r="H861" s="198"/>
      <c r="I861" s="198"/>
    </row>
    <row r="862" spans="1:9" ht="14.4" x14ac:dyDescent="0.3">
      <c r="A862" s="3"/>
      <c r="B862" s="204" t="s">
        <v>6</v>
      </c>
      <c r="C862" s="198"/>
      <c r="D862" s="198"/>
      <c r="E862" s="198"/>
      <c r="F862" s="198"/>
      <c r="G862" s="198"/>
      <c r="H862" s="198"/>
      <c r="I862" s="198"/>
    </row>
    <row r="863" spans="1:9" ht="14.4" x14ac:dyDescent="0.3">
      <c r="A863" s="60"/>
      <c r="B863" s="200" t="s">
        <v>595</v>
      </c>
      <c r="C863" s="198"/>
      <c r="D863" s="198"/>
      <c r="E863" s="198"/>
      <c r="F863" s="198"/>
      <c r="G863" s="198"/>
      <c r="H863" s="198"/>
      <c r="I863" s="198"/>
    </row>
    <row r="864" spans="1:9" ht="14.4" x14ac:dyDescent="0.3">
      <c r="A864" s="60"/>
      <c r="B864" s="178"/>
      <c r="C864" s="179"/>
      <c r="D864" s="179"/>
      <c r="E864" s="179"/>
      <c r="F864" s="179"/>
      <c r="G864" s="179"/>
      <c r="H864" s="179"/>
      <c r="I864" s="179"/>
    </row>
    <row r="865" spans="1:9" ht="14.4" x14ac:dyDescent="0.3">
      <c r="A865" s="60"/>
      <c r="B865" s="204" t="s">
        <v>0</v>
      </c>
      <c r="C865" s="198"/>
      <c r="D865" s="198"/>
      <c r="E865" s="198"/>
      <c r="F865" s="198"/>
      <c r="G865" s="198"/>
      <c r="H865" s="198"/>
      <c r="I865" s="198"/>
    </row>
    <row r="866" spans="1:9" ht="14.4" x14ac:dyDescent="0.3">
      <c r="B866" s="166" t="s">
        <v>8</v>
      </c>
      <c r="C866" s="200" t="s">
        <v>102</v>
      </c>
      <c r="D866" s="198"/>
      <c r="E866" s="198"/>
      <c r="F866" s="198"/>
      <c r="G866" s="198"/>
      <c r="H866" s="198"/>
      <c r="I866" s="198"/>
    </row>
    <row r="867" spans="1:9" ht="14.4" x14ac:dyDescent="0.3">
      <c r="B867" s="166" t="s">
        <v>8</v>
      </c>
      <c r="C867" s="200" t="s">
        <v>596</v>
      </c>
      <c r="D867" s="198"/>
      <c r="E867" s="198"/>
      <c r="F867" s="198"/>
      <c r="G867" s="198"/>
      <c r="H867" s="198"/>
      <c r="I867" s="198"/>
    </row>
    <row r="868" spans="1:9" ht="53.4" customHeight="1" x14ac:dyDescent="0.3">
      <c r="B868" s="166" t="s">
        <v>8</v>
      </c>
      <c r="C868" s="200" t="s">
        <v>597</v>
      </c>
      <c r="D868" s="198"/>
      <c r="E868" s="198"/>
      <c r="F868" s="198"/>
      <c r="G868" s="198"/>
      <c r="H868" s="198"/>
      <c r="I868" s="198"/>
    </row>
    <row r="869" spans="1:9" ht="14.4" x14ac:dyDescent="0.3">
      <c r="D869" s="165"/>
      <c r="E869" s="165"/>
      <c r="F869" s="165"/>
      <c r="H869" s="165"/>
      <c r="I869" s="165"/>
    </row>
    <row r="870" spans="1:9" x14ac:dyDescent="0.3">
      <c r="A870" s="177" t="s">
        <v>598</v>
      </c>
      <c r="B870" s="203" t="s">
        <v>599</v>
      </c>
      <c r="C870" s="203"/>
      <c r="D870" s="203"/>
      <c r="E870" s="203"/>
      <c r="F870" s="203"/>
      <c r="G870" s="203"/>
      <c r="H870" s="203"/>
      <c r="I870" s="203"/>
    </row>
    <row r="871" spans="1:9" x14ac:dyDescent="0.3">
      <c r="A871" s="3"/>
      <c r="B871" s="204" t="s">
        <v>6</v>
      </c>
      <c r="C871" s="204"/>
      <c r="D871" s="204"/>
      <c r="E871" s="204"/>
      <c r="F871" s="204"/>
      <c r="G871" s="204"/>
      <c r="H871" s="204"/>
      <c r="I871" s="204"/>
    </row>
    <row r="872" spans="1:9" ht="55.5" customHeight="1" x14ac:dyDescent="0.3">
      <c r="A872" s="60"/>
      <c r="B872" s="200" t="s">
        <v>600</v>
      </c>
      <c r="C872" s="200"/>
      <c r="D872" s="200"/>
      <c r="E872" s="200"/>
      <c r="F872" s="200"/>
      <c r="G872" s="200"/>
      <c r="H872" s="200"/>
      <c r="I872" s="200"/>
    </row>
    <row r="873" spans="1:9" x14ac:dyDescent="0.3">
      <c r="A873" s="170"/>
      <c r="B873" s="205"/>
      <c r="C873" s="205"/>
      <c r="D873" s="205"/>
      <c r="E873" s="205"/>
      <c r="F873" s="205"/>
      <c r="G873" s="205"/>
      <c r="H873" s="205"/>
      <c r="I873" s="205"/>
    </row>
    <row r="874" spans="1:9" x14ac:dyDescent="0.3">
      <c r="A874" s="60"/>
      <c r="B874" s="204" t="s">
        <v>0</v>
      </c>
      <c r="C874" s="204"/>
      <c r="D874" s="204"/>
      <c r="E874" s="204"/>
      <c r="F874" s="204"/>
      <c r="G874" s="204"/>
      <c r="H874" s="204"/>
      <c r="I874" s="204"/>
    </row>
    <row r="875" spans="1:9" x14ac:dyDescent="0.3">
      <c r="B875" s="166" t="s">
        <v>8</v>
      </c>
      <c r="C875" s="200" t="s">
        <v>601</v>
      </c>
      <c r="D875" s="200"/>
      <c r="E875" s="200"/>
      <c r="F875" s="200"/>
      <c r="G875" s="200"/>
      <c r="H875" s="200"/>
      <c r="I875" s="200"/>
    </row>
    <row r="877" spans="1:9" ht="14.4" x14ac:dyDescent="0.3">
      <c r="A877" s="177" t="s">
        <v>602</v>
      </c>
      <c r="B877" s="203" t="s">
        <v>603</v>
      </c>
      <c r="C877" s="198"/>
      <c r="D877" s="198"/>
      <c r="E877" s="198"/>
      <c r="F877" s="198"/>
      <c r="G877" s="198"/>
      <c r="H877" s="198"/>
      <c r="I877" s="198"/>
    </row>
    <row r="878" spans="1:9" ht="14.4" x14ac:dyDescent="0.3">
      <c r="A878" s="3"/>
      <c r="B878" s="204" t="s">
        <v>6</v>
      </c>
      <c r="C878" s="198"/>
      <c r="D878" s="198"/>
      <c r="E878" s="198"/>
      <c r="F878" s="198"/>
      <c r="G878" s="198"/>
      <c r="H878" s="198"/>
      <c r="I878" s="198"/>
    </row>
    <row r="879" spans="1:9" ht="29.4" customHeight="1" x14ac:dyDescent="0.3">
      <c r="A879" s="60"/>
      <c r="B879" s="200" t="s">
        <v>604</v>
      </c>
      <c r="C879" s="198"/>
      <c r="D879" s="198"/>
      <c r="E879" s="198"/>
      <c r="F879" s="198"/>
      <c r="G879" s="198"/>
      <c r="H879" s="198"/>
      <c r="I879" s="198"/>
    </row>
    <row r="880" spans="1:9" ht="14.4" x14ac:dyDescent="0.3">
      <c r="A880" s="170"/>
      <c r="B880" s="205"/>
      <c r="C880" s="206"/>
      <c r="D880" s="206"/>
      <c r="E880" s="206"/>
      <c r="F880" s="206"/>
      <c r="G880" s="206"/>
      <c r="H880" s="206"/>
      <c r="I880" s="206"/>
    </row>
    <row r="881" spans="1:9" ht="14.4" x14ac:dyDescent="0.3">
      <c r="A881" s="60"/>
      <c r="B881" s="204" t="s">
        <v>0</v>
      </c>
      <c r="C881" s="198"/>
      <c r="D881" s="198"/>
      <c r="E881" s="198"/>
      <c r="F881" s="198"/>
      <c r="G881" s="198"/>
      <c r="H881" s="198"/>
      <c r="I881" s="198"/>
    </row>
    <row r="882" spans="1:9" ht="14.4" x14ac:dyDescent="0.3">
      <c r="B882" s="166" t="s">
        <v>8</v>
      </c>
      <c r="C882" s="200" t="s">
        <v>605</v>
      </c>
      <c r="D882" s="198"/>
      <c r="E882" s="198"/>
      <c r="F882" s="198"/>
      <c r="G882" s="198"/>
      <c r="H882" s="198"/>
      <c r="I882" s="198"/>
    </row>
    <row r="883" spans="1:9" ht="14.4" x14ac:dyDescent="0.3">
      <c r="D883" s="165"/>
      <c r="E883" s="165"/>
      <c r="F883" s="165"/>
      <c r="G883" s="165"/>
      <c r="H883" s="165"/>
      <c r="I883" s="165"/>
    </row>
    <row r="884" spans="1:9" ht="16.2" x14ac:dyDescent="0.35">
      <c r="A884" s="142" t="s">
        <v>606</v>
      </c>
      <c r="B884" s="195" t="s">
        <v>607</v>
      </c>
      <c r="C884" s="196"/>
      <c r="D884" s="196"/>
      <c r="E884" s="196"/>
      <c r="F884" s="196"/>
      <c r="G884" s="196"/>
      <c r="H884" s="196"/>
      <c r="I884" s="196"/>
    </row>
    <row r="885" spans="1:9" ht="14.4" x14ac:dyDescent="0.3">
      <c r="D885" s="165"/>
      <c r="E885" s="165"/>
      <c r="F885" s="165"/>
      <c r="G885" s="165"/>
      <c r="H885" s="165"/>
      <c r="I885" s="165"/>
    </row>
    <row r="886" spans="1:9" ht="14.4" x14ac:dyDescent="0.3">
      <c r="A886" s="177" t="s">
        <v>608</v>
      </c>
      <c r="B886" s="203" t="s">
        <v>609</v>
      </c>
      <c r="C886" s="198"/>
      <c r="D886" s="198"/>
      <c r="E886" s="198"/>
      <c r="F886" s="198"/>
      <c r="G886" s="198"/>
      <c r="H886" s="198"/>
      <c r="I886" s="198"/>
    </row>
    <row r="887" spans="1:9" ht="14.4" x14ac:dyDescent="0.3">
      <c r="A887" s="3"/>
      <c r="B887" s="204" t="s">
        <v>6</v>
      </c>
      <c r="C887" s="198"/>
      <c r="D887" s="198"/>
      <c r="E887" s="198"/>
      <c r="F887" s="198"/>
      <c r="G887" s="198"/>
      <c r="H887" s="198"/>
      <c r="I887" s="198"/>
    </row>
    <row r="888" spans="1:9" ht="14.4" x14ac:dyDescent="0.3">
      <c r="A888" s="60"/>
      <c r="B888" s="200" t="s">
        <v>610</v>
      </c>
      <c r="C888" s="198"/>
      <c r="D888" s="198"/>
      <c r="E888" s="198"/>
      <c r="F888" s="198"/>
      <c r="G888" s="198"/>
      <c r="H888" s="198"/>
      <c r="I888" s="198"/>
    </row>
    <row r="889" spans="1:9" ht="14.4" x14ac:dyDescent="0.3">
      <c r="A889" s="60"/>
      <c r="B889" s="200"/>
      <c r="C889" s="198"/>
      <c r="D889" s="198"/>
      <c r="E889" s="198"/>
      <c r="F889" s="198"/>
      <c r="G889" s="198"/>
      <c r="H889" s="198"/>
      <c r="I889" s="198"/>
    </row>
    <row r="890" spans="1:9" ht="14.4" x14ac:dyDescent="0.3">
      <c r="A890" s="60"/>
      <c r="B890" s="204" t="s">
        <v>0</v>
      </c>
      <c r="C890" s="198"/>
      <c r="D890" s="198"/>
      <c r="E890" s="198"/>
      <c r="F890" s="198"/>
      <c r="G890" s="198"/>
      <c r="H890" s="198"/>
      <c r="I890" s="198"/>
    </row>
    <row r="891" spans="1:9" ht="14.4" x14ac:dyDescent="0.3">
      <c r="B891" s="166" t="s">
        <v>8</v>
      </c>
      <c r="C891" s="200" t="s">
        <v>611</v>
      </c>
      <c r="D891" s="198"/>
      <c r="E891" s="198"/>
      <c r="F891" s="198"/>
      <c r="G891" s="198"/>
      <c r="H891" s="198"/>
      <c r="I891" s="198"/>
    </row>
    <row r="892" spans="1:9" ht="28.5" customHeight="1" x14ac:dyDescent="0.3">
      <c r="B892" s="166" t="s">
        <v>8</v>
      </c>
      <c r="C892" s="200" t="s">
        <v>612</v>
      </c>
      <c r="D892" s="200"/>
      <c r="E892" s="200"/>
      <c r="F892" s="200"/>
      <c r="G892" s="200"/>
      <c r="H892" s="200"/>
      <c r="I892" s="200"/>
    </row>
    <row r="893" spans="1:9" ht="14.4" x14ac:dyDescent="0.3">
      <c r="D893" s="165"/>
      <c r="E893" s="165"/>
      <c r="F893" s="165"/>
      <c r="G893" s="165"/>
      <c r="H893" s="165"/>
      <c r="I893" s="165"/>
    </row>
    <row r="894" spans="1:9" ht="14.4" x14ac:dyDescent="0.3">
      <c r="A894" s="177" t="s">
        <v>613</v>
      </c>
      <c r="B894" s="203" t="s">
        <v>614</v>
      </c>
      <c r="C894" s="198"/>
      <c r="D894" s="198"/>
      <c r="E894" s="198"/>
      <c r="F894" s="198"/>
      <c r="G894" s="198"/>
      <c r="H894" s="198"/>
      <c r="I894" s="198"/>
    </row>
    <row r="895" spans="1:9" ht="14.4" x14ac:dyDescent="0.3">
      <c r="A895" s="3"/>
      <c r="B895" s="204" t="s">
        <v>6</v>
      </c>
      <c r="C895" s="198"/>
      <c r="D895" s="198"/>
      <c r="E895" s="198"/>
      <c r="F895" s="198"/>
      <c r="G895" s="198"/>
      <c r="H895" s="198"/>
      <c r="I895" s="198"/>
    </row>
    <row r="896" spans="1:9" ht="27.6" customHeight="1" x14ac:dyDescent="0.3">
      <c r="A896" s="60"/>
      <c r="B896" s="200" t="s">
        <v>615</v>
      </c>
      <c r="C896" s="198"/>
      <c r="D896" s="198"/>
      <c r="E896" s="198"/>
      <c r="F896" s="198"/>
      <c r="G896" s="198"/>
      <c r="H896" s="198"/>
      <c r="I896" s="198"/>
    </row>
    <row r="897" spans="1:9" ht="14.4" x14ac:dyDescent="0.3">
      <c r="A897" s="170"/>
      <c r="B897" s="205"/>
      <c r="C897" s="206"/>
      <c r="D897" s="206"/>
      <c r="E897" s="206"/>
      <c r="F897" s="206"/>
      <c r="G897" s="206"/>
      <c r="H897" s="206"/>
      <c r="I897" s="206"/>
    </row>
    <row r="898" spans="1:9" ht="14.4" x14ac:dyDescent="0.3">
      <c r="A898" s="60"/>
      <c r="B898" s="204" t="s">
        <v>0</v>
      </c>
      <c r="C898" s="198"/>
      <c r="D898" s="198"/>
      <c r="E898" s="198"/>
      <c r="F898" s="198"/>
      <c r="G898" s="198"/>
      <c r="H898" s="198"/>
      <c r="I898" s="198"/>
    </row>
    <row r="899" spans="1:9" ht="14.4" x14ac:dyDescent="0.3">
      <c r="B899" s="166" t="s">
        <v>8</v>
      </c>
      <c r="C899" s="200" t="s">
        <v>149</v>
      </c>
      <c r="D899" s="198"/>
      <c r="E899" s="198"/>
      <c r="F899" s="198"/>
      <c r="G899" s="198"/>
      <c r="H899" s="198"/>
      <c r="I899" s="198"/>
    </row>
    <row r="900" spans="1:9" x14ac:dyDescent="0.3">
      <c r="A900" s="170"/>
      <c r="B900" s="168"/>
      <c r="C900" s="168"/>
      <c r="D900" s="168"/>
      <c r="E900" s="168"/>
      <c r="F900" s="168"/>
      <c r="G900" s="168"/>
      <c r="H900" s="168"/>
      <c r="I900" s="168"/>
    </row>
    <row r="901" spans="1:9" ht="14.4" x14ac:dyDescent="0.3">
      <c r="A901" s="177" t="s">
        <v>616</v>
      </c>
      <c r="B901" s="203" t="s">
        <v>617</v>
      </c>
      <c r="C901" s="198"/>
      <c r="D901" s="198"/>
      <c r="E901" s="198"/>
      <c r="F901" s="198"/>
      <c r="G901" s="198"/>
      <c r="H901" s="198"/>
      <c r="I901" s="198"/>
    </row>
    <row r="902" spans="1:9" ht="14.4" x14ac:dyDescent="0.3">
      <c r="A902" s="3"/>
      <c r="B902" s="204" t="s">
        <v>6</v>
      </c>
      <c r="C902" s="198"/>
      <c r="D902" s="198"/>
      <c r="E902" s="198"/>
      <c r="F902" s="198"/>
      <c r="G902" s="198"/>
      <c r="H902" s="198"/>
      <c r="I902" s="198"/>
    </row>
    <row r="903" spans="1:9" ht="30.6" customHeight="1" x14ac:dyDescent="0.3">
      <c r="A903" s="60"/>
      <c r="B903" s="200" t="s">
        <v>618</v>
      </c>
      <c r="C903" s="198"/>
      <c r="D903" s="198"/>
      <c r="E903" s="198"/>
      <c r="F903" s="198"/>
      <c r="G903" s="198"/>
      <c r="H903" s="198"/>
      <c r="I903" s="198"/>
    </row>
    <row r="904" spans="1:9" ht="14.4" x14ac:dyDescent="0.3">
      <c r="A904" s="60"/>
      <c r="B904" s="178"/>
      <c r="C904" s="179"/>
      <c r="D904" s="179"/>
      <c r="E904" s="179"/>
      <c r="F904" s="179"/>
      <c r="G904" s="179"/>
      <c r="H904" s="179"/>
      <c r="I904" s="179"/>
    </row>
    <row r="905" spans="1:9" ht="14.4" x14ac:dyDescent="0.3">
      <c r="A905" s="60"/>
      <c r="B905" s="204" t="s">
        <v>0</v>
      </c>
      <c r="C905" s="198"/>
      <c r="D905" s="198"/>
      <c r="E905" s="198"/>
      <c r="F905" s="198"/>
      <c r="G905" s="198"/>
      <c r="H905" s="198"/>
      <c r="I905" s="198"/>
    </row>
    <row r="906" spans="1:9" ht="13.5" customHeight="1" x14ac:dyDescent="0.3">
      <c r="B906" s="166" t="s">
        <v>8</v>
      </c>
      <c r="C906" s="200" t="s">
        <v>149</v>
      </c>
      <c r="D906" s="198"/>
      <c r="E906" s="198"/>
      <c r="F906" s="198"/>
      <c r="G906" s="198"/>
      <c r="H906" s="198"/>
      <c r="I906" s="198"/>
    </row>
    <row r="907" spans="1:9" ht="15.9" customHeight="1" x14ac:dyDescent="0.3">
      <c r="B907" s="166" t="s">
        <v>8</v>
      </c>
      <c r="C907" s="200" t="s">
        <v>619</v>
      </c>
      <c r="D907" s="198"/>
      <c r="E907" s="198"/>
      <c r="F907" s="198"/>
      <c r="G907" s="198"/>
      <c r="H907" s="198"/>
      <c r="I907" s="198"/>
    </row>
    <row r="908" spans="1:9" ht="14.4" x14ac:dyDescent="0.3">
      <c r="D908" s="165"/>
      <c r="E908" s="165"/>
      <c r="F908" s="165"/>
      <c r="H908" s="165"/>
      <c r="I908" s="165"/>
    </row>
    <row r="909" spans="1:9" x14ac:dyDescent="0.3">
      <c r="A909" s="177" t="s">
        <v>620</v>
      </c>
      <c r="B909" s="203" t="s">
        <v>621</v>
      </c>
      <c r="C909" s="203"/>
      <c r="D909" s="203"/>
      <c r="E909" s="203"/>
      <c r="F909" s="203"/>
      <c r="G909" s="203"/>
      <c r="H909" s="203"/>
      <c r="I909" s="203"/>
    </row>
    <row r="910" spans="1:9" x14ac:dyDescent="0.3">
      <c r="A910" s="3"/>
      <c r="B910" s="204" t="s">
        <v>6</v>
      </c>
      <c r="C910" s="204"/>
      <c r="D910" s="204"/>
      <c r="E910" s="204"/>
      <c r="F910" s="204"/>
      <c r="G910" s="204"/>
      <c r="H910" s="204"/>
      <c r="I910" s="204"/>
    </row>
    <row r="911" spans="1:9" x14ac:dyDescent="0.3">
      <c r="A911" s="60"/>
      <c r="B911" s="200" t="s">
        <v>622</v>
      </c>
      <c r="C911" s="200"/>
      <c r="D911" s="200"/>
      <c r="E911" s="200"/>
      <c r="F911" s="200"/>
      <c r="G911" s="200"/>
      <c r="H911" s="200"/>
      <c r="I911" s="200"/>
    </row>
    <row r="912" spans="1:9" x14ac:dyDescent="0.3">
      <c r="A912" s="170"/>
      <c r="B912" s="205"/>
      <c r="C912" s="205"/>
      <c r="D912" s="205"/>
      <c r="E912" s="205"/>
      <c r="F912" s="205"/>
      <c r="G912" s="205"/>
      <c r="H912" s="205"/>
      <c r="I912" s="205"/>
    </row>
    <row r="913" spans="1:9" x14ac:dyDescent="0.3">
      <c r="A913" s="60"/>
      <c r="B913" s="204" t="s">
        <v>0</v>
      </c>
      <c r="C913" s="204"/>
      <c r="D913" s="204"/>
      <c r="E913" s="204"/>
      <c r="F913" s="204"/>
      <c r="G913" s="204"/>
      <c r="H913" s="204"/>
      <c r="I913" s="204"/>
    </row>
    <row r="914" spans="1:9" x14ac:dyDescent="0.3">
      <c r="B914" s="166" t="s">
        <v>8</v>
      </c>
      <c r="C914" s="200" t="s">
        <v>149</v>
      </c>
      <c r="D914" s="200"/>
      <c r="E914" s="200"/>
      <c r="F914" s="200"/>
      <c r="G914" s="200"/>
      <c r="H914" s="200"/>
      <c r="I914" s="200"/>
    </row>
    <row r="916" spans="1:9" ht="16.2" x14ac:dyDescent="0.35">
      <c r="A916" s="142" t="s">
        <v>623</v>
      </c>
      <c r="B916" s="195" t="s">
        <v>624</v>
      </c>
      <c r="C916" s="196"/>
      <c r="D916" s="196"/>
      <c r="E916" s="196"/>
      <c r="F916" s="196"/>
      <c r="G916" s="196"/>
      <c r="H916" s="196"/>
      <c r="I916" s="196"/>
    </row>
    <row r="917" spans="1:9" ht="14.4" x14ac:dyDescent="0.3">
      <c r="A917" s="170"/>
      <c r="B917" s="205"/>
      <c r="C917" s="206"/>
      <c r="D917" s="206"/>
      <c r="E917" s="206"/>
      <c r="F917" s="206"/>
      <c r="G917" s="206"/>
      <c r="H917" s="206"/>
      <c r="I917" s="206"/>
    </row>
    <row r="918" spans="1:9" ht="14.4" x14ac:dyDescent="0.3">
      <c r="A918" s="177" t="s">
        <v>625</v>
      </c>
      <c r="B918" s="203" t="s">
        <v>626</v>
      </c>
      <c r="C918" s="198"/>
      <c r="D918" s="198"/>
      <c r="E918" s="198"/>
      <c r="F918" s="198"/>
      <c r="G918" s="198"/>
      <c r="H918" s="198"/>
      <c r="I918" s="198"/>
    </row>
    <row r="919" spans="1:9" ht="14.4" x14ac:dyDescent="0.3">
      <c r="A919" s="3"/>
      <c r="B919" s="204" t="s">
        <v>6</v>
      </c>
      <c r="C919" s="198"/>
      <c r="D919" s="198"/>
      <c r="E919" s="198"/>
      <c r="F919" s="198"/>
      <c r="G919" s="198"/>
      <c r="H919" s="198"/>
      <c r="I919" s="198"/>
    </row>
    <row r="920" spans="1:9" ht="69" customHeight="1" x14ac:dyDescent="0.3">
      <c r="A920" s="60"/>
      <c r="B920" s="200" t="s">
        <v>627</v>
      </c>
      <c r="C920" s="198"/>
      <c r="D920" s="198"/>
      <c r="E920" s="198"/>
      <c r="F920" s="198"/>
      <c r="G920" s="198"/>
      <c r="H920" s="198"/>
      <c r="I920" s="198"/>
    </row>
    <row r="921" spans="1:9" ht="12.6" customHeight="1" x14ac:dyDescent="0.3">
      <c r="A921" s="60"/>
      <c r="C921" s="165"/>
      <c r="D921" s="165"/>
      <c r="E921" s="165"/>
      <c r="F921" s="165"/>
      <c r="G921" s="165"/>
      <c r="H921" s="165"/>
      <c r="I921" s="165"/>
    </row>
    <row r="922" spans="1:9" ht="30" customHeight="1" x14ac:dyDescent="0.3">
      <c r="A922" s="60"/>
      <c r="B922" s="166" t="s">
        <v>21</v>
      </c>
      <c r="C922" s="207" t="s">
        <v>628</v>
      </c>
      <c r="D922" s="207"/>
      <c r="E922" s="207"/>
      <c r="F922" s="207"/>
      <c r="G922" s="207"/>
      <c r="H922" s="207"/>
      <c r="I922" s="207"/>
    </row>
    <row r="923" spans="1:9" ht="27.9" customHeight="1" x14ac:dyDescent="0.3">
      <c r="A923" s="60"/>
      <c r="B923" s="166" t="s">
        <v>23</v>
      </c>
      <c r="C923" s="207" t="s">
        <v>629</v>
      </c>
      <c r="D923" s="207"/>
      <c r="E923" s="207"/>
      <c r="F923" s="207"/>
      <c r="G923" s="207"/>
      <c r="H923" s="207"/>
      <c r="I923" s="207"/>
    </row>
    <row r="924" spans="1:9" ht="14.4" x14ac:dyDescent="0.3">
      <c r="A924" s="170"/>
      <c r="B924" s="205"/>
      <c r="C924" s="206"/>
      <c r="D924" s="206"/>
      <c r="E924" s="206"/>
      <c r="F924" s="206"/>
      <c r="G924" s="206"/>
      <c r="H924" s="206"/>
      <c r="I924" s="206"/>
    </row>
    <row r="925" spans="1:9" ht="14.4" x14ac:dyDescent="0.3">
      <c r="A925" s="60"/>
      <c r="B925" s="204" t="s">
        <v>0</v>
      </c>
      <c r="C925" s="198"/>
      <c r="D925" s="198"/>
      <c r="E925" s="198"/>
      <c r="F925" s="198"/>
      <c r="G925" s="198"/>
      <c r="H925" s="198"/>
      <c r="I925" s="198"/>
    </row>
    <row r="926" spans="1:9" ht="14.4" x14ac:dyDescent="0.3">
      <c r="B926" s="166" t="s">
        <v>8</v>
      </c>
      <c r="C926" s="200" t="s">
        <v>70</v>
      </c>
      <c r="D926" s="198"/>
      <c r="E926" s="198"/>
      <c r="F926" s="198"/>
      <c r="G926" s="198"/>
      <c r="H926" s="198"/>
      <c r="I926" s="198"/>
    </row>
    <row r="927" spans="1:9" ht="14.4" x14ac:dyDescent="0.3">
      <c r="B927" s="166" t="s">
        <v>8</v>
      </c>
      <c r="C927" s="200" t="s">
        <v>630</v>
      </c>
      <c r="D927" s="198"/>
      <c r="E927" s="198"/>
      <c r="F927" s="198"/>
      <c r="G927" s="198"/>
      <c r="H927" s="198"/>
      <c r="I927" s="198"/>
    </row>
    <row r="928" spans="1:9" ht="54" customHeight="1" x14ac:dyDescent="0.3">
      <c r="B928" s="166" t="s">
        <v>8</v>
      </c>
      <c r="C928" s="200" t="s">
        <v>631</v>
      </c>
      <c r="D928" s="198"/>
      <c r="E928" s="198"/>
      <c r="F928" s="198"/>
      <c r="G928" s="198"/>
      <c r="H928" s="198"/>
      <c r="I928" s="198"/>
    </row>
    <row r="929" spans="1:9" ht="39.6" customHeight="1" x14ac:dyDescent="0.3">
      <c r="B929" s="166" t="s">
        <v>8</v>
      </c>
      <c r="C929" s="200" t="s">
        <v>632</v>
      </c>
      <c r="D929" s="198"/>
      <c r="E929" s="198"/>
      <c r="F929" s="198"/>
      <c r="G929" s="198"/>
      <c r="H929" s="198"/>
      <c r="I929" s="198"/>
    </row>
    <row r="930" spans="1:9" ht="14.4" x14ac:dyDescent="0.3">
      <c r="D930" s="165"/>
      <c r="E930" s="165"/>
      <c r="F930" s="165"/>
      <c r="G930" s="165"/>
      <c r="H930" s="165"/>
      <c r="I930" s="165"/>
    </row>
    <row r="931" spans="1:9" ht="14.4" x14ac:dyDescent="0.3">
      <c r="A931" s="177" t="s">
        <v>633</v>
      </c>
      <c r="B931" s="203" t="s">
        <v>634</v>
      </c>
      <c r="C931" s="198"/>
      <c r="D931" s="198"/>
      <c r="E931" s="198"/>
      <c r="F931" s="198"/>
      <c r="G931" s="198"/>
      <c r="H931" s="198"/>
      <c r="I931" s="198"/>
    </row>
    <row r="932" spans="1:9" ht="14.4" x14ac:dyDescent="0.3">
      <c r="A932" s="3"/>
      <c r="B932" s="204" t="s">
        <v>6</v>
      </c>
      <c r="C932" s="198"/>
      <c r="D932" s="198"/>
      <c r="E932" s="198"/>
      <c r="F932" s="198"/>
      <c r="G932" s="198"/>
      <c r="H932" s="198"/>
      <c r="I932" s="198"/>
    </row>
    <row r="933" spans="1:9" ht="120.6" customHeight="1" x14ac:dyDescent="0.3">
      <c r="A933" s="60"/>
      <c r="B933" s="200" t="s">
        <v>635</v>
      </c>
      <c r="C933" s="198"/>
      <c r="D933" s="198"/>
      <c r="E933" s="198"/>
      <c r="F933" s="198"/>
      <c r="G933" s="198"/>
      <c r="H933" s="198"/>
      <c r="I933" s="198"/>
    </row>
    <row r="934" spans="1:9" ht="14.4" x14ac:dyDescent="0.3">
      <c r="A934" s="60"/>
      <c r="B934" s="178"/>
      <c r="C934" s="179"/>
      <c r="D934" s="179"/>
      <c r="E934" s="179"/>
      <c r="F934" s="179"/>
      <c r="G934" s="179"/>
      <c r="H934" s="179"/>
      <c r="I934" s="179"/>
    </row>
    <row r="935" spans="1:9" ht="14.4" x14ac:dyDescent="0.3">
      <c r="A935" s="60"/>
      <c r="B935" s="204" t="s">
        <v>0</v>
      </c>
      <c r="C935" s="198"/>
      <c r="D935" s="198"/>
      <c r="E935" s="198"/>
      <c r="F935" s="198"/>
      <c r="G935" s="198"/>
      <c r="H935" s="198"/>
      <c r="I935" s="198"/>
    </row>
    <row r="936" spans="1:9" ht="14.4" x14ac:dyDescent="0.3">
      <c r="B936" s="166" t="s">
        <v>8</v>
      </c>
      <c r="C936" s="200" t="s">
        <v>70</v>
      </c>
      <c r="D936" s="198"/>
      <c r="E936" s="198"/>
      <c r="F936" s="198"/>
      <c r="G936" s="198"/>
      <c r="H936" s="198"/>
      <c r="I936" s="198"/>
    </row>
    <row r="937" spans="1:9" ht="14.4" x14ac:dyDescent="0.3">
      <c r="B937" s="166" t="s">
        <v>8</v>
      </c>
      <c r="C937" s="200" t="s">
        <v>636</v>
      </c>
      <c r="D937" s="198"/>
      <c r="E937" s="198"/>
      <c r="F937" s="198"/>
      <c r="G937" s="198"/>
      <c r="H937" s="198"/>
      <c r="I937" s="198"/>
    </row>
    <row r="938" spans="1:9" ht="14.4" x14ac:dyDescent="0.3">
      <c r="D938" s="165"/>
      <c r="E938" s="165"/>
      <c r="F938" s="165"/>
      <c r="G938" s="165"/>
      <c r="H938" s="165"/>
      <c r="I938" s="165"/>
    </row>
    <row r="939" spans="1:9" ht="14.4" x14ac:dyDescent="0.3">
      <c r="A939" s="177" t="s">
        <v>637</v>
      </c>
      <c r="B939" s="203" t="s">
        <v>638</v>
      </c>
      <c r="C939" s="198"/>
      <c r="D939" s="198"/>
      <c r="E939" s="198"/>
      <c r="F939" s="198"/>
      <c r="G939" s="198"/>
      <c r="H939" s="198"/>
      <c r="I939" s="198"/>
    </row>
    <row r="940" spans="1:9" ht="14.4" x14ac:dyDescent="0.3">
      <c r="A940" s="3"/>
      <c r="B940" s="204" t="s">
        <v>6</v>
      </c>
      <c r="C940" s="198"/>
      <c r="D940" s="198"/>
      <c r="E940" s="198"/>
      <c r="F940" s="198"/>
      <c r="G940" s="198"/>
      <c r="H940" s="198"/>
      <c r="I940" s="198"/>
    </row>
    <row r="941" spans="1:9" ht="66" customHeight="1" x14ac:dyDescent="0.3">
      <c r="A941" s="60"/>
      <c r="B941" s="200" t="s">
        <v>639</v>
      </c>
      <c r="C941" s="198"/>
      <c r="D941" s="198"/>
      <c r="E941" s="198"/>
      <c r="F941" s="198"/>
      <c r="G941" s="198"/>
      <c r="H941" s="198"/>
      <c r="I941" s="198"/>
    </row>
    <row r="942" spans="1:9" ht="14.4" x14ac:dyDescent="0.3">
      <c r="A942" s="170"/>
      <c r="B942" s="205"/>
      <c r="C942" s="206"/>
      <c r="D942" s="206"/>
      <c r="E942" s="206"/>
      <c r="F942" s="206"/>
      <c r="G942" s="206"/>
      <c r="H942" s="206"/>
      <c r="I942" s="206"/>
    </row>
    <row r="943" spans="1:9" ht="14.4" x14ac:dyDescent="0.3">
      <c r="A943" s="60"/>
      <c r="B943" s="204" t="s">
        <v>0</v>
      </c>
      <c r="C943" s="198"/>
      <c r="D943" s="198"/>
      <c r="E943" s="198"/>
      <c r="F943" s="198"/>
      <c r="G943" s="198"/>
      <c r="H943" s="198"/>
      <c r="I943" s="198"/>
    </row>
    <row r="944" spans="1:9" ht="14.4" x14ac:dyDescent="0.3">
      <c r="B944" s="166" t="s">
        <v>8</v>
      </c>
      <c r="C944" s="200" t="s">
        <v>187</v>
      </c>
      <c r="D944" s="198"/>
      <c r="E944" s="198"/>
      <c r="F944" s="198"/>
      <c r="G944" s="198"/>
      <c r="H944" s="198"/>
      <c r="I944" s="198"/>
    </row>
    <row r="945" spans="1:9" ht="14.4" x14ac:dyDescent="0.3">
      <c r="D945" s="165"/>
      <c r="E945" s="165"/>
      <c r="F945" s="165"/>
      <c r="G945" s="165"/>
      <c r="H945" s="165"/>
      <c r="I945" s="165"/>
    </row>
    <row r="946" spans="1:9" ht="16.2" x14ac:dyDescent="0.35">
      <c r="A946" s="142" t="s">
        <v>640</v>
      </c>
      <c r="B946" s="195" t="s">
        <v>641</v>
      </c>
      <c r="C946" s="196"/>
      <c r="D946" s="196"/>
      <c r="E946" s="196"/>
      <c r="F946" s="196"/>
      <c r="G946" s="196"/>
      <c r="H946" s="196"/>
      <c r="I946" s="196"/>
    </row>
    <row r="947" spans="1:9" ht="14.4" x14ac:dyDescent="0.3">
      <c r="A947" s="170"/>
      <c r="B947" s="205"/>
      <c r="C947" s="206"/>
      <c r="D947" s="206"/>
      <c r="E947" s="206"/>
      <c r="F947" s="206"/>
      <c r="G947" s="206"/>
      <c r="H947" s="206"/>
      <c r="I947" s="206"/>
    </row>
    <row r="948" spans="1:9" ht="14.4" x14ac:dyDescent="0.3">
      <c r="A948" s="177" t="s">
        <v>642</v>
      </c>
      <c r="B948" s="203" t="s">
        <v>643</v>
      </c>
      <c r="C948" s="198"/>
      <c r="D948" s="198"/>
      <c r="E948" s="198"/>
      <c r="F948" s="198"/>
      <c r="G948" s="198"/>
      <c r="H948" s="198"/>
      <c r="I948" s="198"/>
    </row>
    <row r="949" spans="1:9" ht="14.4" x14ac:dyDescent="0.3">
      <c r="A949" s="3"/>
      <c r="B949" s="204" t="s">
        <v>6</v>
      </c>
      <c r="C949" s="198"/>
      <c r="D949" s="198"/>
      <c r="E949" s="198"/>
      <c r="F949" s="198"/>
      <c r="G949" s="198"/>
      <c r="H949" s="198"/>
      <c r="I949" s="198"/>
    </row>
    <row r="950" spans="1:9" ht="14.4" x14ac:dyDescent="0.3">
      <c r="A950" s="60"/>
      <c r="B950" s="200" t="s">
        <v>644</v>
      </c>
      <c r="C950" s="198"/>
      <c r="D950" s="198"/>
      <c r="E950" s="198"/>
      <c r="F950" s="198"/>
      <c r="G950" s="198"/>
      <c r="H950" s="198"/>
      <c r="I950" s="198"/>
    </row>
    <row r="951" spans="1:9" ht="14.4" x14ac:dyDescent="0.3">
      <c r="A951" s="60"/>
      <c r="B951" s="178"/>
      <c r="C951" s="179"/>
      <c r="D951" s="179"/>
      <c r="E951" s="179"/>
      <c r="F951" s="179"/>
      <c r="G951" s="179"/>
      <c r="H951" s="179"/>
      <c r="I951" s="179"/>
    </row>
    <row r="952" spans="1:9" ht="14.4" x14ac:dyDescent="0.3">
      <c r="A952" s="60"/>
      <c r="B952" s="204" t="s">
        <v>0</v>
      </c>
      <c r="C952" s="198"/>
      <c r="D952" s="198"/>
      <c r="E952" s="198"/>
      <c r="F952" s="198"/>
      <c r="G952" s="198"/>
      <c r="H952" s="198"/>
      <c r="I952" s="198"/>
    </row>
    <row r="953" spans="1:9" ht="14.4" x14ac:dyDescent="0.3">
      <c r="B953" s="166" t="s">
        <v>8</v>
      </c>
      <c r="C953" s="200" t="s">
        <v>645</v>
      </c>
      <c r="D953" s="198"/>
      <c r="E953" s="198"/>
      <c r="F953" s="198"/>
      <c r="G953" s="198"/>
      <c r="H953" s="198"/>
      <c r="I953" s="198"/>
    </row>
    <row r="954" spans="1:9" ht="29.1" customHeight="1" x14ac:dyDescent="0.3">
      <c r="B954" s="166" t="s">
        <v>8</v>
      </c>
      <c r="C954" s="200" t="s">
        <v>646</v>
      </c>
      <c r="D954" s="198"/>
      <c r="E954" s="198"/>
      <c r="F954" s="198"/>
      <c r="G954" s="198"/>
      <c r="H954" s="198"/>
      <c r="I954" s="198"/>
    </row>
    <row r="955" spans="1:9" ht="53.4" customHeight="1" x14ac:dyDescent="0.3">
      <c r="C955" s="201" t="s">
        <v>647</v>
      </c>
      <c r="D955" s="202"/>
      <c r="E955" s="202"/>
      <c r="F955" s="202"/>
      <c r="G955" s="202"/>
      <c r="H955" s="202"/>
      <c r="I955" s="202"/>
    </row>
    <row r="956" spans="1:9" ht="14.4" x14ac:dyDescent="0.3">
      <c r="C956" s="171"/>
      <c r="D956" s="175"/>
      <c r="E956" s="175"/>
      <c r="F956" s="175"/>
      <c r="G956" s="175"/>
      <c r="H956" s="175"/>
      <c r="I956" s="175"/>
    </row>
    <row r="957" spans="1:9" x14ac:dyDescent="0.3">
      <c r="A957" s="177" t="s">
        <v>648</v>
      </c>
      <c r="B957" s="203" t="s">
        <v>649</v>
      </c>
      <c r="C957" s="203"/>
      <c r="D957" s="203"/>
      <c r="E957" s="203"/>
      <c r="F957" s="203"/>
      <c r="G957" s="203"/>
      <c r="H957" s="203"/>
      <c r="I957" s="203"/>
    </row>
    <row r="958" spans="1:9" x14ac:dyDescent="0.3">
      <c r="A958" s="3"/>
      <c r="B958" s="204" t="s">
        <v>6</v>
      </c>
      <c r="C958" s="204"/>
      <c r="D958" s="204"/>
      <c r="E958" s="204"/>
      <c r="F958" s="204"/>
      <c r="G958" s="204"/>
      <c r="H958" s="204"/>
      <c r="I958" s="204"/>
    </row>
    <row r="959" spans="1:9" ht="28.5" customHeight="1" x14ac:dyDescent="0.3">
      <c r="A959" s="60"/>
      <c r="B959" s="200" t="s">
        <v>650</v>
      </c>
      <c r="C959" s="200"/>
      <c r="D959" s="200"/>
      <c r="E959" s="200"/>
      <c r="F959" s="200"/>
      <c r="G959" s="200"/>
      <c r="H959" s="200"/>
      <c r="I959" s="200"/>
    </row>
    <row r="960" spans="1:9" x14ac:dyDescent="0.3">
      <c r="A960" s="170"/>
      <c r="B960" s="205"/>
      <c r="C960" s="205"/>
      <c r="D960" s="205"/>
      <c r="E960" s="205"/>
      <c r="F960" s="205"/>
      <c r="G960" s="205"/>
      <c r="H960" s="205"/>
      <c r="I960" s="205"/>
    </row>
    <row r="961" spans="1:9" x14ac:dyDescent="0.3">
      <c r="A961" s="60"/>
      <c r="B961" s="204" t="s">
        <v>0</v>
      </c>
      <c r="C961" s="204"/>
      <c r="D961" s="204"/>
      <c r="E961" s="204"/>
      <c r="F961" s="204"/>
      <c r="G961" s="204"/>
      <c r="H961" s="204"/>
      <c r="I961" s="204"/>
    </row>
    <row r="962" spans="1:9" x14ac:dyDescent="0.3">
      <c r="B962" s="166" t="s">
        <v>8</v>
      </c>
      <c r="C962" s="200" t="s">
        <v>651</v>
      </c>
      <c r="D962" s="200"/>
      <c r="E962" s="200"/>
      <c r="F962" s="200"/>
      <c r="G962" s="200"/>
      <c r="H962" s="200"/>
      <c r="I962" s="200"/>
    </row>
    <row r="963" spans="1:9" x14ac:dyDescent="0.3">
      <c r="B963" s="166" t="s">
        <v>8</v>
      </c>
      <c r="C963" s="200" t="s">
        <v>652</v>
      </c>
      <c r="D963" s="200"/>
      <c r="E963" s="200"/>
      <c r="F963" s="200"/>
      <c r="G963" s="200"/>
      <c r="H963" s="200"/>
      <c r="I963" s="200"/>
    </row>
  </sheetData>
  <mergeCells count="865">
    <mergeCell ref="A1:I1"/>
    <mergeCell ref="A2:I2"/>
    <mergeCell ref="B3:I3"/>
    <mergeCell ref="B4:I4"/>
    <mergeCell ref="B5:I5"/>
    <mergeCell ref="B6:I6"/>
    <mergeCell ref="B13:I13"/>
    <mergeCell ref="B15:I15"/>
    <mergeCell ref="C16:I16"/>
    <mergeCell ref="C17:I17"/>
    <mergeCell ref="C18:I18"/>
    <mergeCell ref="B19:I19"/>
    <mergeCell ref="B7:I7"/>
    <mergeCell ref="C8:I8"/>
    <mergeCell ref="B9:I9"/>
    <mergeCell ref="B10:I10"/>
    <mergeCell ref="B11:I11"/>
    <mergeCell ref="B12:I12"/>
    <mergeCell ref="C26:I26"/>
    <mergeCell ref="C27:I27"/>
    <mergeCell ref="B28:I28"/>
    <mergeCell ref="C29:I29"/>
    <mergeCell ref="C30:I30"/>
    <mergeCell ref="C31:I31"/>
    <mergeCell ref="B20:I20"/>
    <mergeCell ref="B21:I21"/>
    <mergeCell ref="C22:I22"/>
    <mergeCell ref="C23:I23"/>
    <mergeCell ref="C24:I24"/>
    <mergeCell ref="C25:I25"/>
    <mergeCell ref="C37:E37"/>
    <mergeCell ref="F37:I37"/>
    <mergeCell ref="C38:E38"/>
    <mergeCell ref="F38:I38"/>
    <mergeCell ref="C39:E39"/>
    <mergeCell ref="F39:I39"/>
    <mergeCell ref="C32:I32"/>
    <mergeCell ref="B33:I33"/>
    <mergeCell ref="B34:I34"/>
    <mergeCell ref="C35:E35"/>
    <mergeCell ref="F35:I35"/>
    <mergeCell ref="C36:E36"/>
    <mergeCell ref="F36:I36"/>
    <mergeCell ref="C47:I47"/>
    <mergeCell ref="C48:I48"/>
    <mergeCell ref="C49:I49"/>
    <mergeCell ref="B50:I50"/>
    <mergeCell ref="B51:I51"/>
    <mergeCell ref="C52:F52"/>
    <mergeCell ref="G52:I52"/>
    <mergeCell ref="B41:I41"/>
    <mergeCell ref="B42:I42"/>
    <mergeCell ref="B43:I43"/>
    <mergeCell ref="B44:I44"/>
    <mergeCell ref="B45:I45"/>
    <mergeCell ref="B46:I46"/>
    <mergeCell ref="C56:F56"/>
    <mergeCell ref="G56:I56"/>
    <mergeCell ref="C57:F57"/>
    <mergeCell ref="G57:I57"/>
    <mergeCell ref="B59:I59"/>
    <mergeCell ref="B60:I60"/>
    <mergeCell ref="C53:F53"/>
    <mergeCell ref="G53:I53"/>
    <mergeCell ref="C54:F54"/>
    <mergeCell ref="G54:I54"/>
    <mergeCell ref="C55:F55"/>
    <mergeCell ref="G55:I55"/>
    <mergeCell ref="B69:I69"/>
    <mergeCell ref="B71:I71"/>
    <mergeCell ref="B72:I72"/>
    <mergeCell ref="B73:I73"/>
    <mergeCell ref="B74:I74"/>
    <mergeCell ref="B75:I75"/>
    <mergeCell ref="B61:I61"/>
    <mergeCell ref="B62:I62"/>
    <mergeCell ref="B63:I63"/>
    <mergeCell ref="C64:I64"/>
    <mergeCell ref="C65:I65"/>
    <mergeCell ref="B67:I67"/>
    <mergeCell ref="B83:I83"/>
    <mergeCell ref="B84:I84"/>
    <mergeCell ref="B85:I85"/>
    <mergeCell ref="B86:I86"/>
    <mergeCell ref="B87:I87"/>
    <mergeCell ref="B89:I89"/>
    <mergeCell ref="C76:I76"/>
    <mergeCell ref="C77:I77"/>
    <mergeCell ref="B79:I79"/>
    <mergeCell ref="B80:I80"/>
    <mergeCell ref="B81:I81"/>
    <mergeCell ref="B82:I82"/>
    <mergeCell ref="C98:I98"/>
    <mergeCell ref="B100:I100"/>
    <mergeCell ref="B102:I102"/>
    <mergeCell ref="B103:I103"/>
    <mergeCell ref="B104:I104"/>
    <mergeCell ref="B106:I106"/>
    <mergeCell ref="C91:E91"/>
    <mergeCell ref="B93:I93"/>
    <mergeCell ref="C94:I94"/>
    <mergeCell ref="C95:I95"/>
    <mergeCell ref="C96:I96"/>
    <mergeCell ref="C97:I97"/>
    <mergeCell ref="B114:I114"/>
    <mergeCell ref="B115:I115"/>
    <mergeCell ref="B116:I116"/>
    <mergeCell ref="C117:I117"/>
    <mergeCell ref="C118:I118"/>
    <mergeCell ref="B120:I120"/>
    <mergeCell ref="C107:I107"/>
    <mergeCell ref="C108:I108"/>
    <mergeCell ref="C109:I109"/>
    <mergeCell ref="B110:I110"/>
    <mergeCell ref="B112:I112"/>
    <mergeCell ref="B113:I113"/>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79:I179"/>
    <mergeCell ref="B180:I180"/>
    <mergeCell ref="B181:I181"/>
    <mergeCell ref="B182:I182"/>
    <mergeCell ref="C183:I183"/>
    <mergeCell ref="C184:I184"/>
    <mergeCell ref="C173:F173"/>
    <mergeCell ref="G173:I173"/>
    <mergeCell ref="C174:F174"/>
    <mergeCell ref="G174:I174"/>
    <mergeCell ref="C176:I176"/>
    <mergeCell ref="B178:I178"/>
    <mergeCell ref="B192:I192"/>
    <mergeCell ref="B193:I193"/>
    <mergeCell ref="C194:I194"/>
    <mergeCell ref="C195:I195"/>
    <mergeCell ref="C196:I196"/>
    <mergeCell ref="C197:I197"/>
    <mergeCell ref="C185:I185"/>
    <mergeCell ref="C186:I186"/>
    <mergeCell ref="C187:I187"/>
    <mergeCell ref="B189:I189"/>
    <mergeCell ref="B190:I190"/>
    <mergeCell ref="B191:I191"/>
    <mergeCell ref="B206:I206"/>
    <mergeCell ref="C207:I207"/>
    <mergeCell ref="C208:I208"/>
    <mergeCell ref="C209:I209"/>
    <mergeCell ref="C210:I210"/>
    <mergeCell ref="C211:I211"/>
    <mergeCell ref="C198:I198"/>
    <mergeCell ref="B199:I199"/>
    <mergeCell ref="B201:I201"/>
    <mergeCell ref="B202:I202"/>
    <mergeCell ref="B203:I203"/>
    <mergeCell ref="B204:I204"/>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C222:F222"/>
    <mergeCell ref="G222:I222"/>
    <mergeCell ref="C223:F223"/>
    <mergeCell ref="G223:I223"/>
    <mergeCell ref="C224:F224"/>
    <mergeCell ref="G224:I224"/>
    <mergeCell ref="C219:F219"/>
    <mergeCell ref="G219:I219"/>
    <mergeCell ref="C220:F220"/>
    <mergeCell ref="G220:I220"/>
    <mergeCell ref="C221:F221"/>
    <mergeCell ref="G221:I221"/>
    <mergeCell ref="B231:I231"/>
    <mergeCell ref="B232:I232"/>
    <mergeCell ref="B233:I233"/>
    <mergeCell ref="C234:I234"/>
    <mergeCell ref="C235:I235"/>
    <mergeCell ref="C236:I236"/>
    <mergeCell ref="C225:F225"/>
    <mergeCell ref="G225:I225"/>
    <mergeCell ref="B227:I227"/>
    <mergeCell ref="B228:I228"/>
    <mergeCell ref="B229:I229"/>
    <mergeCell ref="B230:I230"/>
    <mergeCell ref="B249:I249"/>
    <mergeCell ref="B250:I250"/>
    <mergeCell ref="B251:I251"/>
    <mergeCell ref="B252:I252"/>
    <mergeCell ref="C253:I253"/>
    <mergeCell ref="C254:I254"/>
    <mergeCell ref="C237:I237"/>
    <mergeCell ref="B239:I239"/>
    <mergeCell ref="C244:G244"/>
    <mergeCell ref="C245:G245"/>
    <mergeCell ref="C246:G246"/>
    <mergeCell ref="B248:I248"/>
    <mergeCell ref="C262:I262"/>
    <mergeCell ref="C263:I263"/>
    <mergeCell ref="C264:I264"/>
    <mergeCell ref="B265:I265"/>
    <mergeCell ref="B266:I266"/>
    <mergeCell ref="B267:I267"/>
    <mergeCell ref="B256:I256"/>
    <mergeCell ref="B257:I257"/>
    <mergeCell ref="B258:I258"/>
    <mergeCell ref="B259:I259"/>
    <mergeCell ref="B260:I260"/>
    <mergeCell ref="C261:I261"/>
    <mergeCell ref="C274:I274"/>
    <mergeCell ref="C275:I275"/>
    <mergeCell ref="B277:I277"/>
    <mergeCell ref="B278:I278"/>
    <mergeCell ref="B279:I279"/>
    <mergeCell ref="B280:I280"/>
    <mergeCell ref="B268:I268"/>
    <mergeCell ref="B269:I269"/>
    <mergeCell ref="B270:I270"/>
    <mergeCell ref="C271:I271"/>
    <mergeCell ref="C272:I272"/>
    <mergeCell ref="C273:I273"/>
    <mergeCell ref="B289:I289"/>
    <mergeCell ref="B290:I290"/>
    <mergeCell ref="B291:I291"/>
    <mergeCell ref="C292:I292"/>
    <mergeCell ref="C293:I293"/>
    <mergeCell ref="C294:I294"/>
    <mergeCell ref="B281:I281"/>
    <mergeCell ref="C282:I282"/>
    <mergeCell ref="C283:I283"/>
    <mergeCell ref="C284:I284"/>
    <mergeCell ref="B287:I287"/>
    <mergeCell ref="B288:I288"/>
    <mergeCell ref="B302:I302"/>
    <mergeCell ref="C303:I303"/>
    <mergeCell ref="C304:I304"/>
    <mergeCell ref="C305:I305"/>
    <mergeCell ref="C306:I306"/>
    <mergeCell ref="C307:I307"/>
    <mergeCell ref="C295:I295"/>
    <mergeCell ref="C296:I296"/>
    <mergeCell ref="C297:I297"/>
    <mergeCell ref="B299:I299"/>
    <mergeCell ref="B300:I300"/>
    <mergeCell ref="B301:I301"/>
    <mergeCell ref="C315:I315"/>
    <mergeCell ref="B317:I317"/>
    <mergeCell ref="C318:I318"/>
    <mergeCell ref="C319:I319"/>
    <mergeCell ref="C320:I320"/>
    <mergeCell ref="C321:I321"/>
    <mergeCell ref="B308:I308"/>
    <mergeCell ref="B309:I309"/>
    <mergeCell ref="B310:I310"/>
    <mergeCell ref="B311:I311"/>
    <mergeCell ref="B312:I312"/>
    <mergeCell ref="B314:I314"/>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54:I354"/>
    <mergeCell ref="C355:I355"/>
    <mergeCell ref="C356:I356"/>
    <mergeCell ref="C357:I357"/>
    <mergeCell ref="C358:I358"/>
    <mergeCell ref="C359:I359"/>
    <mergeCell ref="B348:I348"/>
    <mergeCell ref="B349:I349"/>
    <mergeCell ref="B350:I350"/>
    <mergeCell ref="B351:I351"/>
    <mergeCell ref="B352:I352"/>
    <mergeCell ref="C353:I353"/>
    <mergeCell ref="B369:I369"/>
    <mergeCell ref="B371:I371"/>
    <mergeCell ref="B372:I372"/>
    <mergeCell ref="B373:I373"/>
    <mergeCell ref="B374:I374"/>
    <mergeCell ref="B375:I375"/>
    <mergeCell ref="B361:I361"/>
    <mergeCell ref="B362:I362"/>
    <mergeCell ref="B363:I363"/>
    <mergeCell ref="B365:I365"/>
    <mergeCell ref="C366:I366"/>
    <mergeCell ref="C367:I367"/>
    <mergeCell ref="B383:I383"/>
    <mergeCell ref="B384:I384"/>
    <mergeCell ref="C385:I385"/>
    <mergeCell ref="B386:I386"/>
    <mergeCell ref="C387:I387"/>
    <mergeCell ref="C388:I388"/>
    <mergeCell ref="C376:I376"/>
    <mergeCell ref="C377:I377"/>
    <mergeCell ref="C378:I378"/>
    <mergeCell ref="B380:I380"/>
    <mergeCell ref="B381:I381"/>
    <mergeCell ref="B382:I382"/>
    <mergeCell ref="C396:I396"/>
    <mergeCell ref="C397:I397"/>
    <mergeCell ref="C398:I398"/>
    <mergeCell ref="C399:I399"/>
    <mergeCell ref="C400:I400"/>
    <mergeCell ref="B401:I401"/>
    <mergeCell ref="C389:I389"/>
    <mergeCell ref="B391:I391"/>
    <mergeCell ref="B392:I392"/>
    <mergeCell ref="B393:I393"/>
    <mergeCell ref="B394:I394"/>
    <mergeCell ref="B395:I395"/>
    <mergeCell ref="C408:I408"/>
    <mergeCell ref="B410:I410"/>
    <mergeCell ref="B411:I411"/>
    <mergeCell ref="B412:I412"/>
    <mergeCell ref="B414:I414"/>
    <mergeCell ref="C415:I415"/>
    <mergeCell ref="B402:I402"/>
    <mergeCell ref="B403:I403"/>
    <mergeCell ref="B404:I404"/>
    <mergeCell ref="B405:I405"/>
    <mergeCell ref="B406:I406"/>
    <mergeCell ref="C407:I407"/>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95:I495"/>
    <mergeCell ref="C496:I496"/>
    <mergeCell ref="C497:I497"/>
    <mergeCell ref="B498:I498"/>
    <mergeCell ref="B499:I499"/>
    <mergeCell ref="C500:I500"/>
    <mergeCell ref="C487:I487"/>
    <mergeCell ref="B489:I489"/>
    <mergeCell ref="B490:I490"/>
    <mergeCell ref="B491:I491"/>
    <mergeCell ref="B492:I492"/>
    <mergeCell ref="B493:I493"/>
    <mergeCell ref="B508:I508"/>
    <mergeCell ref="C509:I509"/>
    <mergeCell ref="C510:I510"/>
    <mergeCell ref="C511:I511"/>
    <mergeCell ref="C512:I512"/>
    <mergeCell ref="C513:I513"/>
    <mergeCell ref="C501:I501"/>
    <mergeCell ref="C502:I502"/>
    <mergeCell ref="B504:I504"/>
    <mergeCell ref="B505:I505"/>
    <mergeCell ref="B506:I506"/>
    <mergeCell ref="B507:I507"/>
    <mergeCell ref="B521:I521"/>
    <mergeCell ref="B522:I522"/>
    <mergeCell ref="B523:I523"/>
    <mergeCell ref="C524:I524"/>
    <mergeCell ref="C525:I525"/>
    <mergeCell ref="C526:I526"/>
    <mergeCell ref="C514:I514"/>
    <mergeCell ref="C515:I515"/>
    <mergeCell ref="C516:I516"/>
    <mergeCell ref="B518:I518"/>
    <mergeCell ref="B519:I519"/>
    <mergeCell ref="B520:I520"/>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62:I562"/>
    <mergeCell ref="C563:I563"/>
    <mergeCell ref="C564:I564"/>
    <mergeCell ref="C565:I565"/>
    <mergeCell ref="C566:I566"/>
    <mergeCell ref="C567:I567"/>
    <mergeCell ref="B556:I556"/>
    <mergeCell ref="B557:I557"/>
    <mergeCell ref="B558:I558"/>
    <mergeCell ref="C559:I559"/>
    <mergeCell ref="C560:I560"/>
    <mergeCell ref="C561:I561"/>
    <mergeCell ref="C576:I576"/>
    <mergeCell ref="C577:I577"/>
    <mergeCell ref="B579:I579"/>
    <mergeCell ref="B580:I580"/>
    <mergeCell ref="B581:I581"/>
    <mergeCell ref="B582:I582"/>
    <mergeCell ref="B569:I569"/>
    <mergeCell ref="B571:I571"/>
    <mergeCell ref="B572:I572"/>
    <mergeCell ref="B573:I573"/>
    <mergeCell ref="B574:I574"/>
    <mergeCell ref="B575:I575"/>
    <mergeCell ref="B590:I590"/>
    <mergeCell ref="B591:I591"/>
    <mergeCell ref="C592:I592"/>
    <mergeCell ref="C593:I593"/>
    <mergeCell ref="B595:I595"/>
    <mergeCell ref="B597:I597"/>
    <mergeCell ref="B583:I583"/>
    <mergeCell ref="C584:I584"/>
    <mergeCell ref="C585:I585"/>
    <mergeCell ref="B587:I587"/>
    <mergeCell ref="B588:I588"/>
    <mergeCell ref="B589:I58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620:I620"/>
    <mergeCell ref="B621:I621"/>
    <mergeCell ref="B622:I622"/>
    <mergeCell ref="C623:I623"/>
    <mergeCell ref="B625:I625"/>
    <mergeCell ref="B626:I626"/>
    <mergeCell ref="B613:I613"/>
    <mergeCell ref="C614:I614"/>
    <mergeCell ref="C615:I615"/>
    <mergeCell ref="C616:I616"/>
    <mergeCell ref="B618:I618"/>
    <mergeCell ref="B619:I619"/>
    <mergeCell ref="B634:I634"/>
    <mergeCell ref="B635:I635"/>
    <mergeCell ref="B636:I636"/>
    <mergeCell ref="B637:I637"/>
    <mergeCell ref="C639:I639"/>
    <mergeCell ref="B641:I641"/>
    <mergeCell ref="B627:I627"/>
    <mergeCell ref="B628:I628"/>
    <mergeCell ref="B629:I629"/>
    <mergeCell ref="B630:I630"/>
    <mergeCell ref="C631:I631"/>
    <mergeCell ref="B633:I633"/>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66:I666"/>
    <mergeCell ref="B667:I667"/>
    <mergeCell ref="C668:I668"/>
    <mergeCell ref="C669:I669"/>
    <mergeCell ref="B671:I671"/>
    <mergeCell ref="B672:I672"/>
    <mergeCell ref="C657:I657"/>
    <mergeCell ref="C659:I659"/>
    <mergeCell ref="B661:I661"/>
    <mergeCell ref="B663:I663"/>
    <mergeCell ref="B664:I664"/>
    <mergeCell ref="B665:I665"/>
    <mergeCell ref="B680:I680"/>
    <mergeCell ref="B682:I682"/>
    <mergeCell ref="B683:I683"/>
    <mergeCell ref="B684:I684"/>
    <mergeCell ref="B685:I685"/>
    <mergeCell ref="B686:I686"/>
    <mergeCell ref="B673:I673"/>
    <mergeCell ref="B674:I674"/>
    <mergeCell ref="B675:I675"/>
    <mergeCell ref="C676:I676"/>
    <mergeCell ref="C677:I677"/>
    <mergeCell ref="B679:I679"/>
    <mergeCell ref="C694:I694"/>
    <mergeCell ref="B696:I696"/>
    <mergeCell ref="B697:I697"/>
    <mergeCell ref="B698:I698"/>
    <mergeCell ref="B700:I700"/>
    <mergeCell ref="C701:I701"/>
    <mergeCell ref="C687:I687"/>
    <mergeCell ref="B689:I689"/>
    <mergeCell ref="B690:I690"/>
    <mergeCell ref="B691:I691"/>
    <mergeCell ref="B692:I692"/>
    <mergeCell ref="B693:I693"/>
    <mergeCell ref="C709:I709"/>
    <mergeCell ref="C710:I710"/>
    <mergeCell ref="C711:I711"/>
    <mergeCell ref="C712:I712"/>
    <mergeCell ref="C713:I713"/>
    <mergeCell ref="B715:I715"/>
    <mergeCell ref="C702:I702"/>
    <mergeCell ref="B704:I704"/>
    <mergeCell ref="B705:I705"/>
    <mergeCell ref="B706:I706"/>
    <mergeCell ref="B707:I707"/>
    <mergeCell ref="B708:I708"/>
    <mergeCell ref="B723:I723"/>
    <mergeCell ref="B724:I724"/>
    <mergeCell ref="B725:I725"/>
    <mergeCell ref="C727:I727"/>
    <mergeCell ref="C728:I728"/>
    <mergeCell ref="B730:I730"/>
    <mergeCell ref="B716:I716"/>
    <mergeCell ref="B717:I717"/>
    <mergeCell ref="B718:I718"/>
    <mergeCell ref="B719:I719"/>
    <mergeCell ref="C720:I720"/>
    <mergeCell ref="B722:I722"/>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96:I796"/>
    <mergeCell ref="C797:I797"/>
    <mergeCell ref="C798:I798"/>
    <mergeCell ref="B800:I800"/>
    <mergeCell ref="B802:I802"/>
    <mergeCell ref="B804:I804"/>
    <mergeCell ref="C788:I788"/>
    <mergeCell ref="B790:I790"/>
    <mergeCell ref="B792:I792"/>
    <mergeCell ref="B793:I793"/>
    <mergeCell ref="B794:I794"/>
    <mergeCell ref="B795:I795"/>
    <mergeCell ref="C811:I811"/>
    <mergeCell ref="C812:I812"/>
    <mergeCell ref="B814:I814"/>
    <mergeCell ref="B815:I815"/>
    <mergeCell ref="B816:I816"/>
    <mergeCell ref="B817:I817"/>
    <mergeCell ref="B805:I805"/>
    <mergeCell ref="B806:I806"/>
    <mergeCell ref="B807:I807"/>
    <mergeCell ref="B808:I808"/>
    <mergeCell ref="C809:I809"/>
    <mergeCell ref="C810:I810"/>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68:I868"/>
    <mergeCell ref="B870:I870"/>
    <mergeCell ref="B871:I871"/>
    <mergeCell ref="B872:I872"/>
    <mergeCell ref="B873:I873"/>
    <mergeCell ref="B874:I874"/>
    <mergeCell ref="B861:I861"/>
    <mergeCell ref="B862:I862"/>
    <mergeCell ref="B863:I863"/>
    <mergeCell ref="B865:I865"/>
    <mergeCell ref="C866:I866"/>
    <mergeCell ref="C867:I867"/>
    <mergeCell ref="C882:I882"/>
    <mergeCell ref="B884:I884"/>
    <mergeCell ref="B886:I886"/>
    <mergeCell ref="B887:I887"/>
    <mergeCell ref="B888:I888"/>
    <mergeCell ref="B889:I889"/>
    <mergeCell ref="C875:I875"/>
    <mergeCell ref="B877:I877"/>
    <mergeCell ref="B878:I878"/>
    <mergeCell ref="B879:I879"/>
    <mergeCell ref="B880:I880"/>
    <mergeCell ref="B881:I881"/>
    <mergeCell ref="B897:I897"/>
    <mergeCell ref="B898:I898"/>
    <mergeCell ref="C899:I899"/>
    <mergeCell ref="B901:I901"/>
    <mergeCell ref="B902:I902"/>
    <mergeCell ref="B903:I903"/>
    <mergeCell ref="B890:I890"/>
    <mergeCell ref="C891:I891"/>
    <mergeCell ref="C892:I892"/>
    <mergeCell ref="B894:I894"/>
    <mergeCell ref="B895:I895"/>
    <mergeCell ref="B896:I896"/>
    <mergeCell ref="B912:I912"/>
    <mergeCell ref="B913:I913"/>
    <mergeCell ref="C914:I914"/>
    <mergeCell ref="B916:I916"/>
    <mergeCell ref="B917:I917"/>
    <mergeCell ref="B918:I918"/>
    <mergeCell ref="B905:I905"/>
    <mergeCell ref="C906:I906"/>
    <mergeCell ref="C907:I907"/>
    <mergeCell ref="B909:I909"/>
    <mergeCell ref="B910:I910"/>
    <mergeCell ref="B911:I911"/>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69" customFormat="1" ht="18.899999999999999" customHeight="1" x14ac:dyDescent="0.3">
      <c r="A3" s="87">
        <v>1</v>
      </c>
      <c r="B3" s="237" t="s">
        <v>5</v>
      </c>
      <c r="C3" s="237"/>
      <c r="D3" s="237"/>
      <c r="E3" s="237"/>
      <c r="F3" s="237"/>
      <c r="G3" s="237"/>
      <c r="H3" s="237"/>
      <c r="I3" s="237"/>
    </row>
    <row r="4" spans="1:9" s="69" customFormat="1" ht="12" customHeight="1" x14ac:dyDescent="0.3">
      <c r="A4" s="81"/>
      <c r="B4" s="82"/>
      <c r="C4" s="82"/>
      <c r="D4" s="82"/>
      <c r="E4" s="82"/>
      <c r="F4" s="82"/>
      <c r="G4" s="82"/>
      <c r="H4" s="82"/>
      <c r="I4" s="82"/>
    </row>
    <row r="5" spans="1:9" s="69" customFormat="1" ht="14.4" x14ac:dyDescent="0.3">
      <c r="A5" s="68"/>
      <c r="C5" s="238" t="s">
        <v>653</v>
      </c>
      <c r="D5" s="239"/>
      <c r="E5" s="240" t="str">
        <f>_xlfn.CONCAT(_xlfn.XLOOKUP("[S01_InstitutionDetails][0][NameAndDepartment]",Submission!$O:$O,Submission!$H:$N,""))</f>
        <v>Malta Resources Authority</v>
      </c>
      <c r="F5" s="241"/>
      <c r="G5" s="241"/>
      <c r="H5" s="241"/>
      <c r="I5" s="242"/>
    </row>
    <row r="6" spans="1:9" s="69" customFormat="1" ht="14.4" x14ac:dyDescent="0.3">
      <c r="A6" s="68"/>
      <c r="C6" s="238" t="s">
        <v>654</v>
      </c>
      <c r="D6" s="239"/>
      <c r="E6" s="240" t="str">
        <f>_xlfn.CONCAT(_xlfn.XLOOKUP("[S01_InstitutionDetails][0][ContactPersonName]",Submission!$O:$O,Submission!$H:$N,""))</f>
        <v>Saviour Vassallo</v>
      </c>
      <c r="F6" s="241"/>
      <c r="G6" s="241"/>
      <c r="H6" s="241"/>
      <c r="I6" s="242"/>
    </row>
    <row r="7" spans="1:9" s="69" customFormat="1" ht="14.4" x14ac:dyDescent="0.3">
      <c r="A7" s="68"/>
      <c r="C7" s="238" t="s">
        <v>655</v>
      </c>
      <c r="D7" s="239"/>
      <c r="E7" s="240" t="str">
        <f>_xlfn.CONCAT(_xlfn.XLOOKUP("[S01_InstitutionDetails][0][ContactPersonJobTitle]",Submission!$O:$O,Submission!$H:$N,""))</f>
        <v>Senior Environment Protection Officer - Team Leader Climate Change Unit</v>
      </c>
      <c r="F7" s="241"/>
      <c r="G7" s="241"/>
      <c r="H7" s="241"/>
      <c r="I7" s="242"/>
    </row>
    <row r="8" spans="1:9" s="69" customFormat="1" ht="14.4" x14ac:dyDescent="0.3">
      <c r="A8" s="68"/>
      <c r="C8" s="238" t="s">
        <v>656</v>
      </c>
      <c r="D8" s="239"/>
      <c r="E8" s="240" t="str">
        <f>_xlfn.CONCAT(_xlfn.XLOOKUP("[S01_InstitutionDetails][0][Address]",Submission!$O:$O,Submission!$H:$N,""))</f>
        <v>Millennia Building, Aldo Moro Road, Marsa MRS 9065</v>
      </c>
      <c r="F8" s="241"/>
      <c r="G8" s="241"/>
      <c r="H8" s="241"/>
      <c r="I8" s="242"/>
    </row>
    <row r="9" spans="1:9" s="69" customFormat="1" ht="14.4" x14ac:dyDescent="0.3">
      <c r="A9" s="68"/>
      <c r="C9" s="238" t="s">
        <v>657</v>
      </c>
      <c r="D9" s="239"/>
      <c r="E9" s="243" t="str">
        <f>_xlfn.CONCAT(_xlfn.XLOOKUP("[S01_InstitutionDetails][0][InternationalTelephoneNumber]",Submission!$O:$O,Submission!$H:$N,""))</f>
        <v>35623850507</v>
      </c>
      <c r="F9" s="244"/>
      <c r="G9" s="244"/>
      <c r="H9" s="244"/>
      <c r="I9" s="245"/>
    </row>
    <row r="10" spans="1:9" s="69" customFormat="1" ht="14.4" x14ac:dyDescent="0.3">
      <c r="A10" s="68"/>
      <c r="C10" s="238" t="s">
        <v>658</v>
      </c>
      <c r="D10" s="239"/>
      <c r="E10" s="247" t="str">
        <f>_xlfn.CONCAT(_xlfn.XLOOKUP("[S01_InstitutionDetails][0][EMail]",Submission!$O:$O,Submission!$H:$N,""))</f>
        <v>saviour.vassallo@mra.org.mt</v>
      </c>
      <c r="F10" s="241"/>
      <c r="G10" s="241"/>
      <c r="H10" s="241"/>
      <c r="I10" s="242"/>
    </row>
    <row r="11" spans="1:9" s="79" customFormat="1" ht="14.4" x14ac:dyDescent="0.3">
      <c r="A11" s="78"/>
      <c r="C11" s="246" t="s">
        <v>1766</v>
      </c>
      <c r="D11" s="239"/>
      <c r="E11" s="240" t="str">
        <f>_xlfn.CONCAT(_xlfn.XLOOKUP("[S01_InstitutionDetails][0][ReportingYear]",Submission!$O:$O,Submission!$H:$N,""))</f>
        <v>2021</v>
      </c>
      <c r="F11" s="241"/>
      <c r="G11" s="241"/>
      <c r="H11" s="241"/>
      <c r="I11" s="242"/>
    </row>
    <row r="13" spans="1:9" x14ac:dyDescent="0.3">
      <c r="C13" s="25"/>
    </row>
  </sheetData>
  <mergeCells count="16">
    <mergeCell ref="E8:I8"/>
    <mergeCell ref="E9:I9"/>
    <mergeCell ref="C11:D11"/>
    <mergeCell ref="E11:I11"/>
    <mergeCell ref="C8:D8"/>
    <mergeCell ref="C9:D9"/>
    <mergeCell ref="C10:D10"/>
    <mergeCell ref="E10:I10"/>
    <mergeCell ref="A1:I1"/>
    <mergeCell ref="B3:I3"/>
    <mergeCell ref="C5:D5"/>
    <mergeCell ref="C6:D6"/>
    <mergeCell ref="C7:D7"/>
    <mergeCell ref="E5:I5"/>
    <mergeCell ref="E6:I6"/>
    <mergeCell ref="E7:I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3" t="s">
        <v>1792</v>
      </c>
      <c r="B1" s="193"/>
      <c r="C1" s="193"/>
      <c r="D1" s="193"/>
      <c r="E1" s="193"/>
      <c r="F1" s="193"/>
      <c r="G1" s="193"/>
      <c r="H1" s="193"/>
      <c r="I1" s="193"/>
    </row>
    <row r="2" spans="1:11" s="7" customFormat="1" ht="4.95" customHeight="1" x14ac:dyDescent="0.3">
      <c r="A2" s="68"/>
      <c r="B2" s="69"/>
      <c r="C2" s="69"/>
      <c r="D2" s="69"/>
      <c r="E2" s="69"/>
      <c r="F2" s="69"/>
      <c r="G2" s="69"/>
      <c r="H2" s="69"/>
      <c r="I2" s="69"/>
    </row>
    <row r="3" spans="1:11" s="69" customFormat="1" ht="18.75" customHeight="1" x14ac:dyDescent="0.3">
      <c r="A3" s="87">
        <v>2</v>
      </c>
      <c r="B3" s="237" t="s">
        <v>659</v>
      </c>
      <c r="C3" s="237"/>
      <c r="D3" s="237"/>
      <c r="E3" s="237"/>
      <c r="F3" s="237"/>
      <c r="G3" s="237"/>
      <c r="H3" s="237"/>
      <c r="I3" s="237"/>
    </row>
    <row r="4" spans="1:11" s="69" customFormat="1" ht="15.6" x14ac:dyDescent="0.3">
      <c r="A4" s="57" t="s">
        <v>12</v>
      </c>
      <c r="B4" s="269" t="s">
        <v>660</v>
      </c>
      <c r="C4" s="270"/>
      <c r="D4" s="270"/>
      <c r="E4" s="270"/>
      <c r="F4" s="270"/>
      <c r="G4" s="270"/>
      <c r="H4" s="270"/>
      <c r="I4" s="270"/>
    </row>
    <row r="5" spans="1:11" s="27" customFormat="1" ht="34.950000000000003" customHeight="1" x14ac:dyDescent="0.3">
      <c r="A5" s="144"/>
      <c r="B5" s="271" t="s">
        <v>661</v>
      </c>
      <c r="C5" s="272"/>
      <c r="D5" s="272"/>
      <c r="E5" s="272"/>
      <c r="F5" s="272"/>
      <c r="G5" s="272"/>
      <c r="H5" s="272"/>
      <c r="I5" s="272"/>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Malta Resources Authority</v>
      </c>
      <c r="D7" s="72" t="str">
        <f>_xlfn.CONCAT(_xlfn.XLOOKUP("[S02_CompetentAuthority][1][CAAbbreviation]",Submission!$O:$O,Submission!$H:$N,""))</f>
        <v>MRA</v>
      </c>
      <c r="E7" s="72" t="str">
        <f>_xlfn.CONCAT(_xlfn.XLOOKUP("[S02_CompetentAuthority][1][CAType]",Submission!$O:$O,Submission!$H:$N,""))</f>
        <v>Central competent authority</v>
      </c>
      <c r="F7" s="105" t="str">
        <f>_xlfn.CONCAT(_xlfn.XLOOKUP("[S02_CompetentAuthority][1][CANumber]",Submission!$O:$O,Submission!$H:$N,""))</f>
        <v/>
      </c>
      <c r="G7" s="172" t="str">
        <f>_xlfn.CONCAT(_xlfn.XLOOKUP("[S02_CompetentAuthority][1][CATelephone]",Submission!$O:$O,Submission!$H:$N,""))</f>
        <v>35623850507</v>
      </c>
      <c r="H7" s="83" t="str">
        <f>_xlfn.CONCAT(_xlfn.XLOOKUP("[S02_CompetentAuthority][1][CAEmail]",Submission!$O:$O,Submission!$H:$N,""))</f>
        <v>emissions_trading_scheme@mra.org.mt</v>
      </c>
      <c r="I7" s="72" t="str">
        <f>_xlfn.CONCAT(_xlfn.XLOOKUP("[S02_CompetentAuthority][1][CAWebsite]",Submission!$O:$O,Submission!$H:$N,""))</f>
        <v>www.mra.org.mt</v>
      </c>
      <c r="J7" s="79"/>
    </row>
    <row r="8" spans="1:11" s="58" customFormat="1" ht="15.9" customHeight="1" x14ac:dyDescent="0.3">
      <c r="B8" s="79"/>
      <c r="C8" s="71" t="str">
        <f>_xlfn.CONCAT(_xlfn.XLOOKUP("[S02_CompetentAuthority][2][CAName]",Submission!$O:$O,Submission!$H:$N,""))</f>
        <v>Treasury Department - Ministry for Finance and the Economy</v>
      </c>
      <c r="D8" s="72" t="str">
        <f>_xlfn.CONCAT(_xlfn.XLOOKUP("[S02_CompetentAuthority][2][CAAbbreviation]",Submission!$O:$O,Submission!$H:$N,""))</f>
        <v>TD-MFE</v>
      </c>
      <c r="E8" s="72" t="str">
        <f>_xlfn.CONCAT(_xlfn.XLOOKUP("[S02_CompetentAuthority][2][CAType]",Submission!$O:$O,Submission!$H:$N,""))</f>
        <v/>
      </c>
      <c r="F8" s="105" t="str">
        <f>_xlfn.CONCAT(_xlfn.XLOOKUP("[S02_CompetentAuthority][2][CANumber]",Submission!$O:$O,Submission!$H:$N,""))</f>
        <v/>
      </c>
      <c r="G8" s="172" t="str">
        <f>_xlfn.CONCAT(_xlfn.XLOOKUP("[S02_CompetentAuthority][2][CATelephone]",Submission!$O:$O,Submission!$H:$N,""))</f>
        <v>35625697100</v>
      </c>
      <c r="H8" s="83" t="str">
        <f>_xlfn.CONCAT(_xlfn.XLOOKUP("[S02_CompetentAuthority][2][CAEmail]",Submission!$O:$O,Submission!$H:$N,""))</f>
        <v>treasury.malta@gov.mt</v>
      </c>
      <c r="I8" s="72" t="str">
        <f>_xlfn.CONCAT(_xlfn.XLOOKUP("[S02_CompetentAuthority][2][CAWebsite]",Submission!$O:$O,Submission!$H:$N,""))</f>
        <v>www.finance.gov.mt</v>
      </c>
      <c r="J8" s="79"/>
    </row>
    <row r="9" spans="1:11" s="58" customFormat="1" ht="15.9" customHeight="1" x14ac:dyDescent="0.3">
      <c r="B9" s="79"/>
      <c r="C9" s="71" t="str">
        <f>_xlfn.CONCAT(_xlfn.XLOOKUP("[S02_CompetentAuthority][3][CAName]",Submission!$O:$O,Submission!$H:$N,""))</f>
        <v/>
      </c>
      <c r="D9" s="72" t="str">
        <f>_xlfn.CONCAT(_xlfn.XLOOKUP("[S02_CompetentAuthority][3][CAAbbreviation]",Submission!$O:$O,Submission!$H:$N,""))</f>
        <v/>
      </c>
      <c r="E9" s="72" t="str">
        <f>_xlfn.CONCAT(_xlfn.XLOOKUP("[S02_CompetentAuthority][3][CAType]",Submission!$O:$O,Submission!$H:$N,""))</f>
        <v/>
      </c>
      <c r="F9" s="105" t="str">
        <f>_xlfn.CONCAT(_xlfn.XLOOKUP("[S02_CompetentAuthority][3][CANumber]",Submission!$O:$O,Submission!$H:$N,""))</f>
        <v/>
      </c>
      <c r="G9" s="172" t="str">
        <f>_xlfn.CONCAT(_xlfn.XLOOKUP("[S02_CompetentAuthority][3][CATelephone]",Submission!$O:$O,Submission!$H:$N,""))</f>
        <v/>
      </c>
      <c r="H9" s="83" t="str">
        <f>_xlfn.CONCAT(_xlfn.XLOOKUP("[S02_CompetentAuthority][3][CAEmail]",Submission!$O:$O,Submission!$H:$N,""))</f>
        <v/>
      </c>
      <c r="I9" s="72" t="str">
        <f>_xlfn.CONCAT(_xlfn.XLOOKUP("[S02_CompetentAuthority][3][CAWebsite]",Submission!$O:$O,Submission!$H:$N,""))</f>
        <v/>
      </c>
      <c r="J9" s="79"/>
    </row>
    <row r="10" spans="1:11" s="58" customFormat="1" ht="15.9" customHeight="1" x14ac:dyDescent="0.3">
      <c r="B10" s="79"/>
      <c r="C10" s="71" t="str">
        <f>_xlfn.CONCAT(_xlfn.XLOOKUP("[S02_CompetentAuthority][4][CAName]",Submission!$O:$O,Submission!$H:$N,""))</f>
        <v/>
      </c>
      <c r="D10" s="72" t="str">
        <f>_xlfn.CONCAT(_xlfn.XLOOKUP("[S02_CompetentAuthority][4][CAAbbreviation]",Submission!$O:$O,Submission!$H:$N,""))</f>
        <v/>
      </c>
      <c r="E10" s="72" t="str">
        <f>_xlfn.CONCAT(_xlfn.XLOOKUP("[S02_CompetentAuthority][4][CAType]",Submission!$O:$O,Submission!$H:$N,""))</f>
        <v/>
      </c>
      <c r="F10" s="105" t="str">
        <f>_xlfn.CONCAT(_xlfn.XLOOKUP("[S02_CompetentAuthority][4][CANumber]",Submission!$O:$O,Submission!$H:$N,""))</f>
        <v/>
      </c>
      <c r="G10" s="172"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2"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2"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2"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2"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2"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2"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2"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2"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2"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2"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2"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2"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2"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2"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2"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2"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2"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2"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77" t="s">
        <v>669</v>
      </c>
      <c r="D30" s="278"/>
      <c r="E30" s="278"/>
      <c r="F30" s="278"/>
      <c r="G30" s="278"/>
      <c r="H30" s="278"/>
      <c r="I30" s="278"/>
      <c r="J30" s="79"/>
      <c r="K30" s="69"/>
    </row>
    <row r="31" spans="2:11" s="58" customFormat="1" ht="15.6" x14ac:dyDescent="0.3">
      <c r="B31" s="84"/>
      <c r="C31" s="277" t="s">
        <v>670</v>
      </c>
      <c r="D31" s="278"/>
      <c r="E31" s="278"/>
      <c r="F31" s="278"/>
      <c r="G31" s="278"/>
      <c r="H31" s="278"/>
      <c r="I31" s="278"/>
      <c r="J31" s="79"/>
      <c r="K31" s="69"/>
    </row>
    <row r="32" spans="2:11" s="58" customFormat="1" ht="15.6" x14ac:dyDescent="0.3">
      <c r="B32" s="84"/>
      <c r="C32" s="277" t="s">
        <v>671</v>
      </c>
      <c r="D32" s="278"/>
      <c r="E32" s="278"/>
      <c r="F32" s="278"/>
      <c r="G32" s="278"/>
      <c r="H32" s="278"/>
      <c r="I32" s="278"/>
      <c r="J32" s="79"/>
      <c r="K32" s="69"/>
    </row>
    <row r="33" spans="1:9" s="69" customFormat="1" ht="14.4" x14ac:dyDescent="0.3"/>
    <row r="34" spans="1:9" s="58" customFormat="1" ht="45.6" customHeight="1" x14ac:dyDescent="0.3">
      <c r="A34" s="75"/>
      <c r="B34" s="274" t="s">
        <v>672</v>
      </c>
      <c r="C34" s="275"/>
      <c r="D34" s="275"/>
      <c r="E34" s="275"/>
      <c r="F34" s="275"/>
      <c r="G34" s="275"/>
      <c r="H34" s="276"/>
      <c r="I34" s="41" t="str">
        <f>_xlfn.CONCAT(_xlfn.XLOOKUP("[S02_AccreditationBodyYesNo][0][S02_AccreditationBodyYesNo]",Submission!$O:$O,Submission!$H:$N,""))</f>
        <v>Yes</v>
      </c>
    </row>
    <row r="35" spans="1:9" s="27" customFormat="1" ht="16.95" customHeight="1" x14ac:dyDescent="0.3">
      <c r="A35" s="154"/>
      <c r="B35" s="149"/>
      <c r="C35" s="248" t="s">
        <v>673</v>
      </c>
      <c r="D35" s="249"/>
      <c r="E35" s="249"/>
      <c r="F35" s="249"/>
      <c r="G35" s="249"/>
      <c r="H35" s="249"/>
      <c r="I35" s="249"/>
    </row>
    <row r="36" spans="1:9" s="58" customFormat="1" ht="15.9" customHeight="1" x14ac:dyDescent="0.3">
      <c r="A36" s="75"/>
      <c r="B36" s="76"/>
      <c r="C36" s="66"/>
      <c r="D36" s="66"/>
      <c r="E36" s="66"/>
      <c r="F36" s="66"/>
      <c r="G36" s="66"/>
      <c r="H36" s="66"/>
    </row>
    <row r="37" spans="1:9" s="58" customFormat="1" ht="19.95" customHeight="1" x14ac:dyDescent="0.3">
      <c r="A37" s="75"/>
      <c r="B37" s="273" t="s">
        <v>674</v>
      </c>
      <c r="C37" s="258"/>
      <c r="D37" s="258"/>
      <c r="E37" s="258"/>
      <c r="F37" s="258"/>
      <c r="G37" s="258"/>
      <c r="H37" s="258"/>
      <c r="I37" s="258"/>
    </row>
    <row r="38" spans="1:9" s="58" customFormat="1" ht="15.9" customHeight="1" x14ac:dyDescent="0.3">
      <c r="C38" s="265" t="s">
        <v>662</v>
      </c>
      <c r="D38" s="266"/>
      <c r="E38" s="53" t="s">
        <v>663</v>
      </c>
      <c r="F38" s="53" t="s">
        <v>675</v>
      </c>
      <c r="G38" s="44" t="s">
        <v>676</v>
      </c>
      <c r="H38" s="253" t="s">
        <v>677</v>
      </c>
      <c r="I38" s="254"/>
    </row>
    <row r="39" spans="1:9" s="58" customFormat="1" ht="15.9" customHeight="1" x14ac:dyDescent="0.3">
      <c r="C39" s="267" t="str">
        <f>_xlfn.CONCAT(_xlfn.XLOOKUP("[S02_AccreditationBody][1][AccBodyName]",Submission!$O:$O,Submission!$H:$N,""))</f>
        <v>National Accreditation Board-Malta</v>
      </c>
      <c r="D39" s="268"/>
      <c r="E39" s="72" t="str">
        <f>_xlfn.CONCAT(_xlfn.XLOOKUP("[S02_AccreditationBody][1][AccBodyAbbreviation]",Submission!$O:$O,Submission!$H:$N,""))</f>
        <v>NAB-Malta</v>
      </c>
      <c r="F39" s="172" t="str">
        <f>_xlfn.CONCAT(_xlfn.XLOOKUP("[S02_AccreditationBody][1][AccBodyTelephone]",Submission!$O:$O,Submission!$H:$N,""))</f>
        <v>35623952510</v>
      </c>
      <c r="G39" s="77" t="str">
        <f>_xlfn.CONCAT(_xlfn.XLOOKUP("[S02_AccreditationBody][1][AccBodyEmail]",Submission!$O:$O,Submission!$H:$N,""))</f>
        <v>info@nabmalta.org.mt</v>
      </c>
      <c r="H39" s="255" t="str">
        <f>_xlfn.CONCAT(_xlfn.XLOOKUP("[S02_AccreditationBody][1][AccBodyWebsite]",Submission!$O:$O,Submission!$H:$N,""))</f>
        <v>www.nabmalta.org.mt</v>
      </c>
      <c r="I39" s="256"/>
    </row>
    <row r="40" spans="1:9" s="58" customFormat="1" ht="15.9" customHeight="1" x14ac:dyDescent="0.3">
      <c r="A40" s="75"/>
    </row>
    <row r="41" spans="1:9" s="58" customFormat="1" ht="15.6" x14ac:dyDescent="0.3">
      <c r="A41" s="75"/>
      <c r="B41" s="257" t="s">
        <v>678</v>
      </c>
      <c r="C41" s="258"/>
      <c r="D41" s="258"/>
      <c r="E41" s="258"/>
      <c r="F41" s="258"/>
      <c r="G41" s="258"/>
      <c r="H41" s="279"/>
      <c r="I41" s="41" t="str">
        <f>_xlfn.CONCAT(_xlfn.XLOOKUP("[CertificationBodySetUp][0][CertificationBodySetUp]",Submission!$O:$O,Submission!$H:$N,""))</f>
        <v>No</v>
      </c>
    </row>
    <row r="42" spans="1:9" s="58" customFormat="1" ht="20.399999999999999" customHeight="1" x14ac:dyDescent="0.3">
      <c r="A42" s="75"/>
      <c r="B42" s="257" t="s">
        <v>679</v>
      </c>
      <c r="C42" s="258"/>
      <c r="D42" s="258"/>
      <c r="E42" s="258"/>
      <c r="F42" s="258"/>
      <c r="G42" s="258"/>
      <c r="H42" s="258"/>
      <c r="I42" s="258"/>
    </row>
    <row r="43" spans="1:9" s="27" customFormat="1" ht="29.4" customHeight="1" x14ac:dyDescent="0.3">
      <c r="A43" s="154"/>
      <c r="B43" s="22"/>
      <c r="C43" s="248" t="s">
        <v>680</v>
      </c>
      <c r="D43" s="249"/>
      <c r="E43" s="249"/>
      <c r="F43" s="249"/>
      <c r="G43" s="249"/>
      <c r="H43" s="249"/>
      <c r="I43" s="249"/>
    </row>
    <row r="44" spans="1:9" s="58" customFormat="1" ht="15.9" customHeight="1" x14ac:dyDescent="0.3">
      <c r="C44" s="265" t="s">
        <v>662</v>
      </c>
      <c r="D44" s="266"/>
      <c r="E44" s="53" t="s">
        <v>663</v>
      </c>
      <c r="F44" s="53" t="s">
        <v>675</v>
      </c>
      <c r="G44" s="44" t="s">
        <v>676</v>
      </c>
      <c r="H44" s="253" t="s">
        <v>677</v>
      </c>
      <c r="I44" s="254"/>
    </row>
    <row r="45" spans="1:9" s="58" customFormat="1" ht="15.9" customHeight="1" x14ac:dyDescent="0.3">
      <c r="C45" s="267" t="str">
        <f>_xlfn.CONCAT(_xlfn.XLOOKUP("[S02_CertificationAuthExistsDetails][1][CertAuthName]",Submission!$O:$O,Submission!$H:$N,""))</f>
        <v/>
      </c>
      <c r="D45" s="268"/>
      <c r="E45" s="72" t="str">
        <f>_xlfn.CONCAT(_xlfn.XLOOKUP("[S02_CertificationAuthExistsDetails][1][CertAuthAbbreviation]",Submission!$O:$O,Submission!$H:$N,""))</f>
        <v/>
      </c>
      <c r="F45" s="172" t="str">
        <f>_xlfn.CONCAT(_xlfn.XLOOKUP("[S02_CertificationAuthExistsDetails][1][CertAuthTelephone]",Submission!$O:$O,Submission!$H:$N,""))</f>
        <v/>
      </c>
      <c r="G45" s="77" t="str">
        <f>_xlfn.CONCAT(_xlfn.XLOOKUP("[S02_CertificationAuthExistsDetails][1][CertAuthEmail]",Submission!$O:$O,Submission!$H:$N,""))</f>
        <v/>
      </c>
      <c r="H45" s="255" t="str">
        <f>_xlfn.CONCAT(_xlfn.XLOOKUP("[S02_CertificationAuthExistsDetails][1][CertAuthWebsite]",Submission!$O:$O,Submission!$H:$N,""))</f>
        <v/>
      </c>
      <c r="I45" s="256"/>
    </row>
    <row r="46" spans="1:9" s="58" customFormat="1" ht="15.9" customHeight="1" x14ac:dyDescent="0.3">
      <c r="A46" s="75"/>
    </row>
    <row r="47" spans="1:9" s="58" customFormat="1" ht="18" customHeight="1" x14ac:dyDescent="0.3">
      <c r="A47" s="75"/>
      <c r="B47" s="273" t="s">
        <v>681</v>
      </c>
      <c r="C47" s="258"/>
      <c r="D47" s="258"/>
      <c r="E47" s="258"/>
      <c r="F47" s="258"/>
      <c r="G47" s="258"/>
      <c r="H47" s="258"/>
      <c r="I47" s="258"/>
    </row>
    <row r="48" spans="1:9" s="58" customFormat="1" ht="15.9" customHeight="1" x14ac:dyDescent="0.3">
      <c r="C48" s="265" t="s">
        <v>662</v>
      </c>
      <c r="D48" s="266"/>
      <c r="E48" s="53" t="s">
        <v>663</v>
      </c>
      <c r="F48" s="53" t="s">
        <v>675</v>
      </c>
      <c r="G48" s="44" t="s">
        <v>676</v>
      </c>
      <c r="H48" s="253" t="s">
        <v>677</v>
      </c>
      <c r="I48" s="254"/>
    </row>
    <row r="49" spans="1:9" s="58" customFormat="1" ht="15.9" customHeight="1" x14ac:dyDescent="0.3">
      <c r="C49" s="267" t="str">
        <f>_xlfn.CONCAT(_xlfn.XLOOKUP("[S02_RegistryAdministrator][1][RegAdminName]",Submission!$O:$O,Submission!$H:$N,""))</f>
        <v>Malta Resources Authority</v>
      </c>
      <c r="D49" s="268"/>
      <c r="E49" s="72" t="str">
        <f>_xlfn.CONCAT(_xlfn.XLOOKUP("[S02_RegistryAdministrator][1][RegAdminAbbreviation]",Submission!$O:$O,Submission!$H:$N,""))</f>
        <v>MRA</v>
      </c>
      <c r="F49" s="172" t="str">
        <f>_xlfn.CONCAT(_xlfn.XLOOKUP("[S02_RegistryAdministrator][1][RegAdminTelephone]",Submission!$O:$O,Submission!$H:$N,""))</f>
        <v>35621220720</v>
      </c>
      <c r="G49" s="77" t="str">
        <f>_xlfn.CONCAT(_xlfn.XLOOKUP("[S02_RegistryAdministrator][1][RegAdminEmail]",Submission!$O:$O,Submission!$H:$N,""))</f>
        <v>emissions_trading_scheme@mra.org.mt</v>
      </c>
      <c r="H49" s="255" t="str">
        <f>_xlfn.CONCAT(_xlfn.XLOOKUP("[S02_RegistryAdministrator][1][RegAdminWebsite]",Submission!$O:$O,Submission!$H:$N,""))</f>
        <v>www.mra.org.mt</v>
      </c>
      <c r="I49" s="256"/>
    </row>
    <row r="50" spans="1:9" s="58" customFormat="1" ht="15.9" customHeight="1" x14ac:dyDescent="0.3">
      <c r="A50" s="75"/>
    </row>
    <row r="51" spans="1:9" s="58" customFormat="1" ht="15.9" customHeight="1" x14ac:dyDescent="0.3">
      <c r="A51" s="57" t="s">
        <v>18</v>
      </c>
      <c r="B51" s="257" t="s">
        <v>682</v>
      </c>
      <c r="C51" s="258"/>
      <c r="D51" s="258"/>
      <c r="E51" s="258"/>
      <c r="F51" s="258"/>
      <c r="G51" s="258"/>
      <c r="H51" s="258"/>
      <c r="I51" s="258"/>
    </row>
    <row r="52" spans="1:9" s="79" customFormat="1" ht="13.2" customHeight="1" x14ac:dyDescent="0.3">
      <c r="A52" s="78"/>
      <c r="C52" s="280" t="s">
        <v>683</v>
      </c>
      <c r="D52" s="280"/>
      <c r="E52" s="280"/>
      <c r="F52" s="280"/>
      <c r="G52" s="280"/>
      <c r="H52" s="280"/>
      <c r="I52" s="280"/>
    </row>
    <row r="53" spans="1:9" s="79" customFormat="1" ht="14.4" x14ac:dyDescent="0.3">
      <c r="A53" s="78"/>
      <c r="C53" s="260" t="s">
        <v>684</v>
      </c>
      <c r="D53" s="261"/>
      <c r="E53" s="262"/>
      <c r="F53" s="259" t="s">
        <v>74</v>
      </c>
      <c r="G53" s="259"/>
      <c r="H53" s="259" t="s">
        <v>685</v>
      </c>
      <c r="I53" s="259"/>
    </row>
    <row r="54" spans="1:9" s="79" customFormat="1" ht="28.95" customHeight="1" x14ac:dyDescent="0.3">
      <c r="A54" s="78"/>
      <c r="C54" s="238" t="s">
        <v>686</v>
      </c>
      <c r="D54" s="263"/>
      <c r="E54" s="264"/>
      <c r="F54" s="251" t="str">
        <f>_xlfn.CONCAT(_xlfn.XLOOKUP("[S02_CompetentAuthorityRoles][1][CAForInstallationTask]",Submission!$O:$O,Submission!$H:$N,""))</f>
        <v>MRA</v>
      </c>
      <c r="G54" s="252"/>
      <c r="H54" s="250"/>
      <c r="I54" s="250"/>
    </row>
    <row r="55" spans="1:9" s="79" customFormat="1" ht="28.95" customHeight="1" x14ac:dyDescent="0.3">
      <c r="A55" s="78"/>
      <c r="C55" s="238" t="s">
        <v>687</v>
      </c>
      <c r="D55" s="263"/>
      <c r="E55" s="264"/>
      <c r="F55" s="251" t="str">
        <f>_xlfn.CONCAT(_xlfn.XLOOKUP("[S02_CompetentAuthorityRoles][2][CAForInstallationTask]",Submission!$O:$O,Submission!$H:$N,""))</f>
        <v>MRA</v>
      </c>
      <c r="G55" s="252"/>
      <c r="H55" s="250"/>
      <c r="I55" s="250"/>
    </row>
    <row r="56" spans="1:9" s="79" customFormat="1" ht="28.95" customHeight="1" x14ac:dyDescent="0.3">
      <c r="A56" s="78"/>
      <c r="C56" s="238" t="s">
        <v>688</v>
      </c>
      <c r="D56" s="263"/>
      <c r="E56" s="264"/>
      <c r="F56" s="251" t="str">
        <f>_xlfn.CONCAT(_xlfn.XLOOKUP("[S02_CompetentAuthorityRoles][3][CAForInstallationTask]",Submission!$O:$O,Submission!$H:$N,""))</f>
        <v>MRA</v>
      </c>
      <c r="G56" s="252"/>
      <c r="H56" s="250"/>
      <c r="I56" s="250"/>
    </row>
    <row r="57" spans="1:9" s="79" customFormat="1" ht="28.95" customHeight="1" x14ac:dyDescent="0.3">
      <c r="A57" s="78"/>
      <c r="C57" s="238" t="s">
        <v>689</v>
      </c>
      <c r="D57" s="263"/>
      <c r="E57" s="264"/>
      <c r="F57" s="251" t="str">
        <f>_xlfn.CONCAT(_xlfn.XLOOKUP("[S02_CompetentAuthorityRoles][4][CAForInstallationTask]",Submission!$O:$O,Submission!$H:$N,""))</f>
        <v>MRA</v>
      </c>
      <c r="G57" s="252"/>
      <c r="H57" s="250"/>
      <c r="I57" s="250"/>
    </row>
    <row r="58" spans="1:9" s="79" customFormat="1" ht="28.95" customHeight="1" x14ac:dyDescent="0.3">
      <c r="A58" s="78"/>
      <c r="C58" s="238" t="s">
        <v>690</v>
      </c>
      <c r="D58" s="263"/>
      <c r="E58" s="264"/>
      <c r="F58" s="250"/>
      <c r="G58" s="250"/>
      <c r="H58" s="251" t="str">
        <f>_xlfn.CONCAT(_xlfn.XLOOKUP("[S02_CompetentAuthorityRoles][5][CAForAviationTask]",Submission!$O:$O,Submission!$H:$N,""))</f>
        <v>MRA</v>
      </c>
      <c r="I58" s="252"/>
    </row>
    <row r="59" spans="1:9" s="79" customFormat="1" ht="28.95" customHeight="1" x14ac:dyDescent="0.3">
      <c r="A59" s="78"/>
      <c r="C59" s="238" t="s">
        <v>691</v>
      </c>
      <c r="D59" s="263"/>
      <c r="E59" s="264"/>
      <c r="F59" s="251" t="str">
        <f>_xlfn.CONCAT(_xlfn.XLOOKUP("[S02_CompetentAuthorityRoles][6][CAForInstallationTask]",Submission!$O:$O,Submission!$H:$N,""))</f>
        <v>TD-MFE</v>
      </c>
      <c r="G59" s="252"/>
      <c r="H59" s="251" t="str">
        <f>_xlfn.CONCAT(_xlfn.XLOOKUP("[S02_CompetentAuthorityRoles][6][CAForAviationTask]",Submission!$O:$O,Submission!$H:$N,""))</f>
        <v>TD-MFE</v>
      </c>
      <c r="I59" s="252"/>
    </row>
    <row r="60" spans="1:9" s="79" customFormat="1" ht="28.95" customHeight="1" x14ac:dyDescent="0.3">
      <c r="A60" s="78"/>
      <c r="C60" s="238" t="s">
        <v>42</v>
      </c>
      <c r="D60" s="263"/>
      <c r="E60" s="264"/>
      <c r="F60" s="251" t="str">
        <f>_xlfn.CONCAT(_xlfn.XLOOKUP("[S02_CompetentAuthorityRoles][7][CAForInstallationTask]",Submission!$O:$O,Submission!$H:$N,""))</f>
        <v>MRA</v>
      </c>
      <c r="G60" s="252"/>
      <c r="H60" s="251" t="str">
        <f>_xlfn.CONCAT(_xlfn.XLOOKUP("[S02_CompetentAuthorityRoles][7][CAForAviationTask]",Submission!$O:$O,Submission!$H:$N,""))</f>
        <v>MRA</v>
      </c>
      <c r="I60" s="252"/>
    </row>
    <row r="61" spans="1:9" s="79" customFormat="1" ht="28.95" customHeight="1" x14ac:dyDescent="0.3">
      <c r="A61" s="78"/>
      <c r="C61" s="238" t="s">
        <v>692</v>
      </c>
      <c r="D61" s="263"/>
      <c r="E61" s="264"/>
      <c r="F61" s="251" t="str">
        <f>_xlfn.CONCAT(_xlfn.XLOOKUP("[S02_CompetentAuthorityRoles][8][CAForInstallationTask]",Submission!$O:$O,Submission!$H:$N,""))</f>
        <v>MRA</v>
      </c>
      <c r="G61" s="252"/>
      <c r="H61" s="251" t="str">
        <f>_xlfn.CONCAT(_xlfn.XLOOKUP("[S02_CompetentAuthorityRoles][8][CAForAviationTask]",Submission!$O:$O,Submission!$H:$N,""))</f>
        <v>MRA</v>
      </c>
      <c r="I61" s="252"/>
    </row>
    <row r="62" spans="1:9" s="79" customFormat="1" ht="28.95" customHeight="1" x14ac:dyDescent="0.3">
      <c r="A62" s="78"/>
      <c r="C62" s="238" t="s">
        <v>693</v>
      </c>
      <c r="D62" s="263"/>
      <c r="E62" s="264"/>
      <c r="F62" s="251" t="str">
        <f>_xlfn.CONCAT(_xlfn.XLOOKUP("[S02_CompetentAuthorityRoles][9][CAForInstallationTask]",Submission!$O:$O,Submission!$H:$N,""))</f>
        <v>MRA</v>
      </c>
      <c r="G62" s="252"/>
      <c r="H62" s="251" t="str">
        <f>_xlfn.CONCAT(_xlfn.XLOOKUP("[S02_CompetentAuthorityRoles][9][CAForAviationTask]",Submission!$O:$O,Submission!$H:$N,""))</f>
        <v>MRA</v>
      </c>
      <c r="I62" s="252"/>
    </row>
    <row r="63" spans="1:9" s="79" customFormat="1" ht="28.95" customHeight="1" x14ac:dyDescent="0.3">
      <c r="A63" s="78"/>
      <c r="C63" s="238" t="s">
        <v>694</v>
      </c>
      <c r="D63" s="263"/>
      <c r="E63" s="264"/>
      <c r="F63" s="251" t="str">
        <f>_xlfn.CONCAT(_xlfn.XLOOKUP("[S02_CompetentAuthorityRoles][10][CAForInstallationTask]",Submission!$O:$O,Submission!$H:$N,""))</f>
        <v>MRA</v>
      </c>
      <c r="G63" s="252"/>
      <c r="H63" s="251" t="str">
        <f>_xlfn.CONCAT(_xlfn.XLOOKUP("[S02_CompetentAuthorityRoles][10][CAForAviationTask]",Submission!$O:$O,Submission!$H:$N,""))</f>
        <v>MRA</v>
      </c>
      <c r="I63" s="252"/>
    </row>
    <row r="64" spans="1:9" s="79" customFormat="1" ht="28.95" customHeight="1" x14ac:dyDescent="0.3">
      <c r="A64" s="78"/>
      <c r="C64" s="238" t="s">
        <v>46</v>
      </c>
      <c r="D64" s="263"/>
      <c r="E64" s="264"/>
      <c r="F64" s="251" t="str">
        <f>_xlfn.CONCAT(_xlfn.XLOOKUP("[S02_CompetentAuthorityRoles][11][CAForInstallationTask]",Submission!$O:$O,Submission!$H:$N,""))</f>
        <v>MRA</v>
      </c>
      <c r="G64" s="252"/>
      <c r="H64" s="251" t="str">
        <f>_xlfn.CONCAT(_xlfn.XLOOKUP("[S02_CompetentAuthorityRoles][11][CAForAviationTask]",Submission!$O:$O,Submission!$H:$N,""))</f>
        <v>MRA</v>
      </c>
      <c r="I64" s="252"/>
    </row>
    <row r="65" spans="1:9" s="79" customFormat="1" ht="28.95" customHeight="1" x14ac:dyDescent="0.3">
      <c r="A65" s="78"/>
      <c r="C65" s="238" t="s">
        <v>695</v>
      </c>
      <c r="D65" s="263"/>
      <c r="E65" s="264"/>
      <c r="F65" s="251" t="str">
        <f>_xlfn.CONCAT(_xlfn.XLOOKUP("[S02_CompetentAuthorityRoles][12][CAForInstallationTask]",Submission!$O:$O,Submission!$H:$N,""))</f>
        <v>Not applicable.</v>
      </c>
      <c r="G65" s="252"/>
      <c r="H65" s="250"/>
      <c r="I65" s="250"/>
    </row>
    <row r="66" spans="1:9" s="79" customFormat="1" ht="28.95" customHeight="1" x14ac:dyDescent="0.3">
      <c r="A66" s="78"/>
      <c r="C66" s="238" t="s">
        <v>696</v>
      </c>
      <c r="D66" s="263"/>
      <c r="E66" s="264"/>
      <c r="F66" s="251" t="str">
        <f>_xlfn.CONCAT(_xlfn.XLOOKUP("[S02_CompetentAuthorityRoles][13][CAForInstallationTask]",Submission!$O:$O,Submission!$H:$N,""))</f>
        <v>MRA</v>
      </c>
      <c r="G66" s="252"/>
      <c r="H66" s="250"/>
      <c r="I66" s="250"/>
    </row>
    <row r="67" spans="1:9" s="79" customFormat="1" ht="28.95" customHeight="1" x14ac:dyDescent="0.3">
      <c r="A67" s="78"/>
      <c r="C67" s="80" t="s">
        <v>697</v>
      </c>
      <c r="D67" s="286" t="str">
        <f>_xlfn.CONCAT(_xlfn.XLOOKUP("[S02_CompetentAuthorityRoles][14][OtherDescription]",Submission!$O:$O,Submission!$H:$N,""))</f>
        <v/>
      </c>
      <c r="E67" s="286"/>
      <c r="F67" s="251" t="str">
        <f>_xlfn.CONCAT(_xlfn.XLOOKUP("[S02_CompetentAuthorityRoles][14][CAForInstallationTask]",Submission!$O:$O,Submission!$H:$N,""))</f>
        <v/>
      </c>
      <c r="G67" s="252"/>
      <c r="H67" s="251" t="str">
        <f>_xlfn.CONCAT(_xlfn.XLOOKUP("[S02_CompetentAuthorityRoles][14][CAForAviationTask]",Submission!$O:$O,Submission!$H:$N,""))</f>
        <v/>
      </c>
      <c r="I67" s="252"/>
    </row>
    <row r="68" spans="1:9" s="79" customFormat="1" ht="28.95" hidden="1" customHeight="1" outlineLevel="1" x14ac:dyDescent="0.3">
      <c r="A68" s="78"/>
      <c r="C68" s="80" t="s">
        <v>697</v>
      </c>
      <c r="D68" s="286" t="str">
        <f>_xlfn.CONCAT(_xlfn.XLOOKUP("[S02_CompetentAuthorityRoles][15][OtherDescription]",Submission!$O:$O,Submission!$H:$N,""))</f>
        <v/>
      </c>
      <c r="E68" s="286"/>
      <c r="F68" s="251" t="str">
        <f>_xlfn.CONCAT(_xlfn.XLOOKUP("[S02_CompetentAuthorityRoles][15][CAForInstallationTask]",Submission!$O:$O,Submission!$H:$N,""))</f>
        <v/>
      </c>
      <c r="G68" s="252"/>
      <c r="H68" s="251" t="str">
        <f>_xlfn.CONCAT(_xlfn.XLOOKUP("[S02_CompetentAuthorityRoles][15][CAForAviationTask]",Submission!$O:$O,Submission!$H:$N,""))</f>
        <v/>
      </c>
      <c r="I68" s="252"/>
    </row>
    <row r="69" spans="1:9" s="79" customFormat="1" ht="28.95" hidden="1" customHeight="1" outlineLevel="1" x14ac:dyDescent="0.3">
      <c r="A69" s="78"/>
      <c r="C69" s="80" t="s">
        <v>697</v>
      </c>
      <c r="D69" s="286" t="str">
        <f>_xlfn.CONCAT(_xlfn.XLOOKUP("[S02_CompetentAuthorityRoles][16][OtherDescription]",Submission!$O:$O,Submission!$H:$N,""))</f>
        <v/>
      </c>
      <c r="E69" s="286"/>
      <c r="F69" s="251" t="str">
        <f>_xlfn.CONCAT(_xlfn.XLOOKUP("[S02_CompetentAuthorityRoles][16][CAForInstallationTask]",Submission!$O:$O,Submission!$H:$N,""))</f>
        <v/>
      </c>
      <c r="G69" s="252"/>
      <c r="H69" s="251" t="str">
        <f>_xlfn.CONCAT(_xlfn.XLOOKUP("[S02_CompetentAuthorityRoles][16][CAForAviationTask]",Submission!$O:$O,Submission!$H:$N,""))</f>
        <v/>
      </c>
      <c r="I69" s="252"/>
    </row>
    <row r="70" spans="1:9" s="79" customFormat="1" ht="28.95" hidden="1" customHeight="1" outlineLevel="1" x14ac:dyDescent="0.3">
      <c r="A70" s="78"/>
      <c r="C70" s="80" t="s">
        <v>697</v>
      </c>
      <c r="D70" s="286" t="str">
        <f>_xlfn.CONCAT(_xlfn.XLOOKUP("[S02_CompetentAuthorityRoles][17][OtherDescription]",Submission!$O:$O,Submission!$H:$N,""))</f>
        <v/>
      </c>
      <c r="E70" s="286"/>
      <c r="F70" s="251" t="str">
        <f>_xlfn.CONCAT(_xlfn.XLOOKUP("[S02_CompetentAuthorityRoles][17][CAForInstallationTask]",Submission!$O:$O,Submission!$H:$N,""))</f>
        <v/>
      </c>
      <c r="G70" s="252"/>
      <c r="H70" s="251" t="str">
        <f>_xlfn.CONCAT(_xlfn.XLOOKUP("[S02_CompetentAuthorityRoles][17][CAForAviationTask]",Submission!$O:$O,Submission!$H:$N,""))</f>
        <v/>
      </c>
      <c r="I70" s="252"/>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77" t="s">
        <v>698</v>
      </c>
      <c r="D72" s="278"/>
      <c r="E72" s="278"/>
      <c r="F72" s="278"/>
      <c r="G72" s="278"/>
      <c r="H72" s="278"/>
      <c r="I72" s="278"/>
    </row>
    <row r="73" spans="1:9" s="79" customFormat="1" ht="29.25" customHeight="1" x14ac:dyDescent="0.3">
      <c r="A73" s="78"/>
      <c r="B73" s="73"/>
      <c r="C73" s="277" t="s">
        <v>699</v>
      </c>
      <c r="D73" s="278"/>
      <c r="E73" s="278"/>
      <c r="F73" s="278"/>
      <c r="G73" s="278"/>
      <c r="H73" s="278"/>
      <c r="I73" s="278"/>
    </row>
    <row r="74" spans="1:9" s="79" customFormat="1" ht="29.25" customHeight="1" x14ac:dyDescent="0.3">
      <c r="A74" s="78"/>
      <c r="B74" s="73"/>
      <c r="C74" s="277" t="s">
        <v>700</v>
      </c>
      <c r="D74" s="278"/>
      <c r="E74" s="278"/>
      <c r="F74" s="278"/>
      <c r="G74" s="278"/>
      <c r="H74" s="278"/>
      <c r="I74" s="278"/>
    </row>
    <row r="75" spans="1:9" s="79" customFormat="1" ht="29.25" customHeight="1" x14ac:dyDescent="0.3">
      <c r="A75" s="78"/>
      <c r="B75" s="73"/>
      <c r="C75" s="277" t="s">
        <v>701</v>
      </c>
      <c r="D75" s="278"/>
      <c r="E75" s="278"/>
      <c r="F75" s="278"/>
      <c r="G75" s="278"/>
      <c r="H75" s="278"/>
      <c r="I75" s="278"/>
    </row>
    <row r="76" spans="1:9" s="79" customFormat="1" ht="17.25" customHeight="1" x14ac:dyDescent="0.3">
      <c r="A76" s="78"/>
      <c r="C76" s="277" t="s">
        <v>702</v>
      </c>
      <c r="D76" s="278"/>
      <c r="E76" s="278"/>
      <c r="F76" s="278"/>
      <c r="G76" s="278"/>
      <c r="H76" s="278"/>
      <c r="I76" s="278"/>
    </row>
    <row r="77" spans="1:9" s="79" customFormat="1" ht="17.25" customHeight="1" x14ac:dyDescent="0.3">
      <c r="A77" s="78"/>
      <c r="C77" s="277" t="s">
        <v>703</v>
      </c>
      <c r="D77" s="278"/>
      <c r="E77" s="278"/>
      <c r="F77" s="278"/>
      <c r="G77" s="278"/>
      <c r="H77" s="278"/>
      <c r="I77" s="278"/>
    </row>
    <row r="78" spans="1:9" s="79" customFormat="1" ht="12.9" customHeight="1" x14ac:dyDescent="0.3">
      <c r="A78" s="78"/>
    </row>
    <row r="79" spans="1:9" s="79" customFormat="1" ht="37.200000000000003" customHeight="1" x14ac:dyDescent="0.3">
      <c r="A79" s="57" t="s">
        <v>48</v>
      </c>
      <c r="B79" s="273" t="s">
        <v>704</v>
      </c>
      <c r="C79" s="258"/>
      <c r="D79" s="258"/>
      <c r="E79" s="258"/>
      <c r="F79" s="258"/>
      <c r="G79" s="258"/>
      <c r="H79" s="258"/>
      <c r="I79" s="258"/>
    </row>
    <row r="80" spans="1:9" s="79" customFormat="1" ht="28.95" customHeight="1" x14ac:dyDescent="0.3">
      <c r="A80" s="57"/>
      <c r="B80" s="65"/>
      <c r="C80" s="277" t="s">
        <v>705</v>
      </c>
      <c r="D80" s="278"/>
      <c r="E80" s="278"/>
      <c r="F80" s="278"/>
      <c r="G80" s="278"/>
      <c r="H80" s="278"/>
      <c r="I80" s="278"/>
    </row>
    <row r="81" spans="1:9" s="79" customFormat="1" ht="27" customHeight="1" x14ac:dyDescent="0.3">
      <c r="C81" s="260" t="s">
        <v>706</v>
      </c>
      <c r="D81" s="261"/>
      <c r="E81" s="261"/>
      <c r="F81" s="262"/>
      <c r="G81" s="287" t="s">
        <v>663</v>
      </c>
      <c r="H81" s="288"/>
      <c r="I81" s="289"/>
    </row>
    <row r="82" spans="1:9" s="79" customFormat="1" ht="12.9" customHeight="1" x14ac:dyDescent="0.3">
      <c r="A82" s="78"/>
      <c r="C82" s="286" t="str">
        <f>_xlfn.CONCAT(_xlfn.XLOOKUP("[S02_CAFocalPoint][0][CAArt70]",Submission!$O:$O,Submission!$H:$N,""))</f>
        <v>Not applicable</v>
      </c>
      <c r="D82" s="286"/>
      <c r="E82" s="286"/>
      <c r="F82" s="286"/>
      <c r="G82" s="286" t="str">
        <f>_xlfn.CONCAT(_xlfn.XLOOKUP("[S02_CAFocalPoint][0][CAArt70Abbrev]",Submission!$O:$O,Submission!$H:$N,""))</f>
        <v/>
      </c>
      <c r="H82" s="286"/>
      <c r="I82" s="286"/>
    </row>
    <row r="83" spans="1:9" s="79" customFormat="1" ht="12.9" customHeight="1" x14ac:dyDescent="0.3">
      <c r="A83" s="78"/>
    </row>
    <row r="84" spans="1:9" s="79" customFormat="1" ht="34.950000000000003" customHeight="1" x14ac:dyDescent="0.3">
      <c r="A84" s="78"/>
      <c r="B84" s="273" t="s">
        <v>707</v>
      </c>
      <c r="C84" s="258"/>
      <c r="D84" s="258"/>
      <c r="E84" s="258"/>
      <c r="F84" s="258"/>
      <c r="G84" s="258"/>
      <c r="H84" s="258"/>
      <c r="I84" s="258"/>
    </row>
    <row r="85" spans="1:9" s="79" customFormat="1" ht="15" customHeight="1" x14ac:dyDescent="0.3">
      <c r="A85" s="78"/>
      <c r="C85" s="260" t="s">
        <v>708</v>
      </c>
      <c r="D85" s="261"/>
      <c r="E85" s="261"/>
      <c r="F85" s="262"/>
      <c r="G85" s="67" t="s">
        <v>709</v>
      </c>
      <c r="H85" s="260" t="s">
        <v>710</v>
      </c>
      <c r="I85" s="262"/>
    </row>
    <row r="86" spans="1:9" s="79" customFormat="1" ht="24.6" customHeight="1" x14ac:dyDescent="0.3">
      <c r="A86" s="78"/>
      <c r="C86" s="246" t="s">
        <v>711</v>
      </c>
      <c r="D86" s="263"/>
      <c r="E86" s="263"/>
      <c r="F86" s="264"/>
      <c r="G86" s="64" t="str">
        <f>_xlfn.CONCAT(_xlfn.XLOOKUP("[S02_CompetentAuthorityCoordination][1][CACoordinationYesNo]",Submission!$O:$O,Submission!$H:$N,""))</f>
        <v>No</v>
      </c>
      <c r="H86" s="284" t="str">
        <f>_xlfn.CONCAT(_xlfn.XLOOKUP("[S02_CompetentAuthorityCoordination][1][CACoordinationComment]",Submission!$O:$O,Submission!$H:$N,""))</f>
        <v>Not applicable</v>
      </c>
      <c r="I86" s="285"/>
    </row>
    <row r="87" spans="1:9" s="79" customFormat="1" ht="23.4" customHeight="1" x14ac:dyDescent="0.3">
      <c r="A87" s="78"/>
      <c r="C87" s="246" t="s">
        <v>712</v>
      </c>
      <c r="D87" s="263"/>
      <c r="E87" s="263"/>
      <c r="F87" s="264"/>
      <c r="G87" s="64" t="str">
        <f>_xlfn.CONCAT(_xlfn.XLOOKUP("[S02_CompetentAuthorityCoordination][2][CACoordinationYesNo]",Submission!$O:$O,Submission!$H:$N,""))</f>
        <v>No</v>
      </c>
      <c r="H87" s="284" t="str">
        <f>_xlfn.CONCAT(_xlfn.XLOOKUP("[S02_CompetentAuthorityCoordination][2][CACoordinationComment]",Submission!$O:$O,Submission!$H:$N,""))</f>
        <v>Not applicable</v>
      </c>
      <c r="I87" s="285"/>
    </row>
    <row r="88" spans="1:9" s="79" customFormat="1" ht="23.4" customHeight="1" x14ac:dyDescent="0.3">
      <c r="A88" s="78"/>
      <c r="C88" s="246" t="s">
        <v>713</v>
      </c>
      <c r="D88" s="263"/>
      <c r="E88" s="263"/>
      <c r="F88" s="264"/>
      <c r="G88" s="64" t="str">
        <f>_xlfn.CONCAT(_xlfn.XLOOKUP("[S02_CompetentAuthorityCoordination][3][CACoordinationYesNo]",Submission!$O:$O,Submission!$H:$N,""))</f>
        <v>No</v>
      </c>
      <c r="H88" s="284" t="str">
        <f>_xlfn.CONCAT(_xlfn.XLOOKUP("[S02_CompetentAuthorityCoordination][3][CACoordinationComment]",Submission!$O:$O,Submission!$H:$N,""))</f>
        <v>Not applicable</v>
      </c>
      <c r="I88" s="285"/>
    </row>
    <row r="89" spans="1:9" s="79" customFormat="1" ht="23.4" customHeight="1" x14ac:dyDescent="0.3">
      <c r="A89" s="78"/>
      <c r="C89" s="246" t="s">
        <v>60</v>
      </c>
      <c r="D89" s="263"/>
      <c r="E89" s="263"/>
      <c r="F89" s="264"/>
      <c r="G89" s="64" t="str">
        <f>_xlfn.CONCAT(_xlfn.XLOOKUP("[S02_CompetentAuthorityCoordination][4][CACoordinationYesNo]",Submission!$O:$O,Submission!$H:$N,""))</f>
        <v>No</v>
      </c>
      <c r="H89" s="284" t="str">
        <f>_xlfn.CONCAT(_xlfn.XLOOKUP("[S02_CompetentAuthorityCoordination][4][CACoordinationComment]",Submission!$O:$O,Submission!$H:$N,""))</f>
        <v>Not applicable</v>
      </c>
      <c r="I89" s="285"/>
    </row>
    <row r="90" spans="1:9" s="79" customFormat="1" ht="23.4" customHeight="1" x14ac:dyDescent="0.3">
      <c r="A90" s="78"/>
      <c r="C90" s="246" t="s">
        <v>714</v>
      </c>
      <c r="D90" s="263"/>
      <c r="E90" s="263"/>
      <c r="F90" s="264"/>
      <c r="G90" s="64" t="str">
        <f>_xlfn.CONCAT(_xlfn.XLOOKUP("[S02_CompetentAuthorityCoordination][5][CACoordinationYesNo]",Submission!$O:$O,Submission!$H:$N,""))</f>
        <v>No</v>
      </c>
      <c r="H90" s="284" t="str">
        <f>_xlfn.CONCAT(_xlfn.XLOOKUP("[S02_CompetentAuthorityCoordination][5][CACoordinationComment]",Submission!$O:$O,Submission!$H:$N,""))</f>
        <v>Not applicable</v>
      </c>
      <c r="I90" s="285"/>
    </row>
    <row r="91" spans="1:9" s="79" customFormat="1" ht="24.6" customHeight="1" x14ac:dyDescent="0.3">
      <c r="A91" s="78"/>
      <c r="C91" s="246" t="s">
        <v>715</v>
      </c>
      <c r="D91" s="263"/>
      <c r="E91" s="263"/>
      <c r="F91" s="264"/>
      <c r="G91" s="64" t="str">
        <f>_xlfn.CONCAT(_xlfn.XLOOKUP("[S02_CompetentAuthorityCoordination][6][CACoordinationYesNo]",Submission!$O:$O,Submission!$H:$N,""))</f>
        <v>No</v>
      </c>
      <c r="H91" s="284" t="str">
        <f>_xlfn.CONCAT(_xlfn.XLOOKUP("[S02_CompetentAuthorityCoordination][6][CACoordinationComment]",Submission!$O:$O,Submission!$H:$N,""))</f>
        <v>Not applicable</v>
      </c>
      <c r="I91" s="285"/>
    </row>
    <row r="92" spans="1:9" s="79" customFormat="1" ht="23.4" customHeight="1" x14ac:dyDescent="0.3">
      <c r="A92" s="78"/>
      <c r="C92" s="246" t="s">
        <v>716</v>
      </c>
      <c r="D92" s="283"/>
      <c r="E92" s="239"/>
      <c r="F92" s="284" t="str">
        <f>_xlfn.CONCAT(_xlfn.XLOOKUP("[S02_CompetentAuthorityCoordination][7][OtherDescription]",Submission!$O:$O,Submission!$H:$N,""))</f>
        <v/>
      </c>
      <c r="G92" s="282"/>
      <c r="H92" s="284" t="str">
        <f>_xlfn.CONCAT(_xlfn.XLOOKUP("[S02_CompetentAuthorityCoordination][7][CACoordinationComment]",Submission!$O:$O,Submission!$H:$N,""))</f>
        <v/>
      </c>
      <c r="I92" s="285"/>
    </row>
    <row r="93" spans="1:9" s="79" customFormat="1" ht="23.4" hidden="1" customHeight="1" outlineLevel="1" x14ac:dyDescent="0.3">
      <c r="A93" s="78"/>
      <c r="C93" s="246" t="s">
        <v>716</v>
      </c>
      <c r="D93" s="283"/>
      <c r="E93" s="239"/>
      <c r="F93" s="284" t="str">
        <f>_xlfn.CONCAT(_xlfn.XLOOKUP("[S02_CompetentAuthorityCoordination][8][OtherDescription]",Submission!$O:$O,Submission!$H:$N,""))</f>
        <v/>
      </c>
      <c r="G93" s="282"/>
      <c r="H93" s="284" t="str">
        <f>_xlfn.CONCAT(_xlfn.XLOOKUP("[S02_CompetentAuthorityCoordination][8][CACoordinationComment]",Submission!$O:$O,Submission!$H:$N,""))</f>
        <v/>
      </c>
      <c r="I93" s="285"/>
    </row>
    <row r="94" spans="1:9" s="79" customFormat="1" ht="23.4" hidden="1" customHeight="1" outlineLevel="1" x14ac:dyDescent="0.3">
      <c r="A94" s="78"/>
      <c r="C94" s="246" t="s">
        <v>716</v>
      </c>
      <c r="D94" s="283"/>
      <c r="E94" s="239"/>
      <c r="F94" s="284" t="str">
        <f>_xlfn.CONCAT(_xlfn.XLOOKUP("[S02_CompetentAuthorityCoordination][9][OtherDescription]",Submission!$O:$O,Submission!$H:$N,""))</f>
        <v/>
      </c>
      <c r="G94" s="282"/>
      <c r="H94" s="284" t="str">
        <f>_xlfn.CONCAT(_xlfn.XLOOKUP("[S02_CompetentAuthorityCoordination][9][CACoordinationComment]",Submission!$O:$O,Submission!$H:$N,""))</f>
        <v/>
      </c>
      <c r="I94" s="285"/>
    </row>
    <row r="95" spans="1:9" s="79" customFormat="1" ht="23.4" hidden="1" customHeight="1" outlineLevel="1" x14ac:dyDescent="0.3">
      <c r="A95" s="78"/>
      <c r="C95" s="246" t="s">
        <v>716</v>
      </c>
      <c r="D95" s="283"/>
      <c r="E95" s="239"/>
      <c r="F95" s="284" t="str">
        <f>_xlfn.CONCAT(_xlfn.XLOOKUP("[S02_CompetentAuthorityCoordination][10][OtherDescription]",Submission!$O:$O,Submission!$H:$N,""))</f>
        <v/>
      </c>
      <c r="G95" s="282"/>
      <c r="H95" s="284" t="str">
        <f>_xlfn.CONCAT(_xlfn.XLOOKUP("[S02_CompetentAuthorityCoordination][10][CACoordinationComment]",Submission!$O:$O,Submission!$H:$N,""))</f>
        <v/>
      </c>
      <c r="I95" s="285"/>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1" t="s">
        <v>717</v>
      </c>
      <c r="C98" s="272"/>
      <c r="D98" s="272"/>
      <c r="E98" s="272"/>
      <c r="F98" s="272"/>
      <c r="G98" s="272"/>
      <c r="H98" s="272"/>
      <c r="I98" s="272"/>
    </row>
    <row r="99" spans="1:9" s="79" customFormat="1" ht="15" customHeight="1" x14ac:dyDescent="0.3">
      <c r="A99" s="78"/>
      <c r="C99" s="260" t="s">
        <v>718</v>
      </c>
      <c r="D99" s="261"/>
      <c r="E99" s="261"/>
      <c r="F99" s="262"/>
      <c r="G99" s="67" t="s">
        <v>709</v>
      </c>
      <c r="H99" s="260" t="s">
        <v>710</v>
      </c>
      <c r="I99" s="262"/>
    </row>
    <row r="100" spans="1:9" s="79" customFormat="1" ht="27.6" customHeight="1" x14ac:dyDescent="0.3">
      <c r="A100" s="78"/>
      <c r="C100" s="246" t="s">
        <v>719</v>
      </c>
      <c r="D100" s="283"/>
      <c r="E100" s="283"/>
      <c r="F100" s="239"/>
      <c r="G100" s="64" t="str">
        <f>_xlfn.CONCAT(_xlfn.XLOOKUP("[S02_InformationExchangeAccBodyAndCA][1][InfoExchangeYesNo]",Submission!$O:$O,Submission!$H:$N,""))</f>
        <v>Yes</v>
      </c>
      <c r="H100" s="281" t="str">
        <f>_xlfn.CONCAT(_xlfn.XLOOKUP("[S02_InformationExchangeAccBodyAndCA][1][InfoExchangeComment]",Submission!$O:$O,Submission!$H:$N,""))</f>
        <v>It is pertinent to note that no local verifiers have been accredited by the NAB-Malta in respect of EU ETS, to date. Where relevant, the NAB-Malta and MRA exchange information as may be applicable.</v>
      </c>
      <c r="I100" s="282"/>
    </row>
    <row r="101" spans="1:9" s="79" customFormat="1" ht="27.6" customHeight="1" x14ac:dyDescent="0.3">
      <c r="A101" s="78"/>
      <c r="C101" s="246" t="s">
        <v>720</v>
      </c>
      <c r="D101" s="283"/>
      <c r="E101" s="283"/>
      <c r="F101" s="239"/>
      <c r="G101" s="64" t="str">
        <f>_xlfn.CONCAT(_xlfn.XLOOKUP("[S02_InformationExchangeAccBodyAndCA][2][InfoExchangeYesNo]",Submission!$O:$O,Submission!$H:$N,""))</f>
        <v>No</v>
      </c>
      <c r="H101" s="281" t="str">
        <f>_xlfn.CONCAT(_xlfn.XLOOKUP("[S02_InformationExchangeAccBodyAndCA][2][InfoExchangeComment]",Submission!$O:$O,Submission!$H:$N,""))</f>
        <v xml:space="preserve">It is pertinent to note that no local verifiers have been accredited by the NAB-Malta in respect of EU ETS, to date. </v>
      </c>
      <c r="I101" s="282"/>
    </row>
    <row r="102" spans="1:9" s="79" customFormat="1" ht="27.6" customHeight="1" x14ac:dyDescent="0.3">
      <c r="A102" s="78"/>
      <c r="C102" s="246" t="s">
        <v>721</v>
      </c>
      <c r="D102" s="283"/>
      <c r="E102" s="283"/>
      <c r="F102" s="239"/>
      <c r="G102" s="64" t="str">
        <f>_xlfn.CONCAT(_xlfn.XLOOKUP("[S02_InformationExchangeAccBodyAndCA][3][InfoExchangeYesNo]",Submission!$O:$O,Submission!$H:$N,""))</f>
        <v>No</v>
      </c>
      <c r="H102" s="281" t="str">
        <f>_xlfn.CONCAT(_xlfn.XLOOKUP("[S02_InformationExchangeAccBodyAndCA][3][InfoExchangeComment]",Submission!$O:$O,Submission!$H:$N,""))</f>
        <v>It is pertinent to note that no local verifiers have been accredited by the NAB-Malta in respect of EU ETS, to date.</v>
      </c>
      <c r="I102" s="282"/>
    </row>
    <row r="103" spans="1:9" s="79" customFormat="1" ht="27.6" customHeight="1" x14ac:dyDescent="0.3">
      <c r="A103" s="78"/>
      <c r="C103" s="246" t="s">
        <v>716</v>
      </c>
      <c r="D103" s="283"/>
      <c r="E103" s="239"/>
      <c r="F103" s="284" t="str">
        <f>_xlfn.CONCAT(_xlfn.XLOOKUP("[S02_InformationExchangeAccBodyAndCA][4][OtherDescription]",Submission!$O:$O,Submission!$H:$N,""))</f>
        <v/>
      </c>
      <c r="G103" s="282"/>
      <c r="H103" s="281" t="str">
        <f>_xlfn.CONCAT(_xlfn.XLOOKUP("[S02_InformationExchangeAccBodyAndCA][4][InfoExchangeComment]",Submission!$O:$O,Submission!$H:$N,""))</f>
        <v/>
      </c>
      <c r="I103" s="282"/>
    </row>
    <row r="104" spans="1:9" s="79" customFormat="1" ht="27.6" hidden="1" customHeight="1" outlineLevel="1" x14ac:dyDescent="0.3">
      <c r="A104" s="78"/>
      <c r="C104" s="246" t="s">
        <v>716</v>
      </c>
      <c r="D104" s="283"/>
      <c r="E104" s="239"/>
      <c r="F104" s="284" t="str">
        <f>_xlfn.CONCAT(_xlfn.XLOOKUP("[S02_InformationExchangeAccBodyAndCA][5][OtherDescription]",Submission!$O:$O,Submission!$H:$N,""))</f>
        <v/>
      </c>
      <c r="G104" s="282"/>
      <c r="H104" s="281" t="str">
        <f>_xlfn.CONCAT(_xlfn.XLOOKUP("[S02_InformationExchangeAccBodyAndCA][5][InfoExchangeComment]",Submission!$O:$O,Submission!$H:$N,""))</f>
        <v/>
      </c>
      <c r="I104" s="282"/>
    </row>
    <row r="105" spans="1:9" s="79" customFormat="1" ht="27.6" hidden="1" customHeight="1" outlineLevel="1" x14ac:dyDescent="0.3">
      <c r="A105" s="78"/>
      <c r="C105" s="246" t="s">
        <v>716</v>
      </c>
      <c r="D105" s="283"/>
      <c r="E105" s="239"/>
      <c r="F105" s="284" t="str">
        <f>_xlfn.CONCAT(_xlfn.XLOOKUP("[S02_InformationExchangeAccBodyAndCA][6][OtherDescription]",Submission!$O:$O,Submission!$H:$N,""))</f>
        <v/>
      </c>
      <c r="G105" s="282"/>
      <c r="H105" s="281" t="str">
        <f>_xlfn.CONCAT(_xlfn.XLOOKUP("[S02_InformationExchangeAccBodyAndCA][6][InfoExchangeComment]",Submission!$O:$O,Submission!$H:$N,""))</f>
        <v/>
      </c>
      <c r="I105" s="282"/>
    </row>
    <row r="106" spans="1:9" s="79" customFormat="1" ht="27.6" hidden="1" customHeight="1" outlineLevel="1" x14ac:dyDescent="0.3">
      <c r="A106" s="78"/>
      <c r="C106" s="246" t="s">
        <v>716</v>
      </c>
      <c r="D106" s="283"/>
      <c r="E106" s="239"/>
      <c r="F106" s="284" t="str">
        <f>_xlfn.CONCAT(_xlfn.XLOOKUP("[S02_InformationExchangeAccBodyAndCA][7][OtherDescription]",Submission!$O:$O,Submission!$H:$N,""))</f>
        <v/>
      </c>
      <c r="G106" s="282"/>
      <c r="H106" s="281" t="str">
        <f>_xlfn.CONCAT(_xlfn.XLOOKUP("[S02_InformationExchangeAccBodyAndCA][7][InfoExchangeComment]",Submission!$O:$O,Submission!$H:$N,""))</f>
        <v/>
      </c>
      <c r="I106" s="282"/>
    </row>
    <row r="107" spans="1:9" s="79" customFormat="1" ht="15.9" customHeight="1" collapsed="1" x14ac:dyDescent="0.3">
      <c r="A107" s="78"/>
      <c r="B107" s="120" t="s">
        <v>2</v>
      </c>
    </row>
    <row r="108" spans="1:9" s="79" customFormat="1" x14ac:dyDescent="0.3">
      <c r="A108" s="78"/>
    </row>
  </sheetData>
  <mergeCells count="142">
    <mergeCell ref="D68:E68"/>
    <mergeCell ref="F68:G68"/>
    <mergeCell ref="H68:I68"/>
    <mergeCell ref="C94:E94"/>
    <mergeCell ref="F94:G94"/>
    <mergeCell ref="H94:I94"/>
    <mergeCell ref="C93:E93"/>
    <mergeCell ref="F93:G93"/>
    <mergeCell ref="H93:I93"/>
    <mergeCell ref="C92:E92"/>
    <mergeCell ref="F92:G92"/>
    <mergeCell ref="H92:I92"/>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B42:I42"/>
    <mergeCell ref="B41:H41"/>
    <mergeCell ref="C43:I43"/>
    <mergeCell ref="H57:I57"/>
    <mergeCell ref="H58:I58"/>
    <mergeCell ref="H59:I59"/>
    <mergeCell ref="F60:G60"/>
    <mergeCell ref="C52:I52"/>
    <mergeCell ref="F58:G58"/>
    <mergeCell ref="F53:G53"/>
    <mergeCell ref="F57:G57"/>
    <mergeCell ref="F59:G59"/>
    <mergeCell ref="B47:I47"/>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3</v>
      </c>
      <c r="B3" s="327" t="s">
        <v>722</v>
      </c>
      <c r="C3" s="327"/>
      <c r="D3" s="327"/>
      <c r="E3" s="327"/>
      <c r="F3" s="327"/>
      <c r="G3" s="327"/>
      <c r="H3" s="327"/>
      <c r="I3" s="327"/>
    </row>
    <row r="4" spans="1:9" s="7" customFormat="1" ht="18.899999999999999" customHeight="1" x14ac:dyDescent="0.35">
      <c r="A4" s="48" t="s">
        <v>723</v>
      </c>
      <c r="B4" s="325" t="s">
        <v>74</v>
      </c>
      <c r="C4" s="325"/>
      <c r="D4" s="325"/>
      <c r="E4" s="325"/>
      <c r="F4" s="325"/>
      <c r="G4" s="325"/>
      <c r="H4" s="325"/>
      <c r="I4" s="326"/>
    </row>
    <row r="5" spans="1:9" s="7" customFormat="1" ht="51" customHeight="1" x14ac:dyDescent="0.3">
      <c r="A5" s="12" t="s">
        <v>75</v>
      </c>
      <c r="B5" s="328" t="s">
        <v>724</v>
      </c>
      <c r="C5" s="329"/>
      <c r="D5" s="329"/>
      <c r="E5" s="329"/>
      <c r="F5" s="329"/>
      <c r="G5" s="329"/>
      <c r="H5" s="329"/>
      <c r="I5" s="329"/>
    </row>
    <row r="6" spans="1:9" s="7" customFormat="1" ht="12.6" customHeight="1" x14ac:dyDescent="0.3">
      <c r="A6" s="8"/>
      <c r="C6" s="303" t="s">
        <v>725</v>
      </c>
      <c r="D6" s="330"/>
      <c r="E6" s="330"/>
      <c r="F6" s="309"/>
      <c r="G6" s="303" t="s">
        <v>726</v>
      </c>
      <c r="H6" s="330"/>
      <c r="I6" s="309"/>
    </row>
    <row r="7" spans="1:9" s="7" customFormat="1" ht="15" customHeight="1" x14ac:dyDescent="0.3">
      <c r="A7" s="8"/>
      <c r="C7" s="320" t="s">
        <v>76</v>
      </c>
      <c r="D7" s="331"/>
      <c r="E7" s="331"/>
      <c r="F7" s="332"/>
      <c r="G7" s="333" t="str">
        <f>_xlfn.CONCAT(_xlfn.XLOOKUP("[S03_EmittingInstallations][1][NumberOfInstallations]",Submission!$O:$O,Submission!$H:$N,""))</f>
        <v>4</v>
      </c>
      <c r="H7" s="334"/>
      <c r="I7" s="335"/>
    </row>
    <row r="8" spans="1:9" s="7" customFormat="1" ht="15" customHeight="1" x14ac:dyDescent="0.3">
      <c r="A8" s="8"/>
      <c r="C8" s="320" t="s">
        <v>727</v>
      </c>
      <c r="D8" s="331"/>
      <c r="E8" s="331"/>
      <c r="F8" s="332"/>
      <c r="G8" s="333" t="str">
        <f>_xlfn.CONCAT(_xlfn.XLOOKUP("[S03_EmittingInstallations][2][NumberOfInstallations]",Submission!$O:$O,Submission!$H:$N,""))</f>
        <v>2</v>
      </c>
      <c r="H8" s="334"/>
      <c r="I8" s="335"/>
    </row>
    <row r="9" spans="1:9" s="7" customFormat="1" ht="15" customHeight="1" x14ac:dyDescent="0.3">
      <c r="A9" s="8"/>
      <c r="C9" s="320" t="s">
        <v>728</v>
      </c>
      <c r="D9" s="331"/>
      <c r="E9" s="331"/>
      <c r="F9" s="332"/>
      <c r="G9" s="333" t="str">
        <f>_xlfn.CONCAT(_xlfn.XLOOKUP("[S03_EmittingInstallations][3][NumberOfInstallations]",Submission!$O:$O,Submission!$H:$N,""))</f>
        <v>1</v>
      </c>
      <c r="H9" s="334"/>
      <c r="I9" s="335"/>
    </row>
    <row r="10" spans="1:9" s="7" customFormat="1" ht="15" customHeight="1" x14ac:dyDescent="0.3">
      <c r="A10" s="8"/>
      <c r="C10" s="320" t="s">
        <v>729</v>
      </c>
      <c r="D10" s="331"/>
      <c r="E10" s="331"/>
      <c r="F10" s="332"/>
      <c r="G10" s="333" t="str">
        <f>_xlfn.CONCAT(_xlfn.XLOOKUP("[S03_EmittingInstallations][4][NumberOfInstallations]",Submission!$O:$O,Submission!$H:$N,""))</f>
        <v>1</v>
      </c>
      <c r="H10" s="334"/>
      <c r="I10" s="335"/>
    </row>
    <row r="11" spans="1:9" s="7" customFormat="1" ht="15" customHeight="1" x14ac:dyDescent="0.3">
      <c r="A11" s="8"/>
      <c r="C11" s="320" t="s">
        <v>730</v>
      </c>
      <c r="D11" s="331"/>
      <c r="E11" s="331"/>
      <c r="F11" s="332"/>
      <c r="G11" s="333" t="str">
        <f>_xlfn.CONCAT(_xlfn.XLOOKUP("[S03_EmittingInstallations][5][NumberOfInstallations]",Submission!$O:$O,Submission!$H:$N,""))</f>
        <v>2</v>
      </c>
      <c r="H11" s="334"/>
      <c r="I11" s="335"/>
    </row>
    <row r="12" spans="1:9" s="11" customFormat="1" ht="14.4" x14ac:dyDescent="0.3"/>
    <row r="13" spans="1:9" s="7" customFormat="1" ht="20.399999999999999" customHeight="1" x14ac:dyDescent="0.3">
      <c r="A13" s="12"/>
      <c r="B13" s="340" t="s">
        <v>731</v>
      </c>
      <c r="C13" s="294"/>
      <c r="D13" s="294"/>
      <c r="E13" s="294"/>
      <c r="F13" s="294"/>
      <c r="G13" s="294"/>
      <c r="H13" s="294"/>
      <c r="I13" s="294"/>
    </row>
    <row r="14" spans="1:9" s="11" customFormat="1" ht="15" customHeight="1" x14ac:dyDescent="0.3">
      <c r="C14" s="337" t="s">
        <v>732</v>
      </c>
      <c r="D14" s="338"/>
      <c r="E14" s="338"/>
      <c r="F14" s="338"/>
      <c r="G14" s="339"/>
      <c r="H14" s="315" t="s">
        <v>709</v>
      </c>
      <c r="I14" s="336"/>
    </row>
    <row r="15" spans="1:9" s="11" customFormat="1" ht="14.4" x14ac:dyDescent="0.3">
      <c r="C15" s="300" t="s">
        <v>733</v>
      </c>
      <c r="D15" s="301"/>
      <c r="E15" s="301"/>
      <c r="F15" s="301"/>
      <c r="G15" s="302"/>
      <c r="H15" s="296" t="str">
        <f>_xlfn.CONCAT(_xlfn.XLOOKUP("[S03_ActivityPermits][1][ActivityPermitsIssued]",Submission!$O:$O,Submission!$H:$N,""))</f>
        <v>Yes</v>
      </c>
      <c r="I15" s="297"/>
    </row>
    <row r="16" spans="1:9" s="11" customFormat="1" ht="14.4" x14ac:dyDescent="0.3">
      <c r="C16" s="300" t="s">
        <v>734</v>
      </c>
      <c r="D16" s="301"/>
      <c r="E16" s="301"/>
      <c r="F16" s="301"/>
      <c r="G16" s="302"/>
      <c r="H16" s="296" t="str">
        <f>_xlfn.CONCAT(_xlfn.XLOOKUP("[S03_ActivityPermits][2][ActivityPermitsIssued]",Submission!$O:$O,Submission!$H:$N,""))</f>
        <v>No</v>
      </c>
      <c r="I16" s="297"/>
    </row>
    <row r="17" spans="3:9" s="11" customFormat="1" ht="14.4" x14ac:dyDescent="0.3">
      <c r="C17" s="300" t="s">
        <v>735</v>
      </c>
      <c r="D17" s="301"/>
      <c r="E17" s="301"/>
      <c r="F17" s="301"/>
      <c r="G17" s="302"/>
      <c r="H17" s="296" t="str">
        <f>_xlfn.CONCAT(_xlfn.XLOOKUP("[S03_ActivityPermits][3][ActivityPermitsIssued]",Submission!$O:$O,Submission!$H:$N,""))</f>
        <v>No</v>
      </c>
      <c r="I17" s="297"/>
    </row>
    <row r="18" spans="3:9" s="11" customFormat="1" ht="14.4" x14ac:dyDescent="0.3">
      <c r="C18" s="300" t="s">
        <v>736</v>
      </c>
      <c r="D18" s="301"/>
      <c r="E18" s="301"/>
      <c r="F18" s="301"/>
      <c r="G18" s="302"/>
      <c r="H18" s="296" t="str">
        <f>_xlfn.CONCAT(_xlfn.XLOOKUP("[S03_ActivityPermits][4][ActivityPermitsIssued]",Submission!$O:$O,Submission!$H:$N,""))</f>
        <v>No</v>
      </c>
      <c r="I18" s="297"/>
    </row>
    <row r="19" spans="3:9" s="11" customFormat="1" ht="14.4" x14ac:dyDescent="0.3">
      <c r="C19" s="300" t="s">
        <v>737</v>
      </c>
      <c r="D19" s="301"/>
      <c r="E19" s="301"/>
      <c r="F19" s="301"/>
      <c r="G19" s="302"/>
      <c r="H19" s="296" t="str">
        <f>_xlfn.CONCAT(_xlfn.XLOOKUP("[S03_ActivityPermits][5][ActivityPermitsIssued]",Submission!$O:$O,Submission!$H:$N,""))</f>
        <v>No</v>
      </c>
      <c r="I19" s="297"/>
    </row>
    <row r="20" spans="3:9" s="11" customFormat="1" ht="14.4" x14ac:dyDescent="0.3">
      <c r="C20" s="300" t="s">
        <v>738</v>
      </c>
      <c r="D20" s="301"/>
      <c r="E20" s="301"/>
      <c r="F20" s="301"/>
      <c r="G20" s="302"/>
      <c r="H20" s="296" t="str">
        <f>_xlfn.CONCAT(_xlfn.XLOOKUP("[S03_ActivityPermits][6][ActivityPermitsIssued]",Submission!$O:$O,Submission!$H:$N,""))</f>
        <v>No</v>
      </c>
      <c r="I20" s="297"/>
    </row>
    <row r="21" spans="3:9" s="11" customFormat="1" ht="14.4" x14ac:dyDescent="0.3">
      <c r="C21" s="300" t="s">
        <v>739</v>
      </c>
      <c r="D21" s="301"/>
      <c r="E21" s="301"/>
      <c r="F21" s="301"/>
      <c r="G21" s="302"/>
      <c r="H21" s="296" t="str">
        <f>_xlfn.CONCAT(_xlfn.XLOOKUP("[S03_ActivityPermits][7][ActivityPermitsIssued]",Submission!$O:$O,Submission!$H:$N,""))</f>
        <v>No</v>
      </c>
      <c r="I21" s="297"/>
    </row>
    <row r="22" spans="3:9" s="11" customFormat="1" ht="14.4" x14ac:dyDescent="0.3">
      <c r="C22" s="300" t="s">
        <v>740</v>
      </c>
      <c r="D22" s="301"/>
      <c r="E22" s="301"/>
      <c r="F22" s="301"/>
      <c r="G22" s="302"/>
      <c r="H22" s="296" t="str">
        <f>_xlfn.CONCAT(_xlfn.XLOOKUP("[S03_ActivityPermits][8][ActivityPermitsIssued]",Submission!$O:$O,Submission!$H:$N,""))</f>
        <v>No</v>
      </c>
      <c r="I22" s="297"/>
    </row>
    <row r="23" spans="3:9" s="11" customFormat="1" ht="14.4" x14ac:dyDescent="0.3">
      <c r="C23" s="300" t="s">
        <v>741</v>
      </c>
      <c r="D23" s="301"/>
      <c r="E23" s="301"/>
      <c r="F23" s="301"/>
      <c r="G23" s="302"/>
      <c r="H23" s="296" t="str">
        <f>_xlfn.CONCAT(_xlfn.XLOOKUP("[S03_ActivityPermits][9][ActivityPermitsIssued]",Submission!$O:$O,Submission!$H:$N,""))</f>
        <v>No</v>
      </c>
      <c r="I23" s="297"/>
    </row>
    <row r="24" spans="3:9" s="11" customFormat="1" ht="14.4" x14ac:dyDescent="0.3">
      <c r="C24" s="300" t="s">
        <v>742</v>
      </c>
      <c r="D24" s="301"/>
      <c r="E24" s="301"/>
      <c r="F24" s="301"/>
      <c r="G24" s="302"/>
      <c r="H24" s="296" t="str">
        <f>_xlfn.CONCAT(_xlfn.XLOOKUP("[S03_ActivityPermits][10][ActivityPermitsIssued]",Submission!$O:$O,Submission!$H:$N,""))</f>
        <v>No</v>
      </c>
      <c r="I24" s="297"/>
    </row>
    <row r="25" spans="3:9" s="11" customFormat="1" ht="14.4" x14ac:dyDescent="0.3">
      <c r="C25" s="300" t="s">
        <v>743</v>
      </c>
      <c r="D25" s="301"/>
      <c r="E25" s="301"/>
      <c r="F25" s="301"/>
      <c r="G25" s="302"/>
      <c r="H25" s="296" t="str">
        <f>_xlfn.CONCAT(_xlfn.XLOOKUP("[S03_ActivityPermits][11][ActivityPermitsIssued]",Submission!$O:$O,Submission!$H:$N,""))</f>
        <v>No</v>
      </c>
      <c r="I25" s="297"/>
    </row>
    <row r="26" spans="3:9" s="11" customFormat="1" ht="14.4" x14ac:dyDescent="0.3">
      <c r="C26" s="300" t="s">
        <v>744</v>
      </c>
      <c r="D26" s="301"/>
      <c r="E26" s="301"/>
      <c r="F26" s="301"/>
      <c r="G26" s="302"/>
      <c r="H26" s="296" t="str">
        <f>_xlfn.CONCAT(_xlfn.XLOOKUP("[S03_ActivityPermits][12][ActivityPermitsIssued]",Submission!$O:$O,Submission!$H:$N,""))</f>
        <v>No</v>
      </c>
      <c r="I26" s="297"/>
    </row>
    <row r="27" spans="3:9" s="11" customFormat="1" ht="14.4" x14ac:dyDescent="0.3">
      <c r="C27" s="300" t="s">
        <v>745</v>
      </c>
      <c r="D27" s="301"/>
      <c r="E27" s="301"/>
      <c r="F27" s="301"/>
      <c r="G27" s="302"/>
      <c r="H27" s="296" t="str">
        <f>_xlfn.CONCAT(_xlfn.XLOOKUP("[S03_ActivityPermits][13][ActivityPermitsIssued]",Submission!$O:$O,Submission!$H:$N,""))</f>
        <v>No</v>
      </c>
      <c r="I27" s="297"/>
    </row>
    <row r="28" spans="3:9" s="11" customFormat="1" ht="14.4" x14ac:dyDescent="0.3">
      <c r="C28" s="300" t="s">
        <v>746</v>
      </c>
      <c r="D28" s="301"/>
      <c r="E28" s="301"/>
      <c r="F28" s="301"/>
      <c r="G28" s="302"/>
      <c r="H28" s="296" t="str">
        <f>_xlfn.CONCAT(_xlfn.XLOOKUP("[S03_ActivityPermits][14][ActivityPermitsIssued]",Submission!$O:$O,Submission!$H:$N,""))</f>
        <v>No</v>
      </c>
      <c r="I28" s="297"/>
    </row>
    <row r="29" spans="3:9" s="11" customFormat="1" ht="14.4" x14ac:dyDescent="0.3">
      <c r="C29" s="300" t="s">
        <v>747</v>
      </c>
      <c r="D29" s="301"/>
      <c r="E29" s="301"/>
      <c r="F29" s="301"/>
      <c r="G29" s="302"/>
      <c r="H29" s="296" t="str">
        <f>_xlfn.CONCAT(_xlfn.XLOOKUP("[S03_ActivityPermits][15][ActivityPermitsIssued]",Submission!$O:$O,Submission!$H:$N,""))</f>
        <v>No</v>
      </c>
      <c r="I29" s="297"/>
    </row>
    <row r="30" spans="3:9" s="11" customFormat="1" ht="14.4" x14ac:dyDescent="0.3">
      <c r="C30" s="300" t="s">
        <v>748</v>
      </c>
      <c r="D30" s="301"/>
      <c r="E30" s="301"/>
      <c r="F30" s="301"/>
      <c r="G30" s="302"/>
      <c r="H30" s="296" t="str">
        <f>_xlfn.CONCAT(_xlfn.XLOOKUP("[S03_ActivityPermits][16][ActivityPermitsIssued]",Submission!$O:$O,Submission!$H:$N,""))</f>
        <v>No</v>
      </c>
      <c r="I30" s="297"/>
    </row>
    <row r="31" spans="3:9" s="11" customFormat="1" ht="14.4" x14ac:dyDescent="0.3">
      <c r="C31" s="300" t="s">
        <v>749</v>
      </c>
      <c r="D31" s="301"/>
      <c r="E31" s="301"/>
      <c r="F31" s="301"/>
      <c r="G31" s="302"/>
      <c r="H31" s="296" t="str">
        <f>_xlfn.CONCAT(_xlfn.XLOOKUP("[S03_ActivityPermits][17][ActivityPermitsIssued]",Submission!$O:$O,Submission!$H:$N,""))</f>
        <v>No</v>
      </c>
      <c r="I31" s="297"/>
    </row>
    <row r="32" spans="3:9" s="11" customFormat="1" ht="14.4" x14ac:dyDescent="0.3">
      <c r="C32" s="300" t="s">
        <v>750</v>
      </c>
      <c r="D32" s="301"/>
      <c r="E32" s="301"/>
      <c r="F32" s="301"/>
      <c r="G32" s="302"/>
      <c r="H32" s="296" t="str">
        <f>_xlfn.CONCAT(_xlfn.XLOOKUP("[S03_ActivityPermits][18][ActivityPermitsIssued]",Submission!$O:$O,Submission!$H:$N,""))</f>
        <v>No</v>
      </c>
      <c r="I32" s="297"/>
    </row>
    <row r="33" spans="1:9" s="11" customFormat="1" ht="14.4" x14ac:dyDescent="0.3">
      <c r="C33" s="300" t="s">
        <v>751</v>
      </c>
      <c r="D33" s="301"/>
      <c r="E33" s="301"/>
      <c r="F33" s="301"/>
      <c r="G33" s="302"/>
      <c r="H33" s="296" t="str">
        <f>_xlfn.CONCAT(_xlfn.XLOOKUP("[S03_ActivityPermits][19][ActivityPermitsIssued]",Submission!$O:$O,Submission!$H:$N,""))</f>
        <v>No</v>
      </c>
      <c r="I33" s="297"/>
    </row>
    <row r="34" spans="1:9" s="11" customFormat="1" ht="14.4" x14ac:dyDescent="0.3">
      <c r="C34" s="300" t="s">
        <v>752</v>
      </c>
      <c r="D34" s="301"/>
      <c r="E34" s="301"/>
      <c r="F34" s="301"/>
      <c r="G34" s="302"/>
      <c r="H34" s="296" t="str">
        <f>_xlfn.CONCAT(_xlfn.XLOOKUP("[S03_ActivityPermits][20][ActivityPermitsIssued]",Submission!$O:$O,Submission!$H:$N,""))</f>
        <v>No</v>
      </c>
      <c r="I34" s="297"/>
    </row>
    <row r="35" spans="1:9" s="11" customFormat="1" ht="14.4" x14ac:dyDescent="0.3">
      <c r="C35" s="300" t="s">
        <v>753</v>
      </c>
      <c r="D35" s="301"/>
      <c r="E35" s="301"/>
      <c r="F35" s="301"/>
      <c r="G35" s="302"/>
      <c r="H35" s="296" t="str">
        <f>_xlfn.CONCAT(_xlfn.XLOOKUP("[S03_ActivityPermits][21][ActivityPermitsIssued]",Submission!$O:$O,Submission!$H:$N,""))</f>
        <v>No</v>
      </c>
      <c r="I35" s="297"/>
    </row>
    <row r="36" spans="1:9" s="11" customFormat="1" ht="14.4" x14ac:dyDescent="0.3">
      <c r="C36" s="300" t="s">
        <v>754</v>
      </c>
      <c r="D36" s="301"/>
      <c r="E36" s="301"/>
      <c r="F36" s="301"/>
      <c r="G36" s="302"/>
      <c r="H36" s="296" t="str">
        <f>_xlfn.CONCAT(_xlfn.XLOOKUP("[S03_ActivityPermits][22][ActivityPermitsIssued]",Submission!$O:$O,Submission!$H:$N,""))</f>
        <v>No</v>
      </c>
      <c r="I36" s="297"/>
    </row>
    <row r="37" spans="1:9" s="11" customFormat="1" ht="14.4" x14ac:dyDescent="0.3">
      <c r="C37" s="300" t="s">
        <v>755</v>
      </c>
      <c r="D37" s="301"/>
      <c r="E37" s="301"/>
      <c r="F37" s="301"/>
      <c r="G37" s="302"/>
      <c r="H37" s="296" t="str">
        <f>_xlfn.CONCAT(_xlfn.XLOOKUP("[S03_ActivityPermits][23][ActivityPermitsIssued]",Submission!$O:$O,Submission!$H:$N,""))</f>
        <v>No</v>
      </c>
      <c r="I37" s="297"/>
    </row>
    <row r="38" spans="1:9" s="11" customFormat="1" ht="15" x14ac:dyDescent="0.3">
      <c r="C38" s="300" t="s">
        <v>756</v>
      </c>
      <c r="D38" s="301"/>
      <c r="E38" s="301"/>
      <c r="F38" s="301"/>
      <c r="G38" s="302"/>
      <c r="H38" s="296" t="str">
        <f>_xlfn.CONCAT(_xlfn.XLOOKUP("[S03_ActivityPermits][24][ActivityPermitsIssued]",Submission!$O:$O,Submission!$H:$N,""))</f>
        <v>No</v>
      </c>
      <c r="I38" s="297"/>
    </row>
    <row r="39" spans="1:9" s="11" customFormat="1" ht="15" x14ac:dyDescent="0.3">
      <c r="C39" s="300" t="s">
        <v>757</v>
      </c>
      <c r="D39" s="301"/>
      <c r="E39" s="301"/>
      <c r="F39" s="301"/>
      <c r="G39" s="302"/>
      <c r="H39" s="296" t="str">
        <f>_xlfn.CONCAT(_xlfn.XLOOKUP("[S03_ActivityPermits][25][ActivityPermitsIssued]",Submission!$O:$O,Submission!$H:$N,""))</f>
        <v>No</v>
      </c>
      <c r="I39" s="297"/>
    </row>
    <row r="40" spans="1:9" s="11" customFormat="1" ht="14.4" x14ac:dyDescent="0.3">
      <c r="C40" s="300" t="s">
        <v>758</v>
      </c>
      <c r="D40" s="301"/>
      <c r="E40" s="301"/>
      <c r="F40" s="301"/>
      <c r="G40" s="302"/>
      <c r="H40" s="296" t="str">
        <f>_xlfn.CONCAT(_xlfn.XLOOKUP("[S03_ActivityPermits][26][ActivityPermitsIssued]",Submission!$O:$O,Submission!$H:$N,""))</f>
        <v>No</v>
      </c>
      <c r="I40" s="297"/>
    </row>
    <row r="41" spans="1:9" s="11" customFormat="1" ht="14.4" x14ac:dyDescent="0.3">
      <c r="C41" s="300" t="s">
        <v>759</v>
      </c>
      <c r="D41" s="301"/>
      <c r="E41" s="301"/>
      <c r="F41" s="301"/>
      <c r="G41" s="302"/>
      <c r="H41" s="296" t="str">
        <f>_xlfn.CONCAT(_xlfn.XLOOKUP("[S03_ActivityPermits][27][ActivityPermitsIssued]",Submission!$O:$O,Submission!$H:$N,""))</f>
        <v>No</v>
      </c>
      <c r="I41" s="297"/>
    </row>
    <row r="42" spans="1:9" s="11" customFormat="1" ht="14.4" x14ac:dyDescent="0.3">
      <c r="C42" s="300" t="s">
        <v>760</v>
      </c>
      <c r="D42" s="301"/>
      <c r="E42" s="301"/>
      <c r="F42" s="301"/>
      <c r="G42" s="302"/>
      <c r="H42" s="296" t="str">
        <f>_xlfn.CONCAT(_xlfn.XLOOKUP("[S03_ActivityPermits][28][ActivityPermitsIssued]",Submission!$O:$O,Submission!$H:$N,""))</f>
        <v>No</v>
      </c>
      <c r="I42" s="297"/>
    </row>
    <row r="43" spans="1:9" s="11" customFormat="1" ht="29.25" customHeight="1" x14ac:dyDescent="0.3">
      <c r="C43" s="292" t="s">
        <v>761</v>
      </c>
      <c r="D43" s="292"/>
      <c r="E43" s="292"/>
      <c r="F43" s="292"/>
      <c r="G43" s="292"/>
      <c r="H43" s="292"/>
      <c r="I43" s="292"/>
    </row>
    <row r="44" spans="1:9" s="7" customFormat="1" ht="18.75" customHeight="1" x14ac:dyDescent="0.3">
      <c r="A44" s="8"/>
    </row>
    <row r="45" spans="1:9" ht="18" customHeight="1" x14ac:dyDescent="0.3">
      <c r="A45" s="12" t="s">
        <v>80</v>
      </c>
      <c r="B45" s="293" t="s">
        <v>762</v>
      </c>
      <c r="C45" s="294"/>
      <c r="D45" s="294"/>
      <c r="E45" s="294"/>
      <c r="F45" s="294"/>
      <c r="G45" s="294"/>
      <c r="H45" s="295"/>
      <c r="I45" s="41" t="str">
        <f>_xlfn.CONCAT(_xlfn.XLOOKUP("[InstallationsExcludedArt27][0][InstallationsExcludedArt27]",Submission!$O:$O,Submission!$H:$N,""))</f>
        <v>Yes</v>
      </c>
    </row>
    <row r="46" spans="1:9" ht="16.95" customHeight="1" x14ac:dyDescent="0.3">
      <c r="B46" s="293" t="s">
        <v>763</v>
      </c>
      <c r="C46" s="294"/>
      <c r="D46" s="294"/>
      <c r="E46" s="294"/>
      <c r="F46" s="294"/>
      <c r="G46" s="294"/>
      <c r="H46" s="294"/>
      <c r="I46" s="294"/>
    </row>
    <row r="47" spans="1:9" ht="28.2" customHeight="1" x14ac:dyDescent="0.3">
      <c r="B47" s="36" t="s">
        <v>8</v>
      </c>
      <c r="C47" s="310" t="s">
        <v>764</v>
      </c>
      <c r="D47" s="310"/>
      <c r="E47" s="310"/>
      <c r="F47" s="310"/>
      <c r="G47" s="310"/>
      <c r="H47" s="310"/>
      <c r="I47" s="310"/>
    </row>
    <row r="48" spans="1:9" ht="30.6" customHeight="1" x14ac:dyDescent="0.3">
      <c r="B48" s="36" t="s">
        <v>8</v>
      </c>
      <c r="C48" s="310" t="s">
        <v>765</v>
      </c>
      <c r="D48" s="310"/>
      <c r="E48" s="310"/>
      <c r="F48" s="310"/>
      <c r="G48" s="310"/>
      <c r="H48" s="310"/>
      <c r="I48" s="310"/>
    </row>
    <row r="49" spans="1:12" ht="31.95" customHeight="1" x14ac:dyDescent="0.3">
      <c r="B49" s="36" t="s">
        <v>8</v>
      </c>
      <c r="C49" s="314" t="s">
        <v>766</v>
      </c>
      <c r="D49" s="314"/>
      <c r="E49" s="314"/>
      <c r="F49" s="314"/>
      <c r="G49" s="314"/>
      <c r="H49" s="314"/>
      <c r="I49" s="314"/>
    </row>
    <row r="50" spans="1:12" s="7" customFormat="1" ht="42" customHeight="1" x14ac:dyDescent="0.3">
      <c r="A50" s="8"/>
      <c r="C50" s="303" t="s">
        <v>767</v>
      </c>
      <c r="D50" s="304"/>
      <c r="E50" s="305"/>
      <c r="F50" s="303" t="s">
        <v>768</v>
      </c>
      <c r="G50" s="309"/>
      <c r="H50" s="303" t="s">
        <v>769</v>
      </c>
      <c r="I50" s="309"/>
    </row>
    <row r="51" spans="1:12" s="7" customFormat="1" ht="14.4" x14ac:dyDescent="0.3">
      <c r="A51" s="8"/>
      <c r="C51" s="296" t="str">
        <f>_xlfn.CONCAT(_xlfn.XLOOKUP("[S03_InstallationsExcludedArt27Detail][1][ExclusionArticle]",Submission!$O:$O,Submission!$H:$N,""))</f>
        <v>Article 27a (1)</v>
      </c>
      <c r="D51" s="298"/>
      <c r="E51" s="299"/>
      <c r="F51" s="306" t="str">
        <f>_xlfn.CONCAT(_xlfn.XLOOKUP("[S03_InstallationsExcludedArt27Detail][1][InstallationsExcludedEmissions]",Submission!$O:$O,Submission!$H:$N,""))</f>
        <v>994</v>
      </c>
      <c r="G51" s="307"/>
      <c r="H51" s="308" t="str">
        <f>_xlfn.CONCAT(_xlfn.XLOOKUP("[S03_InstallationsExcludedArt27Detail][1][InstallationsExceededThreshold]",Submission!$O:$O,Submission!$H:$N,""))</f>
        <v>0</v>
      </c>
      <c r="I51" s="307"/>
    </row>
    <row r="52" spans="1:12" s="7" customFormat="1" ht="14.4" x14ac:dyDescent="0.3">
      <c r="A52" s="8"/>
      <c r="C52" s="296" t="str">
        <f>_xlfn.CONCAT(_xlfn.XLOOKUP("[S03_InstallationsExcludedArt27Detail][2][ExclusionArticle]",Submission!$O:$O,Submission!$H:$N,""))</f>
        <v/>
      </c>
      <c r="D52" s="298"/>
      <c r="E52" s="299"/>
      <c r="F52" s="308" t="str">
        <f>_xlfn.CONCAT(_xlfn.XLOOKUP("[S03_InstallationsExcludedArt27Detail][2][InstallationsExcludedEmissions]",Submission!$O:$O,Submission!$H:$N,""))</f>
        <v/>
      </c>
      <c r="G52" s="307"/>
      <c r="H52" s="308" t="str">
        <f>_xlfn.CONCAT(_xlfn.XLOOKUP("[S03_InstallationsExcludedArt27Detail][2][InstallationsExceededThreshold]",Submission!$O:$O,Submission!$H:$N,""))</f>
        <v/>
      </c>
      <c r="I52" s="307"/>
    </row>
    <row r="53" spans="1:12" s="7" customFormat="1" ht="14.4" x14ac:dyDescent="0.3">
      <c r="A53" s="8"/>
      <c r="C53" s="296" t="str">
        <f>_xlfn.CONCAT(_xlfn.XLOOKUP("[S03_InstallationsExcludedArt27Detail][3][ExclusionArticle]",Submission!$O:$O,Submission!$H:$N,""))</f>
        <v/>
      </c>
      <c r="D53" s="298"/>
      <c r="E53" s="299"/>
      <c r="F53" s="308" t="str">
        <f>_xlfn.CONCAT(_xlfn.XLOOKUP("[S03_InstallationsExcludedArt27Detail][3][InstallationsExcludedEmissions]",Submission!$O:$O,Submission!$H:$N,""))</f>
        <v/>
      </c>
      <c r="G53" s="307"/>
      <c r="H53" s="308" t="str">
        <f>_xlfn.CONCAT(_xlfn.XLOOKUP("[S03_InstallationsExcludedArt27Detail][3][InstallationsExceededThreshold]",Submission!$O:$O,Submission!$H:$N,""))</f>
        <v/>
      </c>
      <c r="I53" s="307"/>
    </row>
    <row r="54" spans="1:12" s="7" customFormat="1" ht="14.4" customHeight="1" x14ac:dyDescent="0.3">
      <c r="A54" s="8"/>
      <c r="C54" s="292" t="s">
        <v>770</v>
      </c>
      <c r="D54" s="292"/>
      <c r="E54" s="292"/>
      <c r="F54" s="292"/>
      <c r="G54" s="292"/>
      <c r="H54" s="292"/>
      <c r="I54" s="292"/>
      <c r="J54" s="19"/>
      <c r="K54" s="19"/>
      <c r="L54" s="19"/>
    </row>
    <row r="55" spans="1:12" s="38" customFormat="1" ht="14.4" x14ac:dyDescent="0.3">
      <c r="A55" s="39"/>
    </row>
    <row r="56" spans="1:12" s="7" customFormat="1" ht="18.600000000000001" customHeight="1" x14ac:dyDescent="0.3">
      <c r="A56" s="8"/>
      <c r="B56" s="293" t="s">
        <v>771</v>
      </c>
      <c r="C56" s="294"/>
      <c r="D56" s="294"/>
      <c r="E56" s="294"/>
      <c r="F56" s="294"/>
      <c r="G56" s="294"/>
      <c r="H56" s="294"/>
      <c r="I56" s="294"/>
    </row>
    <row r="57" spans="1:12" ht="15.9" customHeight="1" x14ac:dyDescent="0.3">
      <c r="A57" s="12"/>
      <c r="B57" s="40"/>
      <c r="C57" s="318"/>
      <c r="D57" s="319"/>
      <c r="E57" s="319"/>
      <c r="F57" s="303" t="s">
        <v>772</v>
      </c>
      <c r="G57" s="304"/>
      <c r="H57" s="304"/>
      <c r="I57" s="305"/>
    </row>
    <row r="58" spans="1:12" ht="15.9" customHeight="1" x14ac:dyDescent="0.3">
      <c r="A58" s="12"/>
      <c r="B58" s="40"/>
      <c r="C58" s="320" t="s">
        <v>773</v>
      </c>
      <c r="D58" s="321"/>
      <c r="E58" s="321"/>
      <c r="F58" s="322" t="str">
        <f>_xlfn.CONCAT(_xlfn.XLOOKUP("[S03_InstallationsExcludedClosed][0][ClosedArt27]",Submission!$O:$O,Submission!$H:$N,""))</f>
        <v/>
      </c>
      <c r="G58" s="323"/>
      <c r="H58" s="323"/>
      <c r="I58" s="324"/>
    </row>
    <row r="59" spans="1:12" s="7" customFormat="1" ht="15" customHeight="1" x14ac:dyDescent="0.3">
      <c r="A59" s="8"/>
      <c r="C59" s="320" t="s">
        <v>774</v>
      </c>
      <c r="D59" s="321"/>
      <c r="E59" s="321"/>
      <c r="F59" s="322" t="str">
        <f>_xlfn.CONCAT(_xlfn.XLOOKUP("[S03_InstallationsExcludedClosed][0][ClosedArt27a]",Submission!$O:$O,Submission!$H:$N,""))</f>
        <v>0</v>
      </c>
      <c r="G59" s="323"/>
      <c r="H59" s="323"/>
      <c r="I59" s="324"/>
    </row>
    <row r="60" spans="1:12" s="7" customFormat="1" ht="14.4" x14ac:dyDescent="0.3">
      <c r="A60" s="8"/>
    </row>
    <row r="61" spans="1:12" s="86" customFormat="1" ht="18.899999999999999" customHeight="1" x14ac:dyDescent="0.35">
      <c r="A61" s="85" t="s">
        <v>775</v>
      </c>
      <c r="B61" s="325" t="s">
        <v>97</v>
      </c>
      <c r="C61" s="325"/>
      <c r="D61" s="325"/>
      <c r="E61" s="325"/>
      <c r="F61" s="325"/>
      <c r="G61" s="325"/>
      <c r="H61" s="325"/>
      <c r="I61" s="326"/>
    </row>
    <row r="62" spans="1:12" s="7" customFormat="1" ht="54" customHeight="1" x14ac:dyDescent="0.3">
      <c r="A62" s="12" t="s">
        <v>98</v>
      </c>
      <c r="B62" s="290" t="s">
        <v>776</v>
      </c>
      <c r="C62" s="291"/>
      <c r="D62" s="291"/>
      <c r="E62" s="291"/>
      <c r="F62" s="291"/>
      <c r="G62" s="291"/>
      <c r="H62" s="291"/>
      <c r="I62" s="291"/>
    </row>
    <row r="63" spans="1:12" s="7" customFormat="1" ht="46.2" customHeight="1" x14ac:dyDescent="0.3">
      <c r="A63" s="8"/>
      <c r="C63" s="315" t="s">
        <v>777</v>
      </c>
      <c r="D63" s="316"/>
      <c r="E63" s="316"/>
      <c r="F63" s="317"/>
      <c r="G63" s="46" t="s">
        <v>778</v>
      </c>
      <c r="H63" s="46" t="s">
        <v>779</v>
      </c>
      <c r="I63" s="46" t="s">
        <v>780</v>
      </c>
    </row>
    <row r="64" spans="1:12" ht="15.9" customHeight="1" x14ac:dyDescent="0.3">
      <c r="C64" s="311" t="s">
        <v>781</v>
      </c>
      <c r="D64" s="312"/>
      <c r="E64" s="312"/>
      <c r="F64" s="313"/>
      <c r="G64" s="132" t="str">
        <f>_xlfn.CONCAT(_xlfn.XLOOKUP("[S03_AircraftAnnex1Activities][1][NumberCommercialOperators]",Submission!$O:$O,Submission!$H:$N,""))</f>
        <v>7</v>
      </c>
      <c r="H64" s="132" t="str">
        <f>_xlfn.CONCAT(_xlfn.XLOOKUP("[S03_AircraftAnnex1Activities][1][NumberNonCommercialOperators]",Submission!$O:$O,Submission!$H:$N,""))</f>
        <v>0</v>
      </c>
      <c r="I64" s="132" t="str">
        <f>_xlfn.CONCAT(_xlfn.XLOOKUP("[S03_AircraftAnnex1Activities][1][NumberTotalOperators]",Submission!$O:$O,Submission!$H:$N,""))</f>
        <v>7</v>
      </c>
    </row>
    <row r="65" spans="3:9" ht="15.9" customHeight="1" x14ac:dyDescent="0.3">
      <c r="C65" s="311" t="s">
        <v>782</v>
      </c>
      <c r="D65" s="312"/>
      <c r="E65" s="312"/>
      <c r="F65" s="313"/>
      <c r="G65" s="132" t="str">
        <f>_xlfn.CONCAT(_xlfn.XLOOKUP("[S03_AircraftAnnex1Activities][2][NumberCommercialOperators]",Submission!$O:$O,Submission!$H:$N,""))</f>
        <v>0</v>
      </c>
      <c r="H65" s="132" t="str">
        <f>_xlfn.CONCAT(_xlfn.XLOOKUP("[S03_AircraftAnnex1Activities][2][NumberNonCommercialOperators]",Submission!$O:$O,Submission!$H:$N,""))</f>
        <v>0</v>
      </c>
      <c r="I65" s="132" t="str">
        <f>_xlfn.CONCAT(_xlfn.XLOOKUP("[S03_AircraftAnnex1Activities][2][NumberTotalOperators]",Submission!$O:$O,Submission!$H:$N,""))</f>
        <v>0</v>
      </c>
    </row>
    <row r="66" spans="3:9" ht="15.9" customHeight="1" x14ac:dyDescent="0.3">
      <c r="C66" s="311" t="s">
        <v>780</v>
      </c>
      <c r="D66" s="312"/>
      <c r="E66" s="312"/>
      <c r="F66" s="313"/>
      <c r="G66" s="132" t="str">
        <f>_xlfn.CONCAT(_xlfn.XLOOKUP("[S03_AircraftAnnex1Activities][3][NumberCommercialOperators]",Submission!$O:$O,Submission!$H:$N,""))</f>
        <v>7</v>
      </c>
      <c r="H66" s="132" t="str">
        <f>_xlfn.CONCAT(_xlfn.XLOOKUP("[S03_AircraftAnnex1Activities][3][NumberNonCommercialOperators]",Submission!$O:$O,Submission!$H:$N,""))</f>
        <v>0</v>
      </c>
      <c r="I66" s="132" t="str">
        <f>_xlfn.CONCAT(_xlfn.XLOOKUP("[S03_AircraftAnnex1Activities][3][NumberTotalOperators]",Submission!$O:$O,Submission!$H:$N,""))</f>
        <v>7</v>
      </c>
    </row>
    <row r="67" spans="3:9" ht="15.9" customHeight="1" x14ac:dyDescent="0.3"/>
  </sheetData>
  <mergeCells count="107">
    <mergeCell ref="C21:G21"/>
    <mergeCell ref="H17:I17"/>
    <mergeCell ref="H18:I18"/>
    <mergeCell ref="C11:F11"/>
    <mergeCell ref="G11:I11"/>
    <mergeCell ref="B13:I13"/>
    <mergeCell ref="C15:G15"/>
    <mergeCell ref="C17:G17"/>
    <mergeCell ref="C18:G18"/>
    <mergeCell ref="C19:G19"/>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23:G23"/>
    <mergeCell ref="C24:G24"/>
    <mergeCell ref="C25:G25"/>
    <mergeCell ref="C26:G26"/>
    <mergeCell ref="C27:G27"/>
    <mergeCell ref="H26:I26"/>
    <mergeCell ref="H27:I27"/>
    <mergeCell ref="C32:G32"/>
    <mergeCell ref="C51:E51"/>
    <mergeCell ref="B46:I46"/>
    <mergeCell ref="H23:I23"/>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4</v>
      </c>
      <c r="B3" s="327" t="s">
        <v>105</v>
      </c>
      <c r="C3" s="327"/>
      <c r="D3" s="327"/>
      <c r="E3" s="327"/>
      <c r="F3" s="327"/>
      <c r="G3" s="327"/>
      <c r="H3" s="327"/>
      <c r="I3" s="327"/>
    </row>
    <row r="4" spans="1:9" s="7" customFormat="1" ht="17.399999999999999" customHeight="1" x14ac:dyDescent="0.3">
      <c r="A4" s="12"/>
      <c r="B4" s="269" t="s">
        <v>783</v>
      </c>
      <c r="C4" s="270"/>
      <c r="D4" s="270"/>
      <c r="E4" s="270"/>
      <c r="F4" s="270"/>
      <c r="G4" s="270"/>
      <c r="H4" s="270"/>
      <c r="I4" s="270"/>
    </row>
    <row r="5" spans="1:9" ht="18.600000000000001" customHeight="1" x14ac:dyDescent="0.3">
      <c r="A5" s="12" t="s">
        <v>106</v>
      </c>
      <c r="B5" s="293" t="s">
        <v>784</v>
      </c>
      <c r="C5" s="294"/>
      <c r="D5" s="294"/>
      <c r="E5" s="294"/>
      <c r="F5" s="294"/>
      <c r="G5" s="294"/>
      <c r="H5" s="294"/>
    </row>
    <row r="6" spans="1:9" x14ac:dyDescent="0.3">
      <c r="A6" s="12"/>
      <c r="B6" s="18"/>
      <c r="C6" s="248" t="s">
        <v>785</v>
      </c>
      <c r="D6" s="248"/>
      <c r="E6" s="248"/>
      <c r="F6" s="248"/>
      <c r="G6" s="248"/>
      <c r="H6" s="248"/>
      <c r="I6" s="248"/>
    </row>
    <row r="7" spans="1:9" ht="29.4" customHeight="1" x14ac:dyDescent="0.3">
      <c r="C7" s="303" t="s">
        <v>786</v>
      </c>
      <c r="D7" s="330"/>
      <c r="E7" s="330"/>
      <c r="F7" s="309"/>
      <c r="G7" s="42" t="s">
        <v>787</v>
      </c>
      <c r="H7" s="303" t="s">
        <v>710</v>
      </c>
      <c r="I7" s="309"/>
    </row>
    <row r="8" spans="1:9" s="58" customFormat="1" ht="31.95" customHeight="1" x14ac:dyDescent="0.3">
      <c r="A8" s="75"/>
      <c r="C8" s="246" t="s">
        <v>788</v>
      </c>
      <c r="D8" s="283"/>
      <c r="E8" s="283"/>
      <c r="F8" s="239"/>
      <c r="G8" s="63" t="str">
        <f>_xlfn.CONCAT(_xlfn.XLOOKUP("[S04_IEDProcedureRequirementsIntegratedYes][1][IntegrationYesNo]",Submission!$O:$O,Submission!$H:$N,""))</f>
        <v>No</v>
      </c>
      <c r="H8" s="284" t="str">
        <f>_xlfn.CONCAT(_xlfn.XLOOKUP("[S04_IEDProcedureRequirementsIntegratedYes][1][IntegrationComments]",Submission!$O:$O,Submission!$H:$N,""))</f>
        <v/>
      </c>
      <c r="I8" s="285"/>
    </row>
    <row r="9" spans="1:9" s="58" customFormat="1" ht="31.95" customHeight="1" x14ac:dyDescent="0.3">
      <c r="A9" s="75"/>
      <c r="C9" s="246" t="s">
        <v>789</v>
      </c>
      <c r="D9" s="263"/>
      <c r="E9" s="263"/>
      <c r="F9" s="264"/>
      <c r="G9" s="63" t="str">
        <f>_xlfn.CONCAT(_xlfn.XLOOKUP("[S04_IEDProcedureRequirementsIntegratedYes][2][IntegrationYesNo]",Submission!$O:$O,Submission!$H:$N,""))</f>
        <v>No</v>
      </c>
      <c r="H9" s="284" t="str">
        <f>_xlfn.CONCAT(_xlfn.XLOOKUP("[S04_IEDProcedureRequirementsIntegratedYes][2][IntegrationComments]",Submission!$O:$O,Submission!$H:$N,""))</f>
        <v/>
      </c>
      <c r="I9" s="285"/>
    </row>
    <row r="10" spans="1:9" s="58" customFormat="1" ht="31.95" customHeight="1" x14ac:dyDescent="0.3">
      <c r="A10" s="75"/>
      <c r="C10" s="246" t="s">
        <v>790</v>
      </c>
      <c r="D10" s="263"/>
      <c r="E10" s="263"/>
      <c r="F10" s="264"/>
      <c r="G10" s="63" t="str">
        <f>_xlfn.CONCAT(_xlfn.XLOOKUP("[S04_IEDProcedureRequirementsIntegratedYes][3][IntegrationYesNo]",Submission!$O:$O,Submission!$H:$N,""))</f>
        <v>No</v>
      </c>
      <c r="H10" s="284" t="str">
        <f>_xlfn.CONCAT(_xlfn.XLOOKUP("[S04_IEDProcedureRequirementsIntegratedYes][3][IntegrationComments]",Submission!$O:$O,Submission!$H:$N,""))</f>
        <v/>
      </c>
      <c r="I10" s="285"/>
    </row>
    <row r="11" spans="1:9" s="58" customFormat="1" ht="31.8" customHeight="1" x14ac:dyDescent="0.3">
      <c r="A11" s="75"/>
      <c r="C11" s="246" t="s">
        <v>791</v>
      </c>
      <c r="D11" s="283"/>
      <c r="E11" s="283"/>
      <c r="F11" s="239"/>
      <c r="G11" s="63" t="str">
        <f>_xlfn.CONCAT(_xlfn.XLOOKUP("[S04_IEDProcedureRequirementsIntegratedYes][4][IntegrationYesNo]",Submission!$O:$O,Submission!$H:$N,""))</f>
        <v>No</v>
      </c>
      <c r="H11" s="284" t="str">
        <f>_xlfn.CONCAT(_xlfn.XLOOKUP("[S04_IEDProcedureRequirementsIntegratedYes][4][IntegrationComments]",Submission!$O:$O,Submission!$H:$N,""))</f>
        <v/>
      </c>
      <c r="I11" s="285"/>
    </row>
    <row r="12" spans="1:9" s="58" customFormat="1" ht="31.95" customHeight="1" x14ac:dyDescent="0.3">
      <c r="A12" s="75"/>
      <c r="C12" s="246" t="s">
        <v>119</v>
      </c>
      <c r="D12" s="283"/>
      <c r="E12" s="283"/>
      <c r="F12" s="239"/>
      <c r="G12" s="63" t="str">
        <f>_xlfn.CONCAT(_xlfn.XLOOKUP("[S04_IEDProcedureRequirementsIntegratedYes][5][IntegrationYesNo]",Submission!$O:$O,Submission!$H:$N,""))</f>
        <v>No</v>
      </c>
      <c r="H12" s="284" t="str">
        <f>_xlfn.CONCAT(_xlfn.XLOOKUP("[S04_IEDProcedureRequirementsIntegratedYes][5][IntegrationComments]",Submission!$O:$O,Submission!$H:$N,""))</f>
        <v/>
      </c>
      <c r="I12" s="285"/>
    </row>
    <row r="13" spans="1:9" s="58" customFormat="1" ht="31.95" customHeight="1" x14ac:dyDescent="0.3">
      <c r="A13" s="75"/>
      <c r="C13" s="246" t="s">
        <v>792</v>
      </c>
      <c r="D13" s="263"/>
      <c r="E13" s="263"/>
      <c r="F13" s="264"/>
      <c r="G13" s="63" t="str">
        <f>_xlfn.CONCAT(_xlfn.XLOOKUP("[S04_IEDProcedureRequirementsIntegratedYes][6][IntegrationYesNo]",Submission!$O:$O,Submission!$H:$N,""))</f>
        <v>No</v>
      </c>
      <c r="H13" s="284" t="str">
        <f>_xlfn.CONCAT(_xlfn.XLOOKUP("[S04_IEDProcedureRequirementsIntegratedYes][6][IntegrationComments]",Submission!$O:$O,Submission!$H:$N,""))</f>
        <v/>
      </c>
      <c r="I13" s="285"/>
    </row>
    <row r="14" spans="1:9" s="58" customFormat="1" ht="31.95" customHeight="1" x14ac:dyDescent="0.3">
      <c r="A14" s="75"/>
      <c r="C14" s="246" t="s">
        <v>793</v>
      </c>
      <c r="D14" s="283"/>
      <c r="E14" s="283"/>
      <c r="F14" s="239"/>
      <c r="G14" s="63" t="str">
        <f>_xlfn.CONCAT(_xlfn.XLOOKUP("[S04_IEDProcedureRequirementsIntegratedYes][7][IntegrationYesNo]",Submission!$O:$O,Submission!$H:$N,""))</f>
        <v/>
      </c>
      <c r="H14" s="284" t="str">
        <f>_xlfn.CONCAT(_xlfn.XLOOKUP("[S04_IEDProcedureRequirementsIntegratedYes][7][IntegrationComments]",Submission!$O:$O,Submission!$H:$N,""))</f>
        <v/>
      </c>
      <c r="I14" s="285"/>
    </row>
    <row r="15" spans="1:9" s="58" customFormat="1" ht="31.95" customHeight="1" x14ac:dyDescent="0.3">
      <c r="A15" s="75"/>
      <c r="C15" s="246" t="s">
        <v>794</v>
      </c>
      <c r="D15" s="263"/>
      <c r="E15" s="263"/>
      <c r="F15" s="263"/>
      <c r="G15" s="63" t="str">
        <f>_xlfn.CONCAT(_xlfn.XLOOKUP("[S04_IEDProcedureRequirementsIntegratedYes][8][IntegrationYesNo]",Submission!$O:$O,Submission!$H:$N,""))</f>
        <v>No</v>
      </c>
      <c r="H15" s="284" t="str">
        <f>_xlfn.CONCAT(_xlfn.XLOOKUP("[S04_IEDProcedureRequirementsIntegratedYes][8][IntegrationComments]",Submission!$O:$O,Submission!$H:$N,""))</f>
        <v/>
      </c>
      <c r="I15" s="285"/>
    </row>
    <row r="16" spans="1:9" ht="19.5" customHeight="1" x14ac:dyDescent="0.3">
      <c r="C16" s="20"/>
      <c r="D16" s="20"/>
      <c r="E16" s="20"/>
      <c r="F16" s="20"/>
      <c r="G16" s="20"/>
      <c r="H16" s="20"/>
      <c r="I16" s="20"/>
    </row>
    <row r="17" spans="1:9" ht="36" customHeight="1" x14ac:dyDescent="0.3">
      <c r="A17" s="12" t="s">
        <v>123</v>
      </c>
      <c r="B17" s="340" t="s">
        <v>795</v>
      </c>
      <c r="C17" s="294"/>
      <c r="D17" s="294"/>
      <c r="E17" s="294"/>
      <c r="F17" s="294"/>
      <c r="G17" s="294"/>
      <c r="H17" s="294"/>
      <c r="I17" s="294"/>
    </row>
    <row r="18" spans="1:9" ht="15.9" customHeight="1" x14ac:dyDescent="0.3">
      <c r="C18" s="45" t="s">
        <v>129</v>
      </c>
      <c r="D18" s="141"/>
      <c r="E18" s="141"/>
      <c r="F18" s="141"/>
      <c r="G18" s="304" t="s">
        <v>796</v>
      </c>
      <c r="H18" s="304"/>
      <c r="I18" s="305"/>
    </row>
    <row r="19" spans="1:9" ht="15.9" customHeight="1" x14ac:dyDescent="0.3">
      <c r="C19" s="320" t="s">
        <v>130</v>
      </c>
      <c r="D19" s="321"/>
      <c r="E19" s="321"/>
      <c r="F19" s="343"/>
      <c r="G19" s="344" t="str">
        <f>_xlfn.CONCAT(_xlfn.XLOOKUP("[S04_NationalLawPermitUpdate][1][PermitUpdateNationalLawDetail]",Submission!$O:$O,Submission!$H:$N,""))</f>
        <v>The competent authority "may, at any time, revoke" a permit by issuing a notice of revocation which shall include the reasons for the revocation. National legislation does not specify reasons for revocation of permits.</v>
      </c>
      <c r="H19" s="345"/>
      <c r="I19" s="346"/>
    </row>
    <row r="20" spans="1:9" ht="15.9" customHeight="1" x14ac:dyDescent="0.3">
      <c r="C20" s="320" t="s">
        <v>797</v>
      </c>
      <c r="D20" s="321"/>
      <c r="E20" s="321"/>
      <c r="F20" s="343"/>
      <c r="G20" s="344" t="str">
        <f>_xlfn.CONCAT(_xlfn.XLOOKUP("[S04_NationalLawPermitUpdate][2][PermitUpdateNationalLawDetail]",Submission!$O:$O,Submission!$H:$N,""))</f>
        <v>National legislation does not provide for expiry of a permit. A permit shall be surrendered in the case of "an operator who ceases to carry out all of the activities listed iun Schedule I [of Subsidiary Legislation 423.50] in all of the installations covered by a [...] permit".</v>
      </c>
      <c r="H20" s="345"/>
      <c r="I20" s="346"/>
    </row>
    <row r="21" spans="1:9" ht="15.9" customHeight="1" x14ac:dyDescent="0.3">
      <c r="C21" s="320" t="s">
        <v>134</v>
      </c>
      <c r="D21" s="321"/>
      <c r="E21" s="321"/>
      <c r="F21" s="343"/>
      <c r="G21" s="344" t="str">
        <f>_xlfn.CONCAT(_xlfn.XLOOKUP("[S04_NationalLawPermitUpdate][3][PermitUpdateNationalLawDetail]",Submission!$O:$O,Submission!$H:$N,""))</f>
        <v>National legislation provides for updating of a permit in case of "any extension or reduction of the capacity of the installation" without however stipulating minimum or maximum thresholds (Subsidiary Legislation 435.50, Regulation 7).</v>
      </c>
      <c r="H21" s="345"/>
      <c r="I21" s="346"/>
    </row>
    <row r="22" spans="1:9" ht="15.9" customHeight="1" x14ac:dyDescent="0.3">
      <c r="C22" s="320" t="s">
        <v>136</v>
      </c>
      <c r="D22" s="321"/>
      <c r="E22" s="321"/>
      <c r="F22" s="343"/>
      <c r="G22" s="344" t="str">
        <f>_xlfn.CONCAT(_xlfn.XLOOKUP("[S04_NationalLawPermitUpdate][4][PermitUpdateNationalLawDetail]",Submission!$O:$O,Submission!$H:$N,""))</f>
        <v>National legislation provides for updating of a permit in case of "any extension or reduction of the capacity of the installation" without however stipulating minimum or maximum thresholds (Subsidiary Legislation 435.50, Regulation 7).</v>
      </c>
      <c r="H22" s="345"/>
      <c r="I22" s="346"/>
    </row>
    <row r="23" spans="1:9" ht="15.9" customHeight="1" x14ac:dyDescent="0.3">
      <c r="C23" s="320" t="s">
        <v>138</v>
      </c>
      <c r="D23" s="321"/>
      <c r="E23" s="321"/>
      <c r="F23" s="343"/>
      <c r="G23" s="344" t="str">
        <f>_xlfn.CONCAT(_xlfn.XLOOKUP("[S04_NationalLawPermitUpdate][5][PermitUpdateNationalLawDetail]",Submission!$O:$O,Submission!$H:$N,""))</f>
        <v>A permit is not required to be changed as a result of changes to the monitoring plan.</v>
      </c>
      <c r="H23" s="345"/>
      <c r="I23" s="346"/>
    </row>
    <row r="24" spans="1:9" ht="15.9" customHeight="1" x14ac:dyDescent="0.3">
      <c r="C24" s="320" t="s">
        <v>798</v>
      </c>
      <c r="D24" s="321"/>
      <c r="E24" s="321"/>
      <c r="F24" s="343"/>
      <c r="G24" s="344" t="str">
        <f>_xlfn.CONCAT(_xlfn.XLOOKUP("[S04_NationalLawPermitUpdate][6][PermitUpdateNationalLawDetail]",Submission!$O:$O,Submission!$H:$N,""))</f>
        <v>Change in the name of the operator: a permit shall be updated when there is a change in the name of the operator of an installation.</v>
      </c>
      <c r="H24" s="345"/>
      <c r="I24" s="346"/>
    </row>
    <row r="25" spans="1:9" ht="15.9" hidden="1" customHeight="1" outlineLevel="1" x14ac:dyDescent="0.3">
      <c r="C25" s="320" t="s">
        <v>799</v>
      </c>
      <c r="D25" s="321"/>
      <c r="E25" s="321"/>
      <c r="F25" s="343"/>
      <c r="G25" s="344" t="str">
        <f>_xlfn.CONCAT(_xlfn.XLOOKUP("[S04_NationalLawPermitUpdate][7][PermitUpdateNationalLawDetail]",Submission!$O:$O,Submission!$H:$N,""))</f>
        <v>Transfer of a permit: a transfer of a permit requires updating of that permit, when a permit is transferred in whole. When a permit is transferred in part, the existing permit shall be updated accordingly, while a new permit is issued to the transferee.</v>
      </c>
      <c r="H25" s="345"/>
      <c r="I25" s="346"/>
    </row>
    <row r="26" spans="1:9" ht="15.9" hidden="1" customHeight="1" outlineLevel="1" x14ac:dyDescent="0.3">
      <c r="C26" s="320" t="s">
        <v>800</v>
      </c>
      <c r="D26" s="321"/>
      <c r="E26" s="321"/>
      <c r="F26" s="343"/>
      <c r="G26" s="344" t="str">
        <f>_xlfn.CONCAT(_xlfn.XLOOKUP("[S04_NationalLawPermitUpdate][8][PermitUpdateNationalLawDetail]",Submission!$O:$O,Submission!$H:$N,""))</f>
        <v/>
      </c>
      <c r="H26" s="345"/>
      <c r="I26" s="346"/>
    </row>
    <row r="27" spans="1:9" ht="15.9" hidden="1" customHeight="1" outlineLevel="1" x14ac:dyDescent="0.3">
      <c r="C27" s="320" t="s">
        <v>801</v>
      </c>
      <c r="D27" s="321"/>
      <c r="E27" s="321"/>
      <c r="F27" s="343"/>
      <c r="G27" s="344" t="str">
        <f>_xlfn.CONCAT(_xlfn.XLOOKUP("[S04_NationalLawPermitUpdate][9][PermitUpdateNationalLawDetail]",Submission!$O:$O,Submission!$H:$N,""))</f>
        <v/>
      </c>
      <c r="H27" s="345"/>
      <c r="I27" s="346"/>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1" t="s">
        <v>803</v>
      </c>
      <c r="C30" s="272"/>
      <c r="D30" s="272"/>
      <c r="E30" s="272"/>
      <c r="F30" s="272"/>
      <c r="G30" s="272"/>
      <c r="H30" s="272"/>
      <c r="I30" s="272"/>
    </row>
    <row r="31" spans="1:9" ht="15.9" customHeight="1" x14ac:dyDescent="0.3">
      <c r="B31" s="11"/>
      <c r="C31" s="303" t="s">
        <v>804</v>
      </c>
      <c r="D31" s="330"/>
      <c r="E31" s="330"/>
      <c r="F31" s="330"/>
      <c r="G31" s="309"/>
      <c r="H31" s="341" t="str">
        <f>_xlfn.CONCAT(_xlfn.XLOOKUP("[PermitUpdateTotalNumber][0][PermitUpdateTotalNumber]",Submission!$O:$O,Submission!$H:$N,""))</f>
        <v>1</v>
      </c>
      <c r="I31" s="342"/>
    </row>
  </sheetData>
  <mergeCells count="46">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 ref="H15:I15"/>
    <mergeCell ref="B4:I4"/>
    <mergeCell ref="B3:I3"/>
    <mergeCell ref="H8:I8"/>
    <mergeCell ref="H11:I11"/>
    <mergeCell ref="B5:H5"/>
    <mergeCell ref="H7:I7"/>
    <mergeCell ref="C7:F7"/>
    <mergeCell ref="C8:F8"/>
    <mergeCell ref="C11:F11"/>
    <mergeCell ref="C9:F9"/>
    <mergeCell ref="C10:F10"/>
    <mergeCell ref="H9:I9"/>
    <mergeCell ref="H10:I10"/>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 x14ac:dyDescent="0.35">
      <c r="A3" s="62">
        <v>5</v>
      </c>
      <c r="B3" s="406" t="s">
        <v>805</v>
      </c>
      <c r="C3" s="406"/>
      <c r="D3" s="406"/>
      <c r="E3" s="406"/>
      <c r="F3" s="406"/>
      <c r="G3" s="406"/>
      <c r="H3" s="406"/>
      <c r="I3" s="406"/>
    </row>
    <row r="4" spans="1:9" s="7" customFormat="1" ht="18" x14ac:dyDescent="0.35">
      <c r="A4" s="85" t="s">
        <v>806</v>
      </c>
      <c r="B4" s="325" t="s">
        <v>145</v>
      </c>
      <c r="C4" s="325"/>
      <c r="D4" s="325"/>
      <c r="E4" s="325"/>
      <c r="F4" s="325"/>
      <c r="G4" s="325"/>
      <c r="H4" s="325"/>
      <c r="I4" s="326"/>
    </row>
    <row r="5" spans="1:9" s="7" customFormat="1" ht="15.9" customHeight="1" x14ac:dyDescent="0.3">
      <c r="A5" s="30" t="s">
        <v>146</v>
      </c>
      <c r="B5" s="398" t="s">
        <v>807</v>
      </c>
      <c r="C5" s="399"/>
      <c r="D5" s="399"/>
      <c r="E5" s="399"/>
      <c r="F5" s="399"/>
      <c r="G5" s="399"/>
      <c r="H5" s="399"/>
      <c r="I5" s="399"/>
    </row>
    <row r="6" spans="1:9" s="7" customFormat="1" ht="15.9" customHeight="1" x14ac:dyDescent="0.3">
      <c r="B6" s="400" t="s">
        <v>808</v>
      </c>
      <c r="C6" s="401"/>
      <c r="D6" s="401"/>
      <c r="E6" s="401"/>
      <c r="F6" s="401"/>
      <c r="G6" s="401"/>
      <c r="H6" s="402"/>
      <c r="I6" s="41" t="str">
        <f>_xlfn.CONCAT(_xlfn.XLOOKUP("[AdditionalNationalLegislation][0][AdditionalNationalLegislation]",Submission!$O:$O,Submission!$H:$N,""))</f>
        <v>No</v>
      </c>
    </row>
    <row r="7" spans="1:9" s="7" customFormat="1" ht="17.399999999999999" customHeight="1" x14ac:dyDescent="0.3">
      <c r="B7" s="273" t="s">
        <v>809</v>
      </c>
      <c r="C7" s="258"/>
      <c r="D7" s="258"/>
      <c r="E7" s="258"/>
      <c r="F7" s="258"/>
      <c r="G7" s="258"/>
      <c r="H7" s="258"/>
      <c r="I7" s="258"/>
    </row>
    <row r="8" spans="1:9" s="7" customFormat="1" ht="27" customHeight="1" x14ac:dyDescent="0.3">
      <c r="A8" s="8"/>
      <c r="C8" s="284" t="str">
        <f>_xlfn.CONCAT(_xlfn.XLOOKUP("[AdditionalNationalLegislationDetail][0][AdditionalNationalLegislationDetail]",Submission!$O:$O,Submission!$H:$N,""))</f>
        <v/>
      </c>
      <c r="D8" s="349"/>
      <c r="E8" s="349"/>
      <c r="F8" s="349"/>
      <c r="G8" s="349"/>
      <c r="H8" s="349"/>
      <c r="I8" s="282"/>
    </row>
    <row r="9" spans="1:9" s="7" customFormat="1" ht="14.4" x14ac:dyDescent="0.3">
      <c r="A9" s="8"/>
      <c r="D9" s="31"/>
      <c r="E9" s="31"/>
      <c r="F9" s="31"/>
      <c r="G9" s="31"/>
      <c r="H9" s="31"/>
      <c r="I9" s="31"/>
    </row>
    <row r="10" spans="1:9" s="7" customFormat="1" ht="15.9" customHeight="1" x14ac:dyDescent="0.3">
      <c r="A10" s="30"/>
      <c r="B10" s="400" t="s">
        <v>810</v>
      </c>
      <c r="C10" s="401"/>
      <c r="D10" s="401"/>
      <c r="E10" s="401"/>
      <c r="F10" s="401"/>
      <c r="G10" s="401"/>
      <c r="H10" s="402"/>
      <c r="I10" s="41" t="str">
        <f>_xlfn.CONCAT(_xlfn.XLOOKUP("[AdditionalNationalGuidance][0][AdditionalNationalGuidance]",Submission!$O:$O,Submission!$H:$N,""))</f>
        <v>No</v>
      </c>
    </row>
    <row r="11" spans="1:9" s="7" customFormat="1" ht="17.399999999999999" customHeight="1" x14ac:dyDescent="0.3">
      <c r="A11" s="30"/>
      <c r="B11" s="273" t="s">
        <v>811</v>
      </c>
      <c r="C11" s="258"/>
      <c r="D11" s="258"/>
      <c r="E11" s="258"/>
      <c r="F11" s="258"/>
      <c r="G11" s="258"/>
      <c r="H11" s="258"/>
      <c r="I11" s="258"/>
    </row>
    <row r="12" spans="1:9" s="7" customFormat="1" ht="15" customHeight="1" x14ac:dyDescent="0.3">
      <c r="A12" s="8"/>
      <c r="C12" s="284" t="str">
        <f>_xlfn.CONCAT(_xlfn.XLOOKUP("[AdditionalNationalGuidanceDetail][0][AdditionalNationalGuidanceDetail]",Submission!$O:$O,Submission!$H:$N,""))</f>
        <v/>
      </c>
      <c r="D12" s="349"/>
      <c r="E12" s="349"/>
      <c r="F12" s="349"/>
      <c r="G12" s="349"/>
      <c r="H12" s="349"/>
      <c r="I12" s="282"/>
    </row>
    <row r="13" spans="1:9" ht="18" customHeight="1" x14ac:dyDescent="0.3">
      <c r="A13" s="145" t="s">
        <v>152</v>
      </c>
      <c r="B13" s="377" t="s">
        <v>812</v>
      </c>
      <c r="C13" s="403"/>
      <c r="D13" s="403"/>
      <c r="E13" s="403"/>
      <c r="F13" s="403"/>
      <c r="G13" s="403"/>
      <c r="H13" s="403"/>
      <c r="I13" s="403"/>
    </row>
    <row r="14" spans="1:9" ht="37.200000000000003" customHeight="1" x14ac:dyDescent="0.3">
      <c r="A14" s="12"/>
      <c r="B14" s="271" t="s">
        <v>813</v>
      </c>
      <c r="C14" s="272"/>
      <c r="D14" s="272"/>
      <c r="E14" s="272"/>
      <c r="F14" s="272"/>
      <c r="G14" s="272"/>
      <c r="H14" s="272"/>
      <c r="I14" s="272"/>
    </row>
    <row r="15" spans="1:9" ht="15.9" customHeight="1" x14ac:dyDescent="0.3">
      <c r="A15" s="13"/>
      <c r="C15" s="371" t="s">
        <v>814</v>
      </c>
      <c r="D15" s="371"/>
      <c r="E15" s="371"/>
      <c r="F15" s="371"/>
      <c r="G15" s="42" t="s">
        <v>709</v>
      </c>
      <c r="H15" s="371" t="s">
        <v>710</v>
      </c>
      <c r="I15" s="371"/>
    </row>
    <row r="16" spans="1:9" s="58" customFormat="1" ht="32.4" customHeight="1" x14ac:dyDescent="0.3">
      <c r="C16" s="354" t="s">
        <v>815</v>
      </c>
      <c r="D16" s="354"/>
      <c r="E16" s="354"/>
      <c r="F16" s="354"/>
      <c r="G16" s="47" t="str">
        <f>_xlfn.CONCAT(_xlfn.XLOOKUP("[MeasuresStreamline][1][MeasuresStreamlineYesNo]",Submission!$O:$O,Submission!$H:$N,""))</f>
        <v>Yes</v>
      </c>
      <c r="H16" s="407" t="str">
        <f>_xlfn.CONCAT(_xlfn.XLOOKUP("[MeasuresStreamline][1][MeasuresStreamlineComments]",Submission!$O:$O,Submission!$H:$N,""))</f>
        <v>Activity data and other calculation parameters submitted by operators of installations in their annual emissions reports under the EU ETS is used as activity data for the purposes of the national GHG inventory. It is to note that national GHG inventory data (and thus, by virtue of its use, EU ETS data) is used for the compilation of the national Annual Emissions Accounts (EUROSTAT reporting).</v>
      </c>
      <c r="I16" s="407"/>
    </row>
    <row r="17" spans="1:9" s="58" customFormat="1" ht="32.4" customHeight="1" x14ac:dyDescent="0.3">
      <c r="C17" s="354" t="s">
        <v>816</v>
      </c>
      <c r="D17" s="354"/>
      <c r="E17" s="354"/>
      <c r="F17" s="354"/>
      <c r="G17" s="47" t="str">
        <f>_xlfn.CONCAT(_xlfn.XLOOKUP("[MeasuresStreamline][2][MeasuresStreamlineYesNo]",Submission!$O:$O,Submission!$H:$N,""))</f>
        <v>Yes</v>
      </c>
      <c r="H17" s="407" t="str">
        <f>_xlfn.CONCAT(_xlfn.XLOOKUP("[MeasuresStreamline][2][MeasuresStreamlineComments]",Submission!$O:$O,Submission!$H:$N,""))</f>
        <v xml:space="preserve">The national GHG inventory agency (which is the same organization responsible for the EU ETS) compares ETS data with national energy data for the purposes of the GHG inventory. </v>
      </c>
      <c r="I17" s="407"/>
    </row>
    <row r="18" spans="1:9" s="58" customFormat="1" ht="32.4" customHeight="1" x14ac:dyDescent="0.3">
      <c r="C18" s="354" t="s">
        <v>817</v>
      </c>
      <c r="D18" s="354"/>
      <c r="E18" s="354"/>
      <c r="F18" s="354"/>
      <c r="G18" s="47" t="str">
        <f>_xlfn.CONCAT(_xlfn.XLOOKUP("[MeasuresStreamline][3][MeasuresStreamlineYesNo]",Submission!$O:$O,Submission!$H:$N,""))</f>
        <v>No</v>
      </c>
      <c r="H18" s="407" t="str">
        <f>_xlfn.CONCAT(_xlfn.XLOOKUP("[MeasuresStreamline][3][MeasuresStreamlineComments]",Submission!$O:$O,Submission!$H:$N,""))</f>
        <v/>
      </c>
      <c r="I18" s="407"/>
    </row>
    <row r="19" spans="1:9" s="58" customFormat="1" ht="32.4" customHeight="1" x14ac:dyDescent="0.3">
      <c r="C19" s="354" t="s">
        <v>818</v>
      </c>
      <c r="D19" s="354"/>
      <c r="E19" s="354"/>
      <c r="F19" s="354"/>
      <c r="G19" s="47" t="str">
        <f>_xlfn.CONCAT(_xlfn.XLOOKUP("[MeasuresStreamline][4][MeasuresStreamlineYesNo]",Submission!$O:$O,Submission!$H:$N,""))</f>
        <v>Yes</v>
      </c>
      <c r="H19" s="407" t="str">
        <f>_xlfn.CONCAT(_xlfn.XLOOKUP("[MeasuresStreamline][4][MeasuresStreamlineComments]",Submission!$O:$O,Submission!$H:$N,""))</f>
        <v>Activity data and other calculation parameters submitted by operators of installations in their annual emissions reports under the EU ETS is used as activity data for the purposes of the national GHG inventory.</v>
      </c>
      <c r="I19" s="407"/>
    </row>
    <row r="20" spans="1:9" s="58" customFormat="1" ht="32.4" customHeight="1" x14ac:dyDescent="0.3">
      <c r="C20" s="354" t="s">
        <v>819</v>
      </c>
      <c r="D20" s="354"/>
      <c r="E20" s="354"/>
      <c r="F20" s="354"/>
      <c r="G20" s="47" t="str">
        <f>_xlfn.CONCAT(_xlfn.XLOOKUP("[MeasuresStreamline][5][MeasuresStreamlineYesNo]",Submission!$O:$O,Submission!$H:$N,""))</f>
        <v>No</v>
      </c>
      <c r="H20" s="407" t="str">
        <f>_xlfn.CONCAT(_xlfn.XLOOKUP("[MeasuresStreamline][5][MeasuresStreamlineComments]",Submission!$O:$O,Submission!$H:$N,""))</f>
        <v/>
      </c>
      <c r="I20" s="407"/>
    </row>
    <row r="21" spans="1:9" s="58" customFormat="1" ht="32.4" customHeight="1" x14ac:dyDescent="0.3">
      <c r="C21" s="354" t="s">
        <v>820</v>
      </c>
      <c r="D21" s="354"/>
      <c r="E21" s="354"/>
      <c r="F21" s="354"/>
      <c r="G21" s="47" t="str">
        <f>_xlfn.CONCAT(_xlfn.XLOOKUP("[MeasuresStreamline][6][MeasuresStreamlineYesNo]",Submission!$O:$O,Submission!$H:$N,""))</f>
        <v>No</v>
      </c>
      <c r="H21" s="407" t="str">
        <f>_xlfn.CONCAT(_xlfn.XLOOKUP("[MeasuresStreamline][6][MeasuresStreamlineComments]",Submission!$O:$O,Submission!$H:$N,""))</f>
        <v/>
      </c>
      <c r="I21" s="407"/>
    </row>
    <row r="22" spans="1:9" s="58" customFormat="1" ht="32.4" customHeight="1" x14ac:dyDescent="0.3">
      <c r="A22" s="75"/>
      <c r="C22" s="246" t="s">
        <v>821</v>
      </c>
      <c r="D22" s="263"/>
      <c r="E22" s="263"/>
      <c r="F22" s="264"/>
      <c r="G22" s="47" t="str">
        <f>_xlfn.CONCAT(_xlfn.XLOOKUP("[MeasuresStreamline][7][MeasuresStreamlineYesNo]",Submission!$O:$O,Submission!$H:$N,""))</f>
        <v>No</v>
      </c>
      <c r="H22" s="407" t="str">
        <f>_xlfn.CONCAT(_xlfn.XLOOKUP("[MeasuresStreamline][7][MeasuresStreamlineComments]",Submission!$O:$O,Submission!$H:$N,""))</f>
        <v/>
      </c>
      <c r="I22" s="407"/>
    </row>
    <row r="23" spans="1:9" ht="15.9" customHeight="1" x14ac:dyDescent="0.3">
      <c r="C23" s="32"/>
      <c r="D23" s="32"/>
      <c r="E23" s="32"/>
      <c r="H23" s="32"/>
      <c r="I23" s="32"/>
    </row>
    <row r="24" spans="1:9" ht="15.6" customHeight="1" x14ac:dyDescent="0.3">
      <c r="A24" s="145" t="s">
        <v>169</v>
      </c>
      <c r="B24" s="377" t="s">
        <v>822</v>
      </c>
      <c r="C24" s="403"/>
      <c r="D24" s="403"/>
      <c r="E24" s="403"/>
      <c r="F24" s="403"/>
      <c r="G24" s="403"/>
      <c r="H24" s="403"/>
      <c r="I24" s="403"/>
    </row>
    <row r="25" spans="1:9" ht="36.6" customHeight="1" x14ac:dyDescent="0.3">
      <c r="A25" s="12"/>
      <c r="B25" s="293" t="s">
        <v>823</v>
      </c>
      <c r="C25" s="294"/>
      <c r="D25" s="294"/>
      <c r="E25" s="294"/>
      <c r="F25" s="294"/>
      <c r="G25" s="294"/>
      <c r="H25" s="295"/>
      <c r="I25" s="47" t="str">
        <f>_xlfn.CONCAT(_xlfn.XLOOKUP("[CommissionTemplatesMRR][0][CommissionTemplatesMRR]",Submission!$O:$O,Submission!$H:$N,""))</f>
        <v>Yes</v>
      </c>
    </row>
    <row r="26" spans="1:9" s="7" customFormat="1" ht="36.6" customHeight="1" x14ac:dyDescent="0.3">
      <c r="A26" s="30"/>
      <c r="B26" s="273" t="s">
        <v>824</v>
      </c>
      <c r="C26" s="258"/>
      <c r="D26" s="258"/>
      <c r="E26" s="258"/>
      <c r="F26" s="258"/>
      <c r="G26" s="258"/>
      <c r="H26" s="258"/>
      <c r="I26" s="258"/>
    </row>
    <row r="27" spans="1:9" ht="28.95" customHeight="1" x14ac:dyDescent="0.3">
      <c r="C27" s="318"/>
      <c r="D27" s="404"/>
      <c r="E27" s="405"/>
      <c r="F27" s="303" t="s">
        <v>825</v>
      </c>
      <c r="G27" s="309"/>
      <c r="H27" s="303" t="s">
        <v>826</v>
      </c>
      <c r="I27" s="309"/>
    </row>
    <row r="28" spans="1:9" ht="15.9" customHeight="1" x14ac:dyDescent="0.3">
      <c r="C28" s="238" t="s">
        <v>827</v>
      </c>
      <c r="D28" s="283"/>
      <c r="E28" s="239"/>
      <c r="F28" s="281" t="str">
        <f>_xlfn.CONCAT(_xlfn.XLOOKUP("[S05_MSCustomisedTemplatesMRR1][1][SpecificTemplateOrFileFormat]",Submission!$O:$O,Submission!$H:$N,""))</f>
        <v/>
      </c>
      <c r="G28" s="347"/>
      <c r="H28" s="397" t="str">
        <f>_xlfn.CONCAT(_xlfn.XLOOKUP("[S05_MSCustomisedTemplatesMRR1][1][HowTemplateSpecific]",Submission!$O:$O,Submission!$H:$N,""))</f>
        <v/>
      </c>
      <c r="I28" s="397"/>
    </row>
    <row r="29" spans="1:9" ht="15.9" customHeight="1" x14ac:dyDescent="0.3">
      <c r="C29" s="238" t="s">
        <v>828</v>
      </c>
      <c r="D29" s="283"/>
      <c r="E29" s="239"/>
      <c r="F29" s="281" t="str">
        <f>_xlfn.CONCAT(_xlfn.XLOOKUP("[S05_MSCustomisedTemplatesMRR1][2][SpecificTemplateOrFileFormat]",Submission!$O:$O,Submission!$H:$N,""))</f>
        <v/>
      </c>
      <c r="G29" s="347"/>
      <c r="H29" s="397" t="str">
        <f>_xlfn.CONCAT(_xlfn.XLOOKUP("[S05_MSCustomisedTemplatesMRR1][2][HowTemplateSpecific]",Submission!$O:$O,Submission!$H:$N,""))</f>
        <v/>
      </c>
      <c r="I29" s="397"/>
    </row>
    <row r="30" spans="1:9" ht="15.9" customHeight="1" x14ac:dyDescent="0.3">
      <c r="C30" s="238" t="s">
        <v>829</v>
      </c>
      <c r="D30" s="283"/>
      <c r="E30" s="239"/>
      <c r="F30" s="281" t="str">
        <f>_xlfn.CONCAT(_xlfn.XLOOKUP("[S05_MSCustomisedTemplatesMRR1][3][SpecificTemplateOrFileFormat]",Submission!$O:$O,Submission!$H:$N,""))</f>
        <v/>
      </c>
      <c r="G30" s="347"/>
      <c r="H30" s="397" t="str">
        <f>_xlfn.CONCAT(_xlfn.XLOOKUP("[S05_MSCustomisedTemplatesMRR1][3][HowTemplateSpecific]",Submission!$O:$O,Submission!$H:$N,""))</f>
        <v/>
      </c>
      <c r="I30" s="397"/>
    </row>
    <row r="31" spans="1:9" ht="15.9" customHeight="1" x14ac:dyDescent="0.3">
      <c r="C31" s="238" t="s">
        <v>830</v>
      </c>
      <c r="D31" s="283"/>
      <c r="E31" s="239"/>
      <c r="F31" s="281" t="str">
        <f>_xlfn.CONCAT(_xlfn.XLOOKUP("[S05_MSCustomisedTemplatesMRR1][4][SpecificTemplateOrFileFormat]",Submission!$O:$O,Submission!$H:$N,""))</f>
        <v/>
      </c>
      <c r="G31" s="347"/>
      <c r="H31" s="397" t="str">
        <f>_xlfn.CONCAT(_xlfn.XLOOKUP("[S05_MSCustomisedTemplatesMRR1][4][HowTemplateSpecific]",Submission!$O:$O,Submission!$H:$N,""))</f>
        <v/>
      </c>
      <c r="I31" s="397"/>
    </row>
    <row r="32" spans="1:9" ht="15.9" customHeight="1" x14ac:dyDescent="0.3">
      <c r="C32" s="292" t="s">
        <v>831</v>
      </c>
      <c r="D32" s="292"/>
      <c r="E32" s="292"/>
      <c r="F32" s="292"/>
      <c r="G32" s="292"/>
      <c r="H32" s="292"/>
      <c r="I32" s="292"/>
    </row>
    <row r="33" spans="1:9" ht="15.9" customHeight="1" x14ac:dyDescent="0.3">
      <c r="B33" s="14"/>
      <c r="C33" s="14"/>
      <c r="D33" s="14"/>
      <c r="E33" s="14"/>
      <c r="F33" s="14"/>
      <c r="G33" s="14"/>
      <c r="H33" s="14"/>
      <c r="I33" s="14"/>
    </row>
    <row r="34" spans="1:9" ht="26.1" customHeight="1" x14ac:dyDescent="0.3">
      <c r="C34" s="318"/>
      <c r="D34" s="404"/>
      <c r="E34" s="405"/>
      <c r="F34" s="303" t="s">
        <v>832</v>
      </c>
      <c r="G34" s="309"/>
      <c r="H34" s="303" t="s">
        <v>826</v>
      </c>
      <c r="I34" s="309"/>
    </row>
    <row r="35" spans="1:9" ht="15.9" customHeight="1" x14ac:dyDescent="0.3">
      <c r="C35" s="238" t="s">
        <v>833</v>
      </c>
      <c r="D35" s="283"/>
      <c r="E35" s="239"/>
      <c r="F35" s="281" t="str">
        <f>_xlfn.CONCAT(_xlfn.XLOOKUP("[S05_MSCustomisedTemplatesMRR2][1][SpecificTemplateOrFileFormat]",Submission!$O:$O,Submission!$H:$N,""))</f>
        <v/>
      </c>
      <c r="G35" s="347"/>
      <c r="H35" s="397" t="str">
        <f>_xlfn.CONCAT(_xlfn.XLOOKUP("[S05_MSCustomisedTemplatesMRR2][1][HowTemplateSpecific]",Submission!$O:$O,Submission!$H:$N,""))</f>
        <v/>
      </c>
      <c r="I35" s="397"/>
    </row>
    <row r="36" spans="1:9" ht="15.9" customHeight="1" x14ac:dyDescent="0.3">
      <c r="C36" s="238" t="s">
        <v>834</v>
      </c>
      <c r="D36" s="283"/>
      <c r="E36" s="239"/>
      <c r="F36" s="281" t="str">
        <f>_xlfn.CONCAT(_xlfn.XLOOKUP("[S05_MSCustomisedTemplatesMRR2][2][SpecificTemplateOrFileFormat]",Submission!$O:$O,Submission!$H:$N,""))</f>
        <v/>
      </c>
      <c r="G36" s="347"/>
      <c r="H36" s="397" t="str">
        <f>_xlfn.CONCAT(_xlfn.XLOOKUP("[S05_MSCustomisedTemplatesMRR2][2][HowTemplateSpecific]",Submission!$O:$O,Submission!$H:$N,""))</f>
        <v/>
      </c>
      <c r="I36" s="397"/>
    </row>
    <row r="37" spans="1:9" ht="15.9" customHeight="1" x14ac:dyDescent="0.3">
      <c r="C37" s="238" t="s">
        <v>835</v>
      </c>
      <c r="D37" s="283"/>
      <c r="E37" s="239"/>
      <c r="F37" s="281" t="str">
        <f>_xlfn.CONCAT(_xlfn.XLOOKUP("[S05_MSCustomisedTemplatesMRR2][3][SpecificTemplateOrFileFormat]",Submission!$O:$O,Submission!$H:$N,""))</f>
        <v/>
      </c>
      <c r="G37" s="347"/>
      <c r="H37" s="397" t="str">
        <f>_xlfn.CONCAT(_xlfn.XLOOKUP("[S05_MSCustomisedTemplatesMRR2][3][HowTemplateSpecific]",Submission!$O:$O,Submission!$H:$N,""))</f>
        <v/>
      </c>
      <c r="I37" s="397"/>
    </row>
    <row r="38" spans="1:9" ht="15.9" customHeight="1" x14ac:dyDescent="0.3">
      <c r="C38" s="238" t="s">
        <v>836</v>
      </c>
      <c r="D38" s="283"/>
      <c r="E38" s="239"/>
      <c r="F38" s="281" t="str">
        <f>_xlfn.CONCAT(_xlfn.XLOOKUP("[S05_MSCustomisedTemplatesMRR2][4][SpecificTemplateOrFileFormat]",Submission!$O:$O,Submission!$H:$N,""))</f>
        <v/>
      </c>
      <c r="G38" s="347"/>
      <c r="H38" s="397" t="str">
        <f>_xlfn.CONCAT(_xlfn.XLOOKUP("[S05_MSCustomisedTemplatesMRR2][4][HowTemplateSpecific]",Submission!$O:$O,Submission!$H:$N,""))</f>
        <v/>
      </c>
      <c r="I38" s="397"/>
    </row>
    <row r="39" spans="1:9" ht="15.9" customHeight="1" x14ac:dyDescent="0.3">
      <c r="C39" s="292" t="s">
        <v>837</v>
      </c>
      <c r="D39" s="292"/>
      <c r="E39" s="292"/>
      <c r="F39" s="292"/>
      <c r="G39" s="292"/>
      <c r="H39" s="292"/>
      <c r="I39" s="292"/>
    </row>
    <row r="40" spans="1:9" s="10" customFormat="1" ht="14.4" x14ac:dyDescent="0.3">
      <c r="A40" s="9"/>
      <c r="C40" s="20"/>
      <c r="D40" s="24"/>
      <c r="E40" s="24"/>
      <c r="F40" s="24"/>
      <c r="G40" s="24"/>
      <c r="H40" s="24"/>
      <c r="I40" s="24"/>
    </row>
    <row r="41" spans="1:9" ht="18" customHeight="1" x14ac:dyDescent="0.3">
      <c r="A41" s="13"/>
      <c r="B41" s="271" t="s">
        <v>838</v>
      </c>
      <c r="C41" s="272"/>
      <c r="D41" s="272"/>
      <c r="E41" s="272"/>
      <c r="F41" s="272"/>
      <c r="G41" s="272"/>
      <c r="H41" s="272"/>
      <c r="I41" s="272"/>
    </row>
    <row r="42" spans="1:9" ht="15.9" customHeight="1" x14ac:dyDescent="0.3">
      <c r="A42" s="13"/>
      <c r="B42" s="7"/>
      <c r="C42" s="284" t="str">
        <f>_xlfn.CONCAT(_xlfn.XLOOKUP("[ComplyMeasuresArt74][0][ComplyMeasuresArt74]",Submission!$O:$O,Submission!$H:$N,""))</f>
        <v>Not applicable.</v>
      </c>
      <c r="D42" s="349"/>
      <c r="E42" s="349"/>
      <c r="F42" s="349"/>
      <c r="G42" s="349"/>
      <c r="H42" s="349"/>
      <c r="I42" s="282"/>
    </row>
    <row r="43" spans="1:9" ht="15.9" customHeight="1" x14ac:dyDescent="0.3">
      <c r="A43" s="13"/>
      <c r="B43" s="7"/>
      <c r="C43" s="31"/>
      <c r="D43" s="31"/>
      <c r="E43" s="31"/>
      <c r="F43" s="31"/>
      <c r="G43" s="31"/>
      <c r="H43" s="31"/>
      <c r="I43" s="31"/>
    </row>
    <row r="44" spans="1:9" ht="15.9" customHeight="1" x14ac:dyDescent="0.25">
      <c r="A44" s="12" t="s">
        <v>176</v>
      </c>
      <c r="B44" s="377" t="s">
        <v>839</v>
      </c>
      <c r="C44" s="403"/>
      <c r="D44" s="403"/>
      <c r="E44" s="403"/>
      <c r="F44" s="403"/>
      <c r="G44" s="403"/>
      <c r="H44" s="403"/>
      <c r="I44" s="403"/>
    </row>
    <row r="45" spans="1:9" s="7" customFormat="1" ht="32.1" customHeight="1" x14ac:dyDescent="0.3">
      <c r="A45" s="30"/>
      <c r="B45" s="293" t="s">
        <v>840</v>
      </c>
      <c r="C45" s="294"/>
      <c r="D45" s="294"/>
      <c r="E45" s="294"/>
      <c r="F45" s="294"/>
      <c r="G45" s="294"/>
      <c r="H45" s="295"/>
      <c r="I45" s="47" t="str">
        <f>_xlfn.CONCAT(_xlfn.XLOOKUP("[AutomatedSystemInformationExchange][0][AutomatedSystemInformationExchange]",Submission!$O:$O,Submission!$H:$N,""))</f>
        <v>No</v>
      </c>
    </row>
    <row r="46" spans="1:9" s="7" customFormat="1" ht="16.95" customHeight="1" x14ac:dyDescent="0.3">
      <c r="A46" s="30"/>
      <c r="B46" s="271" t="s">
        <v>841</v>
      </c>
      <c r="C46" s="272"/>
      <c r="D46" s="272"/>
      <c r="E46" s="272"/>
      <c r="F46" s="272"/>
      <c r="G46" s="272"/>
      <c r="H46" s="272"/>
      <c r="I46" s="272"/>
    </row>
    <row r="47" spans="1:9" s="7" customFormat="1" ht="15" customHeight="1" x14ac:dyDescent="0.3">
      <c r="A47" s="8"/>
      <c r="C47" s="284" t="str">
        <f>_xlfn.CONCAT(_xlfn.XLOOKUP("[ComplyRequirementsArt75][0][ComplyRequirementsArt75]",Submission!$O:$O,Submission!$H:$N,""))</f>
        <v/>
      </c>
      <c r="D47" s="349"/>
      <c r="E47" s="349"/>
      <c r="F47" s="349"/>
      <c r="G47" s="349"/>
      <c r="H47" s="349"/>
      <c r="I47" s="282"/>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25" t="s">
        <v>74</v>
      </c>
      <c r="C50" s="325"/>
      <c r="D50" s="325"/>
      <c r="E50" s="325"/>
      <c r="F50" s="325"/>
      <c r="G50" s="325"/>
      <c r="H50" s="325"/>
      <c r="I50" s="326"/>
    </row>
    <row r="51" spans="1:9" ht="35.4" customHeight="1" x14ac:dyDescent="0.3">
      <c r="A51" s="12" t="s">
        <v>183</v>
      </c>
      <c r="B51" s="328" t="s">
        <v>843</v>
      </c>
      <c r="C51" s="329"/>
      <c r="D51" s="329"/>
      <c r="E51" s="329"/>
      <c r="F51" s="329"/>
      <c r="G51" s="329"/>
      <c r="H51" s="329"/>
      <c r="I51" s="329"/>
    </row>
    <row r="52" spans="1:9" ht="18.75" customHeight="1" x14ac:dyDescent="0.3">
      <c r="C52" s="303" t="s">
        <v>193</v>
      </c>
      <c r="D52" s="330"/>
      <c r="E52" s="309"/>
      <c r="F52" s="303" t="s">
        <v>844</v>
      </c>
      <c r="G52" s="309"/>
      <c r="H52" s="303" t="s">
        <v>845</v>
      </c>
      <c r="I52" s="309"/>
    </row>
    <row r="53" spans="1:9" ht="15.9" customHeight="1" x14ac:dyDescent="0.3">
      <c r="C53" s="238" t="s">
        <v>195</v>
      </c>
      <c r="D53" s="283"/>
      <c r="E53" s="239"/>
      <c r="F53" s="391" t="str">
        <f>_xlfn.CONCAT(_xlfn.XLOOKUP("[S05_InstallationFuelConsEmissions][1][FuelConsumption]",Submission!$O:$O,Submission!$H:$N,""))</f>
        <v/>
      </c>
      <c r="G53" s="392"/>
      <c r="H53" s="393" t="str">
        <f>_xlfn.CONCAT(_xlfn.XLOOKUP("[S05_InstallationFuelConsEmissions][1][FuelAnnualEmissions]",Submission!$O:$O,Submission!$H:$N,""))</f>
        <v/>
      </c>
      <c r="I53" s="394"/>
    </row>
    <row r="54" spans="1:9" ht="15.9" customHeight="1" x14ac:dyDescent="0.3">
      <c r="C54" s="238" t="s">
        <v>197</v>
      </c>
      <c r="D54" s="283"/>
      <c r="E54" s="239"/>
      <c r="F54" s="391" t="str">
        <f>_xlfn.CONCAT(_xlfn.XLOOKUP("[S05_InstallationFuelConsEmissions][2][FuelConsumption]",Submission!$O:$O,Submission!$H:$N,""))</f>
        <v/>
      </c>
      <c r="G54" s="392"/>
      <c r="H54" s="393" t="str">
        <f>_xlfn.CONCAT(_xlfn.XLOOKUP("[S05_InstallationFuelConsEmissions][2][FuelAnnualEmissions]",Submission!$O:$O,Submission!$H:$N,""))</f>
        <v/>
      </c>
      <c r="I54" s="394"/>
    </row>
    <row r="55" spans="1:9" ht="15.9" customHeight="1" x14ac:dyDescent="0.3">
      <c r="C55" s="238" t="s">
        <v>199</v>
      </c>
      <c r="D55" s="283"/>
      <c r="E55" s="239"/>
      <c r="F55" s="391" t="str">
        <f>_xlfn.CONCAT(_xlfn.XLOOKUP("[S05_InstallationFuelConsEmissions][3][FuelConsumption]",Submission!$O:$O,Submission!$H:$N,""))</f>
        <v/>
      </c>
      <c r="G55" s="392"/>
      <c r="H55" s="393" t="str">
        <f>_xlfn.CONCAT(_xlfn.XLOOKUP("[S05_InstallationFuelConsEmissions][3][FuelAnnualEmissions]",Submission!$O:$O,Submission!$H:$N,""))</f>
        <v/>
      </c>
      <c r="I55" s="394"/>
    </row>
    <row r="56" spans="1:9" ht="15.9" customHeight="1" x14ac:dyDescent="0.3">
      <c r="C56" s="238" t="s">
        <v>201</v>
      </c>
      <c r="D56" s="283"/>
      <c r="E56" s="239"/>
      <c r="F56" s="391" t="str">
        <f>_xlfn.CONCAT(_xlfn.XLOOKUP("[S05_InstallationFuelConsEmissions][4][FuelConsumption]",Submission!$O:$O,Submission!$H:$N,""))</f>
        <v/>
      </c>
      <c r="G56" s="392"/>
      <c r="H56" s="393" t="str">
        <f>_xlfn.CONCAT(_xlfn.XLOOKUP("[S05_InstallationFuelConsEmissions][4][FuelAnnualEmissions]",Submission!$O:$O,Submission!$H:$N,""))</f>
        <v/>
      </c>
      <c r="I56" s="394"/>
    </row>
    <row r="57" spans="1:9" ht="15.9" customHeight="1" x14ac:dyDescent="0.3">
      <c r="C57" s="238" t="s">
        <v>846</v>
      </c>
      <c r="D57" s="283"/>
      <c r="E57" s="239"/>
      <c r="F57" s="391" t="str">
        <f>_xlfn.CONCAT(_xlfn.XLOOKUP("[S05_InstallationFuelConsEmissions][5][FuelConsumption]",Submission!$O:$O,Submission!$H:$N,""))</f>
        <v>13957.848</v>
      </c>
      <c r="G57" s="392"/>
      <c r="H57" s="393" t="str">
        <f>_xlfn.CONCAT(_xlfn.XLOOKUP("[S05_InstallationFuelConsEmissions][5][FuelAnnualEmissions]",Submission!$O:$O,Submission!$H:$N,""))</f>
        <v>738579.64</v>
      </c>
      <c r="I57" s="394"/>
    </row>
    <row r="58" spans="1:9" ht="15.9" customHeight="1" x14ac:dyDescent="0.3">
      <c r="C58" s="238" t="s">
        <v>847</v>
      </c>
      <c r="D58" s="283"/>
      <c r="E58" s="239"/>
      <c r="F58" s="391" t="str">
        <f>_xlfn.CONCAT(_xlfn.XLOOKUP("[S05_InstallationFuelConsEmissions][6][FuelConsumption]",Submission!$O:$O,Submission!$H:$N,""))</f>
        <v/>
      </c>
      <c r="G58" s="392"/>
      <c r="H58" s="393" t="str">
        <f>_xlfn.CONCAT(_xlfn.XLOOKUP("[S05_InstallationFuelConsEmissions][6][FuelAnnualEmissions]",Submission!$O:$O,Submission!$H:$N,""))</f>
        <v/>
      </c>
      <c r="I58" s="394"/>
    </row>
    <row r="59" spans="1:9" ht="15.9" customHeight="1" x14ac:dyDescent="0.3">
      <c r="C59" s="238" t="s">
        <v>848</v>
      </c>
      <c r="D59" s="283"/>
      <c r="E59" s="239"/>
      <c r="F59" s="391" t="str">
        <f>_xlfn.CONCAT(_xlfn.XLOOKUP("[S05_InstallationFuelConsEmissions][7][FuelConsumption]",Submission!$O:$O,Submission!$H:$N,""))</f>
        <v/>
      </c>
      <c r="G59" s="392"/>
      <c r="H59" s="393" t="str">
        <f>_xlfn.CONCAT(_xlfn.XLOOKUP("[S05_InstallationFuelConsEmissions][7][FuelAnnualEmissions]",Submission!$O:$O,Submission!$H:$N,""))</f>
        <v/>
      </c>
      <c r="I59" s="394"/>
    </row>
    <row r="60" spans="1:9" ht="15.9" customHeight="1" x14ac:dyDescent="0.3">
      <c r="C60" s="238" t="s">
        <v>207</v>
      </c>
      <c r="D60" s="283"/>
      <c r="E60" s="239"/>
      <c r="F60" s="391" t="str">
        <f>_xlfn.CONCAT(_xlfn.XLOOKUP("[S05_InstallationFuelConsEmissions][8][FuelConsumption]",Submission!$O:$O,Submission!$H:$N,""))</f>
        <v/>
      </c>
      <c r="G60" s="392"/>
      <c r="H60" s="393" t="str">
        <f>_xlfn.CONCAT(_xlfn.XLOOKUP("[S05_InstallationFuelConsEmissions][8][FuelAnnualEmissions]",Submission!$O:$O,Submission!$H:$N,""))</f>
        <v/>
      </c>
      <c r="I60" s="394"/>
    </row>
    <row r="61" spans="1:9" ht="15.9" customHeight="1" x14ac:dyDescent="0.3">
      <c r="C61" s="238" t="s">
        <v>849</v>
      </c>
      <c r="D61" s="283"/>
      <c r="E61" s="239"/>
      <c r="F61" s="391" t="str">
        <f>_xlfn.CONCAT(_xlfn.XLOOKUP("[S05_InstallationFuelConsEmissions][9][FuelConsumption]",Submission!$O:$O,Submission!$H:$N,""))</f>
        <v/>
      </c>
      <c r="G61" s="392"/>
      <c r="H61" s="393" t="str">
        <f>_xlfn.CONCAT(_xlfn.XLOOKUP("[S05_InstallationFuelConsEmissions][9][FuelAnnualEmissions]",Submission!$O:$O,Submission!$H:$N,""))</f>
        <v/>
      </c>
      <c r="I61" s="394"/>
    </row>
    <row r="62" spans="1:9" ht="15.9" customHeight="1" x14ac:dyDescent="0.3">
      <c r="C62" s="238" t="s">
        <v>211</v>
      </c>
      <c r="D62" s="283"/>
      <c r="E62" s="239"/>
      <c r="F62" s="391" t="str">
        <f>_xlfn.CONCAT(_xlfn.XLOOKUP("[S05_InstallationFuelConsEmissions][10][FuelConsumption]",Submission!$O:$O,Submission!$H:$N,""))</f>
        <v/>
      </c>
      <c r="G62" s="392"/>
      <c r="H62" s="393" t="str">
        <f>_xlfn.CONCAT(_xlfn.XLOOKUP("[S05_InstallationFuelConsEmissions][10][FuelAnnualEmissions]",Submission!$O:$O,Submission!$H:$N,""))</f>
        <v/>
      </c>
      <c r="I62" s="394"/>
    </row>
    <row r="63" spans="1:9" ht="15.9" customHeight="1" x14ac:dyDescent="0.3">
      <c r="C63" s="238" t="s">
        <v>212</v>
      </c>
      <c r="D63" s="283"/>
      <c r="E63" s="239"/>
      <c r="F63" s="391" t="str">
        <f>_xlfn.CONCAT(_xlfn.XLOOKUP("[S05_InstallationFuelConsEmissions][11][FuelConsumption]",Submission!$O:$O,Submission!$H:$N,""))</f>
        <v/>
      </c>
      <c r="G63" s="392"/>
      <c r="H63" s="393" t="str">
        <f>_xlfn.CONCAT(_xlfn.XLOOKUP("[S05_InstallationFuelConsEmissions][11][FuelAnnualEmissions]",Submission!$O:$O,Submission!$H:$N,""))</f>
        <v/>
      </c>
      <c r="I63" s="394"/>
    </row>
    <row r="64" spans="1:9" ht="15.9" customHeight="1" x14ac:dyDescent="0.3">
      <c r="C64" s="238" t="s">
        <v>850</v>
      </c>
      <c r="D64" s="283"/>
      <c r="E64" s="239"/>
      <c r="F64" s="391" t="str">
        <f>_xlfn.CONCAT(_xlfn.XLOOKUP("[S05_InstallationFuelConsEmissions][12][FuelConsumption]",Submission!$O:$O,Submission!$H:$N,""))</f>
        <v>448.948</v>
      </c>
      <c r="G64" s="392"/>
      <c r="H64" s="393" t="str">
        <f>_xlfn.CONCAT(_xlfn.XLOOKUP("[S05_InstallationFuelConsEmissions][12][FuelAnnualEmissions]",Submission!$O:$O,Submission!$H:$N,""))</f>
        <v>33051.77</v>
      </c>
      <c r="I64" s="394"/>
    </row>
    <row r="65" spans="1:14" s="10" customFormat="1" ht="15" customHeight="1" x14ac:dyDescent="0.3">
      <c r="A65" s="9"/>
      <c r="C65" s="395" t="s">
        <v>851</v>
      </c>
      <c r="D65" s="396"/>
      <c r="E65" s="396"/>
      <c r="F65" s="396"/>
      <c r="G65" s="396"/>
      <c r="H65" s="396"/>
      <c r="I65" s="396"/>
      <c r="K65" s="13"/>
      <c r="L65" s="13"/>
      <c r="M65" s="13"/>
      <c r="N65" s="13"/>
    </row>
    <row r="66" spans="1:14" ht="15.9" customHeight="1" x14ac:dyDescent="0.3"/>
    <row r="67" spans="1:14" ht="34.200000000000003" customHeight="1" x14ac:dyDescent="0.3">
      <c r="A67" s="12" t="s">
        <v>215</v>
      </c>
      <c r="B67" s="273" t="s">
        <v>852</v>
      </c>
      <c r="C67" s="258"/>
      <c r="D67" s="258"/>
      <c r="E67" s="258"/>
      <c r="F67" s="258"/>
      <c r="G67" s="258"/>
      <c r="H67" s="258"/>
      <c r="I67" s="258"/>
    </row>
    <row r="68" spans="1:14" ht="28.8" x14ac:dyDescent="0.3">
      <c r="C68" s="303" t="s">
        <v>853</v>
      </c>
      <c r="D68" s="309"/>
      <c r="E68" s="303" t="s">
        <v>854</v>
      </c>
      <c r="F68" s="309"/>
      <c r="G68" s="42" t="s">
        <v>855</v>
      </c>
      <c r="H68" s="49" t="s">
        <v>856</v>
      </c>
      <c r="I68" s="50" t="s">
        <v>857</v>
      </c>
    </row>
    <row r="69" spans="1:14" ht="16.2" customHeight="1" x14ac:dyDescent="0.3">
      <c r="C69" s="387" t="str">
        <f>_xlfn.CONCAT(_xlfn.XLOOKUP("[S05_AggregateTotalEmissionsByCRF][1][CRFCategory1]",Submission!$O:$O,Submission!$H:$N,""))</f>
        <v>1A1a - Energy - Public Electricity and Heat Production</v>
      </c>
      <c r="D69" s="388"/>
      <c r="E69" s="387" t="str">
        <f>_xlfn.CONCAT(_xlfn.XLOOKUP("[S05_AggregateTotalEmissionsByCRF][1][CRFCategory2]",Submission!$O:$O,Submission!$H:$N,""))</f>
        <v/>
      </c>
      <c r="F69" s="388"/>
      <c r="G69" s="126" t="str">
        <f>_xlfn.CONCAT(_xlfn.XLOOKUP("[S05_AggregateTotalEmissionsByCRF][1][TotalEmissionsTCo2e]",Submission!$O:$O,Submission!$H:$N,""))</f>
        <v>772036.92</v>
      </c>
      <c r="H69" s="126" t="str">
        <f>_xlfn.CONCAT(_xlfn.XLOOKUP("[S05_AggregateTotalEmissionsByCRF][1][TotalCombustionEmissionsTCo2e]",Submission!$O:$O,Submission!$H:$N,""))</f>
        <v>771631.41</v>
      </c>
      <c r="I69" s="126" t="str">
        <f>_xlfn.CONCAT(_xlfn.XLOOKUP("[S05_AggregateTotalEmissionsByCRF][1][TotalProcessEmissionsTCo2e]",Submission!$O:$O,Submission!$H:$N,""))</f>
        <v>405.51</v>
      </c>
    </row>
    <row r="70" spans="1:14" ht="16.2" customHeight="1" x14ac:dyDescent="0.3">
      <c r="C70" s="387" t="str">
        <f>_xlfn.CONCAT(_xlfn.XLOOKUP("[S05_AggregateTotalEmissionsByCRF][2][CRFCategory1]",Submission!$O:$O,Submission!$H:$N,""))</f>
        <v/>
      </c>
      <c r="D70" s="388"/>
      <c r="E70" s="389" t="str">
        <f>_xlfn.CONCAT(_xlfn.XLOOKUP("[S05_AggregateTotalEmissionsByCRF][2][CRFCategory2]",Submission!$O:$O,Submission!$H:$N,""))</f>
        <v/>
      </c>
      <c r="F70" s="390"/>
      <c r="G70" s="126" t="str">
        <f>_xlfn.CONCAT(_xlfn.XLOOKUP("[S05_AggregateTotalEmissionsByCRF][2][TotalEmissionsTCo2e]",Submission!$O:$O,Submission!$H:$N,""))</f>
        <v/>
      </c>
      <c r="H70" s="126" t="str">
        <f>_xlfn.CONCAT(_xlfn.XLOOKUP("[S05_AggregateTotalEmissionsByCRF][2][TotalCombustionEmissionsTCo2e]",Submission!$O:$O,Submission!$H:$N,""))</f>
        <v/>
      </c>
      <c r="I70" s="126" t="str">
        <f>_xlfn.CONCAT(_xlfn.XLOOKUP("[S05_AggregateTotalEmissionsByCRF][2][TotalProcessEmissionsTCo2e]",Submission!$O:$O,Submission!$H:$N,""))</f>
        <v/>
      </c>
    </row>
    <row r="71" spans="1:14" ht="16.2" customHeight="1" x14ac:dyDescent="0.3">
      <c r="C71" s="387" t="str">
        <f>_xlfn.CONCAT(_xlfn.XLOOKUP("[S05_AggregateTotalEmissionsByCRF][3][CRFCategory1]",Submission!$O:$O,Submission!$H:$N,""))</f>
        <v/>
      </c>
      <c r="D71" s="388"/>
      <c r="E71" s="389" t="str">
        <f>_xlfn.CONCAT(_xlfn.XLOOKUP("[S05_AggregateTotalEmissionsByCRF][3][CRFCategory2]",Submission!$O:$O,Submission!$H:$N,""))</f>
        <v/>
      </c>
      <c r="F71" s="390"/>
      <c r="G71" s="126" t="str">
        <f>_xlfn.CONCAT(_xlfn.XLOOKUP("[S05_AggregateTotalEmissionsByCRF][3][TotalEmissionsTCo2e]",Submission!$O:$O,Submission!$H:$N,""))</f>
        <v/>
      </c>
      <c r="H71" s="126" t="str">
        <f>_xlfn.CONCAT(_xlfn.XLOOKUP("[S05_AggregateTotalEmissionsByCRF][3][TotalCombustionEmissionsTCo2e]",Submission!$O:$O,Submission!$H:$N,""))</f>
        <v/>
      </c>
      <c r="I71" s="126" t="str">
        <f>_xlfn.CONCAT(_xlfn.XLOOKUP("[S05_AggregateTotalEmissionsByCRF][3][TotalProcessEmissionsTCo2e]",Submission!$O:$O,Submission!$H:$N,""))</f>
        <v/>
      </c>
    </row>
    <row r="72" spans="1:14" ht="16.2" customHeight="1" x14ac:dyDescent="0.3">
      <c r="C72" s="387" t="str">
        <f>_xlfn.CONCAT(_xlfn.XLOOKUP("[S05_AggregateTotalEmissionsByCRF][4][CRFCategory1]",Submission!$O:$O,Submission!$H:$N,""))</f>
        <v/>
      </c>
      <c r="D72" s="388"/>
      <c r="E72" s="389" t="str">
        <f>_xlfn.CONCAT(_xlfn.XLOOKUP("[S05_AggregateTotalEmissionsByCRF][4][CRFCategory2]",Submission!$O:$O,Submission!$H:$N,""))</f>
        <v/>
      </c>
      <c r="F72" s="390"/>
      <c r="G72" s="126" t="str">
        <f>_xlfn.CONCAT(_xlfn.XLOOKUP("[S05_AggregateTotalEmissionsByCRF][4][TotalEmissionsTCo2e]",Submission!$O:$O,Submission!$H:$N,""))</f>
        <v/>
      </c>
      <c r="H72" s="126" t="str">
        <f>_xlfn.CONCAT(_xlfn.XLOOKUP("[S05_AggregateTotalEmissionsByCRF][4][TotalCombustionEmissionsTCo2e]",Submission!$O:$O,Submission!$H:$N,""))</f>
        <v/>
      </c>
      <c r="I72" s="126" t="str">
        <f>_xlfn.CONCAT(_xlfn.XLOOKUP("[S05_AggregateTotalEmissionsByCRF][4][TotalProcessEmissionsTCo2e]",Submission!$O:$O,Submission!$H:$N,""))</f>
        <v/>
      </c>
    </row>
    <row r="73" spans="1:14" ht="16.2" customHeight="1" x14ac:dyDescent="0.3">
      <c r="C73" s="387" t="str">
        <f>_xlfn.CONCAT(_xlfn.XLOOKUP("[S05_AggregateTotalEmissionsByCRF][5][CRFCategory1]",Submission!$O:$O,Submission!$H:$N,""))</f>
        <v/>
      </c>
      <c r="D73" s="388"/>
      <c r="E73" s="389" t="str">
        <f>_xlfn.CONCAT(_xlfn.XLOOKUP("[S05_AggregateTotalEmissionsByCRF][5][CRFCategory2]",Submission!$O:$O,Submission!$H:$N,""))</f>
        <v/>
      </c>
      <c r="F73" s="390"/>
      <c r="G73" s="126" t="str">
        <f>_xlfn.CONCAT(_xlfn.XLOOKUP("[S05_AggregateTotalEmissionsByCRF][5][TotalEmissionsTCo2e]",Submission!$O:$O,Submission!$H:$N,""))</f>
        <v/>
      </c>
      <c r="H73" s="126" t="str">
        <f>_xlfn.CONCAT(_xlfn.XLOOKUP("[S05_AggregateTotalEmissionsByCRF][5][TotalCombustionEmissionsTCo2e]",Submission!$O:$O,Submission!$H:$N,""))</f>
        <v/>
      </c>
      <c r="I73" s="126" t="str">
        <f>_xlfn.CONCAT(_xlfn.XLOOKUP("[S05_AggregateTotalEmissionsByCRF][5][TotalProcessEmissionsTCo2e]",Submission!$O:$O,Submission!$H:$N,""))</f>
        <v/>
      </c>
    </row>
    <row r="74" spans="1:14" ht="16.2" customHeight="1" x14ac:dyDescent="0.3">
      <c r="C74" s="387" t="str">
        <f>_xlfn.CONCAT(_xlfn.XLOOKUP("[S05_AggregateTotalEmissionsByCRF][6][CRFCategory1]",Submission!$O:$O,Submission!$H:$N,""))</f>
        <v/>
      </c>
      <c r="D74" s="388"/>
      <c r="E74" s="389" t="str">
        <f>_xlfn.CONCAT(_xlfn.XLOOKUP("[S05_AggregateTotalEmissionsByCRF][6][CRFCategory2]",Submission!$O:$O,Submission!$H:$N,""))</f>
        <v/>
      </c>
      <c r="F74" s="390"/>
      <c r="G74" s="126" t="str">
        <f>_xlfn.CONCAT(_xlfn.XLOOKUP("[S05_AggregateTotalEmissionsByCRF][6][TotalEmissionsTCo2e]",Submission!$O:$O,Submission!$H:$N,""))</f>
        <v/>
      </c>
      <c r="H74" s="126" t="str">
        <f>_xlfn.CONCAT(_xlfn.XLOOKUP("[S05_AggregateTotalEmissionsByCRF][6][TotalCombustionEmissionsTCo2e]",Submission!$O:$O,Submission!$H:$N,""))</f>
        <v/>
      </c>
      <c r="I74" s="126" t="str">
        <f>_xlfn.CONCAT(_xlfn.XLOOKUP("[S05_AggregateTotalEmissionsByCRF][6][TotalProcessEmissionsTCo2e]",Submission!$O:$O,Submission!$H:$N,""))</f>
        <v/>
      </c>
    </row>
    <row r="75" spans="1:14" ht="16.2" customHeight="1" x14ac:dyDescent="0.3">
      <c r="C75" s="387" t="str">
        <f>_xlfn.CONCAT(_xlfn.XLOOKUP("[S05_AggregateTotalEmissionsByCRF][7][CRFCategory1]",Submission!$O:$O,Submission!$H:$N,""))</f>
        <v/>
      </c>
      <c r="D75" s="388"/>
      <c r="E75" s="389" t="str">
        <f>_xlfn.CONCAT(_xlfn.XLOOKUP("[S05_AggregateTotalEmissionsByCRF][7][CRFCategory2]",Submission!$O:$O,Submission!$H:$N,""))</f>
        <v/>
      </c>
      <c r="F75" s="390"/>
      <c r="G75" s="126" t="str">
        <f>_xlfn.CONCAT(_xlfn.XLOOKUP("[S05_AggregateTotalEmissionsByCRF][7][TotalEmissionsTCo2e]",Submission!$O:$O,Submission!$H:$N,""))</f>
        <v/>
      </c>
      <c r="H75" s="126" t="str">
        <f>_xlfn.CONCAT(_xlfn.XLOOKUP("[S05_AggregateTotalEmissionsByCRF][7][TotalCombustionEmissionsTCo2e]",Submission!$O:$O,Submission!$H:$N,""))</f>
        <v/>
      </c>
      <c r="I75" s="126" t="str">
        <f>_xlfn.CONCAT(_xlfn.XLOOKUP("[S05_AggregateTotalEmissionsByCRF][7][TotalProcessEmissionsTCo2e]",Submission!$O:$O,Submission!$H:$N,""))</f>
        <v/>
      </c>
    </row>
    <row r="76" spans="1:14" ht="16.2" customHeight="1" x14ac:dyDescent="0.3">
      <c r="C76" s="387" t="str">
        <f>_xlfn.CONCAT(_xlfn.XLOOKUP("[S05_AggregateTotalEmissionsByCRF][8][CRFCategory1]",Submission!$O:$O,Submission!$H:$N,""))</f>
        <v/>
      </c>
      <c r="D76" s="388"/>
      <c r="E76" s="389" t="str">
        <f>_xlfn.CONCAT(_xlfn.XLOOKUP("[S05_AggregateTotalEmissionsByCRF][8][CRFCategory2]",Submission!$O:$O,Submission!$H:$N,""))</f>
        <v/>
      </c>
      <c r="F76" s="390"/>
      <c r="G76" s="126" t="str">
        <f>_xlfn.CONCAT(_xlfn.XLOOKUP("[S05_AggregateTotalEmissionsByCRF][8][TotalEmissionsTCo2e]",Submission!$O:$O,Submission!$H:$N,""))</f>
        <v/>
      </c>
      <c r="H76" s="126" t="str">
        <f>_xlfn.CONCAT(_xlfn.XLOOKUP("[S05_AggregateTotalEmissionsByCRF][8][TotalCombustionEmissionsTCo2e]",Submission!$O:$O,Submission!$H:$N,""))</f>
        <v/>
      </c>
      <c r="I76" s="126" t="str">
        <f>_xlfn.CONCAT(_xlfn.XLOOKUP("[S05_AggregateTotalEmissionsByCRF][8][TotalProcessEmissionsTCo2e]",Submission!$O:$O,Submission!$H:$N,""))</f>
        <v/>
      </c>
    </row>
    <row r="77" spans="1:14" ht="16.2" customHeight="1" x14ac:dyDescent="0.3">
      <c r="C77" s="387" t="str">
        <f>_xlfn.CONCAT(_xlfn.XLOOKUP("[S05_AggregateTotalEmissionsByCRF][9][CRFCategory1]",Submission!$O:$O,Submission!$H:$N,""))</f>
        <v/>
      </c>
      <c r="D77" s="388"/>
      <c r="E77" s="389" t="str">
        <f>_xlfn.CONCAT(_xlfn.XLOOKUP("[S05_AggregateTotalEmissionsByCRF][9][CRFCategory2]",Submission!$O:$O,Submission!$H:$N,""))</f>
        <v/>
      </c>
      <c r="F77" s="390"/>
      <c r="G77" s="126" t="str">
        <f>_xlfn.CONCAT(_xlfn.XLOOKUP("[S05_AggregateTotalEmissionsByCRF][9][TotalEmissionsTCo2e]",Submission!$O:$O,Submission!$H:$N,""))</f>
        <v/>
      </c>
      <c r="H77" s="126" t="str">
        <f>_xlfn.CONCAT(_xlfn.XLOOKUP("[S05_AggregateTotalEmissionsByCRF][9][TotalCombustionEmissionsTCo2e]",Submission!$O:$O,Submission!$H:$N,""))</f>
        <v/>
      </c>
      <c r="I77" s="126" t="str">
        <f>_xlfn.CONCAT(_xlfn.XLOOKUP("[S05_AggregateTotalEmissionsByCRF][9][TotalProcessEmissionsTCo2e]",Submission!$O:$O,Submission!$H:$N,""))</f>
        <v/>
      </c>
    </row>
    <row r="78" spans="1:14" ht="16.2" customHeight="1" x14ac:dyDescent="0.3">
      <c r="C78" s="387" t="str">
        <f>_xlfn.CONCAT(_xlfn.XLOOKUP("[S05_AggregateTotalEmissionsByCRF][10][CRFCategory1]",Submission!$O:$O,Submission!$H:$N,""))</f>
        <v/>
      </c>
      <c r="D78" s="388"/>
      <c r="E78" s="389" t="str">
        <f>_xlfn.CONCAT(_xlfn.XLOOKUP("[S05_AggregateTotalEmissionsByCRF][10][CRFCategory2]",Submission!$O:$O,Submission!$H:$N,""))</f>
        <v/>
      </c>
      <c r="F78" s="390"/>
      <c r="G78" s="126" t="str">
        <f>_xlfn.CONCAT(_xlfn.XLOOKUP("[S05_AggregateTotalEmissionsByCRF][10][TotalEmissionsTCo2e]",Submission!$O:$O,Submission!$H:$N,""))</f>
        <v/>
      </c>
      <c r="H78" s="126" t="str">
        <f>_xlfn.CONCAT(_xlfn.XLOOKUP("[S05_AggregateTotalEmissionsByCRF][10][TotalCombustionEmissionsTCo2e]",Submission!$O:$O,Submission!$H:$N,""))</f>
        <v/>
      </c>
      <c r="I78" s="126" t="str">
        <f>_xlfn.CONCAT(_xlfn.XLOOKUP("[S05_AggregateTotalEmissionsByCRF][10][TotalProcessEmissionsTCo2e]",Submission!$O:$O,Submission!$H:$N,""))</f>
        <v/>
      </c>
    </row>
    <row r="79" spans="1:14" ht="16.2" customHeight="1" x14ac:dyDescent="0.3">
      <c r="C79" s="387" t="str">
        <f>_xlfn.CONCAT(_xlfn.XLOOKUP("[S05_AggregateTotalEmissionsByCRF][11][CRFCategory1]",Submission!$O:$O,Submission!$H:$N,""))</f>
        <v/>
      </c>
      <c r="D79" s="388"/>
      <c r="E79" s="389" t="str">
        <f>_xlfn.CONCAT(_xlfn.XLOOKUP("[S05_AggregateTotalEmissionsByCRF][11][CRFCategory2]",Submission!$O:$O,Submission!$H:$N,""))</f>
        <v/>
      </c>
      <c r="F79" s="390"/>
      <c r="G79" s="126" t="str">
        <f>_xlfn.CONCAT(_xlfn.XLOOKUP("[S05_AggregateTotalEmissionsByCRF][11][TotalEmissionsTCo2e]",Submission!$O:$O,Submission!$H:$N,""))</f>
        <v/>
      </c>
      <c r="H79" s="126" t="str">
        <f>_xlfn.CONCAT(_xlfn.XLOOKUP("[S05_AggregateTotalEmissionsByCRF][11][TotalCombustionEmissionsTCo2e]",Submission!$O:$O,Submission!$H:$N,""))</f>
        <v/>
      </c>
      <c r="I79" s="126" t="str">
        <f>_xlfn.CONCAT(_xlfn.XLOOKUP("[S05_AggregateTotalEmissionsByCRF][11][TotalProcessEmissionsTCo2e]",Submission!$O:$O,Submission!$H:$N,""))</f>
        <v/>
      </c>
    </row>
    <row r="80" spans="1:14" ht="16.2" customHeight="1" x14ac:dyDescent="0.3">
      <c r="C80" s="387" t="str">
        <f>_xlfn.CONCAT(_xlfn.XLOOKUP("[S05_AggregateTotalEmissionsByCRF][12][CRFCategory1]",Submission!$O:$O,Submission!$H:$N,""))</f>
        <v/>
      </c>
      <c r="D80" s="388"/>
      <c r="E80" s="389" t="str">
        <f>_xlfn.CONCAT(_xlfn.XLOOKUP("[S05_AggregateTotalEmissionsByCRF][12][CRFCategory2]",Submission!$O:$O,Submission!$H:$N,""))</f>
        <v/>
      </c>
      <c r="F80" s="390"/>
      <c r="G80" s="126" t="str">
        <f>_xlfn.CONCAT(_xlfn.XLOOKUP("[S05_AggregateTotalEmissionsByCRF][12][TotalEmissionsTCo2e]",Submission!$O:$O,Submission!$H:$N,""))</f>
        <v/>
      </c>
      <c r="H80" s="126" t="str">
        <f>_xlfn.CONCAT(_xlfn.XLOOKUP("[S05_AggregateTotalEmissionsByCRF][12][TotalCombustionEmissionsTCo2e]",Submission!$O:$O,Submission!$H:$N,""))</f>
        <v/>
      </c>
      <c r="I80" s="126" t="str">
        <f>_xlfn.CONCAT(_xlfn.XLOOKUP("[S05_AggregateTotalEmissionsByCRF][12][TotalProcessEmissionsTCo2e]",Submission!$O:$O,Submission!$H:$N,""))</f>
        <v/>
      </c>
    </row>
    <row r="81" spans="3:9" ht="16.2" customHeight="1" x14ac:dyDescent="0.3">
      <c r="C81" s="387" t="str">
        <f>_xlfn.CONCAT(_xlfn.XLOOKUP("[S05_AggregateTotalEmissionsByCRF][13][CRFCategory1]",Submission!$O:$O,Submission!$H:$N,""))</f>
        <v/>
      </c>
      <c r="D81" s="388"/>
      <c r="E81" s="389" t="str">
        <f>_xlfn.CONCAT(_xlfn.XLOOKUP("[S05_AggregateTotalEmissionsByCRF][13][CRFCategory2]",Submission!$O:$O,Submission!$H:$N,""))</f>
        <v/>
      </c>
      <c r="F81" s="390"/>
      <c r="G81" s="126" t="str">
        <f>_xlfn.CONCAT(_xlfn.XLOOKUP("[S05_AggregateTotalEmissionsByCRF][13][TotalEmissionsTCo2e]",Submission!$O:$O,Submission!$H:$N,""))</f>
        <v/>
      </c>
      <c r="H81" s="126" t="str">
        <f>_xlfn.CONCAT(_xlfn.XLOOKUP("[S05_AggregateTotalEmissionsByCRF][13][TotalCombustionEmissionsTCo2e]",Submission!$O:$O,Submission!$H:$N,""))</f>
        <v/>
      </c>
      <c r="I81" s="126" t="str">
        <f>_xlfn.CONCAT(_xlfn.XLOOKUP("[S05_AggregateTotalEmissionsByCRF][13][TotalProcessEmissionsTCo2e]",Submission!$O:$O,Submission!$H:$N,""))</f>
        <v/>
      </c>
    </row>
    <row r="82" spans="3:9" ht="16.2" customHeight="1" x14ac:dyDescent="0.3">
      <c r="C82" s="387" t="str">
        <f>_xlfn.CONCAT(_xlfn.XLOOKUP("[S05_AggregateTotalEmissionsByCRF][14][CRFCategory1]",Submission!$O:$O,Submission!$H:$N,""))</f>
        <v/>
      </c>
      <c r="D82" s="388"/>
      <c r="E82" s="389" t="str">
        <f>_xlfn.CONCAT(_xlfn.XLOOKUP("[S05_AggregateTotalEmissionsByCRF][14][CRFCategory2]",Submission!$O:$O,Submission!$H:$N,""))</f>
        <v/>
      </c>
      <c r="F82" s="390"/>
      <c r="G82" s="126" t="str">
        <f>_xlfn.CONCAT(_xlfn.XLOOKUP("[S05_AggregateTotalEmissionsByCRF][14][TotalEmissionsTCo2e]",Submission!$O:$O,Submission!$H:$N,""))</f>
        <v/>
      </c>
      <c r="H82" s="126" t="str">
        <f>_xlfn.CONCAT(_xlfn.XLOOKUP("[S05_AggregateTotalEmissionsByCRF][14][TotalCombustionEmissionsTCo2e]",Submission!$O:$O,Submission!$H:$N,""))</f>
        <v/>
      </c>
      <c r="I82" s="126" t="str">
        <f>_xlfn.CONCAT(_xlfn.XLOOKUP("[S05_AggregateTotalEmissionsByCRF][14][TotalProcessEmissionsTCo2e]",Submission!$O:$O,Submission!$H:$N,""))</f>
        <v/>
      </c>
    </row>
    <row r="83" spans="3:9" ht="16.2" customHeight="1" x14ac:dyDescent="0.3">
      <c r="C83" s="387" t="str">
        <f>_xlfn.CONCAT(_xlfn.XLOOKUP("[S05_AggregateTotalEmissionsByCRF][15][CRFCategory1]",Submission!$O:$O,Submission!$H:$N,""))</f>
        <v/>
      </c>
      <c r="D83" s="388"/>
      <c r="E83" s="389" t="str">
        <f>_xlfn.CONCAT(_xlfn.XLOOKUP("[S05_AggregateTotalEmissionsByCRF][15][CRFCategory2]",Submission!$O:$O,Submission!$H:$N,""))</f>
        <v/>
      </c>
      <c r="F83" s="390"/>
      <c r="G83" s="126" t="str">
        <f>_xlfn.CONCAT(_xlfn.XLOOKUP("[S05_AggregateTotalEmissionsByCRF][15][TotalEmissionsTCo2e]",Submission!$O:$O,Submission!$H:$N,""))</f>
        <v/>
      </c>
      <c r="H83" s="126" t="str">
        <f>_xlfn.CONCAT(_xlfn.XLOOKUP("[S05_AggregateTotalEmissionsByCRF][15][TotalCombustionEmissionsTCo2e]",Submission!$O:$O,Submission!$H:$N,""))</f>
        <v/>
      </c>
      <c r="I83" s="126" t="str">
        <f>_xlfn.CONCAT(_xlfn.XLOOKUP("[S05_AggregateTotalEmissionsByCRF][15][TotalProcessEmissionsTCo2e]",Submission!$O:$O,Submission!$H:$N,""))</f>
        <v/>
      </c>
    </row>
    <row r="84" spans="3:9" ht="16.2" customHeight="1" x14ac:dyDescent="0.3">
      <c r="C84" s="387" t="str">
        <f>_xlfn.CONCAT(_xlfn.XLOOKUP("[S05_AggregateTotalEmissionsByCRF][16][CRFCategory1]",Submission!$O:$O,Submission!$H:$N,""))</f>
        <v/>
      </c>
      <c r="D84" s="388"/>
      <c r="E84" s="389" t="str">
        <f>_xlfn.CONCAT(_xlfn.XLOOKUP("[S05_AggregateTotalEmissionsByCRF][16][CRFCategory2]",Submission!$O:$O,Submission!$H:$N,""))</f>
        <v/>
      </c>
      <c r="F84" s="390"/>
      <c r="G84" s="126" t="str">
        <f>_xlfn.CONCAT(_xlfn.XLOOKUP("[S05_AggregateTotalEmissionsByCRF][16][TotalEmissionsTCo2e]",Submission!$O:$O,Submission!$H:$N,""))</f>
        <v/>
      </c>
      <c r="H84" s="126" t="str">
        <f>_xlfn.CONCAT(_xlfn.XLOOKUP("[S05_AggregateTotalEmissionsByCRF][16][TotalCombustionEmissionsTCo2e]",Submission!$O:$O,Submission!$H:$N,""))</f>
        <v/>
      </c>
      <c r="I84" s="126" t="str">
        <f>_xlfn.CONCAT(_xlfn.XLOOKUP("[S05_AggregateTotalEmissionsByCRF][16][TotalProcessEmissionsTCo2e]",Submission!$O:$O,Submission!$H:$N,""))</f>
        <v/>
      </c>
    </row>
    <row r="85" spans="3:9" ht="16.2" customHeight="1" x14ac:dyDescent="0.3">
      <c r="C85" s="387" t="str">
        <f>_xlfn.CONCAT(_xlfn.XLOOKUP("[S05_AggregateTotalEmissionsByCRF][17][CRFCategory1]",Submission!$O:$O,Submission!$H:$N,""))</f>
        <v/>
      </c>
      <c r="D85" s="388"/>
      <c r="E85" s="389" t="str">
        <f>_xlfn.CONCAT(_xlfn.XLOOKUP("[S05_AggregateTotalEmissionsByCRF][17][CRFCategory2]",Submission!$O:$O,Submission!$H:$N,""))</f>
        <v/>
      </c>
      <c r="F85" s="390"/>
      <c r="G85" s="126" t="str">
        <f>_xlfn.CONCAT(_xlfn.XLOOKUP("[S05_AggregateTotalEmissionsByCRF][17][TotalEmissionsTCo2e]",Submission!$O:$O,Submission!$H:$N,""))</f>
        <v/>
      </c>
      <c r="H85" s="126" t="str">
        <f>_xlfn.CONCAT(_xlfn.XLOOKUP("[S05_AggregateTotalEmissionsByCRF][17][TotalCombustionEmissionsTCo2e]",Submission!$O:$O,Submission!$H:$N,""))</f>
        <v/>
      </c>
      <c r="I85" s="126" t="str">
        <f>_xlfn.CONCAT(_xlfn.XLOOKUP("[S05_AggregateTotalEmissionsByCRF][17][TotalProcessEmissionsTCo2e]",Submission!$O:$O,Submission!$H:$N,""))</f>
        <v/>
      </c>
    </row>
    <row r="86" spans="3:9" ht="16.2" customHeight="1" x14ac:dyDescent="0.3">
      <c r="C86" s="387" t="str">
        <f>_xlfn.CONCAT(_xlfn.XLOOKUP("[S05_AggregateTotalEmissionsByCRF][18][CRFCategory1]",Submission!$O:$O,Submission!$H:$N,""))</f>
        <v/>
      </c>
      <c r="D86" s="388"/>
      <c r="E86" s="389" t="str">
        <f>_xlfn.CONCAT(_xlfn.XLOOKUP("[S05_AggregateTotalEmissionsByCRF][18][CRFCategory2]",Submission!$O:$O,Submission!$H:$N,""))</f>
        <v/>
      </c>
      <c r="F86" s="390"/>
      <c r="G86" s="126" t="str">
        <f>_xlfn.CONCAT(_xlfn.XLOOKUP("[S05_AggregateTotalEmissionsByCRF][18][TotalEmissionsTCo2e]",Submission!$O:$O,Submission!$H:$N,""))</f>
        <v/>
      </c>
      <c r="H86" s="126" t="str">
        <f>_xlfn.CONCAT(_xlfn.XLOOKUP("[S05_AggregateTotalEmissionsByCRF][18][TotalCombustionEmissionsTCo2e]",Submission!$O:$O,Submission!$H:$N,""))</f>
        <v/>
      </c>
      <c r="I86" s="126" t="str">
        <f>_xlfn.CONCAT(_xlfn.XLOOKUP("[S05_AggregateTotalEmissionsByCRF][18][TotalProcessEmissionsTCo2e]",Submission!$O:$O,Submission!$H:$N,""))</f>
        <v/>
      </c>
    </row>
    <row r="87" spans="3:9" ht="16.2" customHeight="1" x14ac:dyDescent="0.3">
      <c r="C87" s="387" t="str">
        <f>_xlfn.CONCAT(_xlfn.XLOOKUP("[S05_AggregateTotalEmissionsByCRF][19][CRFCategory1]",Submission!$O:$O,Submission!$H:$N,""))</f>
        <v/>
      </c>
      <c r="D87" s="388"/>
      <c r="E87" s="389" t="str">
        <f>_xlfn.CONCAT(_xlfn.XLOOKUP("[S05_AggregateTotalEmissionsByCRF][19][CRFCategory2]",Submission!$O:$O,Submission!$H:$N,""))</f>
        <v/>
      </c>
      <c r="F87" s="390"/>
      <c r="G87" s="126" t="str">
        <f>_xlfn.CONCAT(_xlfn.XLOOKUP("[S05_AggregateTotalEmissionsByCRF][19][TotalEmissionsTCo2e]",Submission!$O:$O,Submission!$H:$N,""))</f>
        <v/>
      </c>
      <c r="H87" s="126" t="str">
        <f>_xlfn.CONCAT(_xlfn.XLOOKUP("[S05_AggregateTotalEmissionsByCRF][19][TotalCombustionEmissionsTCo2e]",Submission!$O:$O,Submission!$H:$N,""))</f>
        <v/>
      </c>
      <c r="I87" s="126" t="str">
        <f>_xlfn.CONCAT(_xlfn.XLOOKUP("[S05_AggregateTotalEmissionsByCRF][19][TotalProcessEmissionsTCo2e]",Submission!$O:$O,Submission!$H:$N,""))</f>
        <v/>
      </c>
    </row>
    <row r="88" spans="3:9" ht="16.2" customHeight="1" x14ac:dyDescent="0.3">
      <c r="C88" s="387" t="str">
        <f>_xlfn.CONCAT(_xlfn.XLOOKUP("[S05_AggregateTotalEmissionsByCRF][20][CRFCategory1]",Submission!$O:$O,Submission!$H:$N,""))</f>
        <v/>
      </c>
      <c r="D88" s="388"/>
      <c r="E88" s="389" t="str">
        <f>_xlfn.CONCAT(_xlfn.XLOOKUP("[S05_AggregateTotalEmissionsByCRF][20][CRFCategory2]",Submission!$O:$O,Submission!$H:$N,""))</f>
        <v/>
      </c>
      <c r="F88" s="390"/>
      <c r="G88" s="126" t="str">
        <f>_xlfn.CONCAT(_xlfn.XLOOKUP("[S05_AggregateTotalEmissionsByCRF][20][TotalEmissionsTCo2e]",Submission!$O:$O,Submission!$H:$N,""))</f>
        <v/>
      </c>
      <c r="H88" s="126" t="str">
        <f>_xlfn.CONCAT(_xlfn.XLOOKUP("[S05_AggregateTotalEmissionsByCRF][20][TotalCombustionEmissionsTCo2e]",Submission!$O:$O,Submission!$H:$N,""))</f>
        <v/>
      </c>
      <c r="I88" s="126" t="str">
        <f>_xlfn.CONCAT(_xlfn.XLOOKUP("[S05_AggregateTotalEmissionsByCRF][20][TotalProcessEmissionsTCo2e]",Submission!$O:$O,Submission!$H:$N,""))</f>
        <v/>
      </c>
    </row>
    <row r="89" spans="3:9" ht="16.2" customHeight="1" x14ac:dyDescent="0.3">
      <c r="C89" s="387" t="str">
        <f>_xlfn.CONCAT(_xlfn.XLOOKUP("[S05_AggregateTotalEmissionsByCRF][21][CRFCategory1]",Submission!$O:$O,Submission!$H:$N,""))</f>
        <v/>
      </c>
      <c r="D89" s="388"/>
      <c r="E89" s="389" t="str">
        <f>_xlfn.CONCAT(_xlfn.XLOOKUP("[S05_AggregateTotalEmissionsByCRF][21][CRFCategory2]",Submission!$O:$O,Submission!$H:$N,""))</f>
        <v/>
      </c>
      <c r="F89" s="390"/>
      <c r="G89" s="126" t="str">
        <f>_xlfn.CONCAT(_xlfn.XLOOKUP("[S05_AggregateTotalEmissionsByCRF][21][TotalEmissionsTCo2e]",Submission!$O:$O,Submission!$H:$N,""))</f>
        <v/>
      </c>
      <c r="H89" s="126" t="str">
        <f>_xlfn.CONCAT(_xlfn.XLOOKUP("[S05_AggregateTotalEmissionsByCRF][21][TotalCombustionEmissionsTCo2e]",Submission!$O:$O,Submission!$H:$N,""))</f>
        <v/>
      </c>
      <c r="I89" s="126" t="str">
        <f>_xlfn.CONCAT(_xlfn.XLOOKUP("[S05_AggregateTotalEmissionsByCRF][21][TotalProcessEmissionsTCo2e]",Submission!$O:$O,Submission!$H:$N,""))</f>
        <v/>
      </c>
    </row>
    <row r="90" spans="3:9" ht="16.2" customHeight="1" x14ac:dyDescent="0.3">
      <c r="C90" s="387" t="str">
        <f>_xlfn.CONCAT(_xlfn.XLOOKUP("[S05_AggregateTotalEmissionsByCRF][22][CRFCategory1]",Submission!$O:$O,Submission!$H:$N,""))</f>
        <v/>
      </c>
      <c r="D90" s="388"/>
      <c r="E90" s="389" t="str">
        <f>_xlfn.CONCAT(_xlfn.XLOOKUP("[S05_AggregateTotalEmissionsByCRF][22][CRFCategory2]",Submission!$O:$O,Submission!$H:$N,""))</f>
        <v/>
      </c>
      <c r="F90" s="390"/>
      <c r="G90" s="126" t="str">
        <f>_xlfn.CONCAT(_xlfn.XLOOKUP("[S05_AggregateTotalEmissionsByCRF][22][TotalEmissionsTCo2e]",Submission!$O:$O,Submission!$H:$N,""))</f>
        <v/>
      </c>
      <c r="H90" s="126" t="str">
        <f>_xlfn.CONCAT(_xlfn.XLOOKUP("[S05_AggregateTotalEmissionsByCRF][22][TotalCombustionEmissionsTCo2e]",Submission!$O:$O,Submission!$H:$N,""))</f>
        <v/>
      </c>
      <c r="I90" s="126" t="str">
        <f>_xlfn.CONCAT(_xlfn.XLOOKUP("[S05_AggregateTotalEmissionsByCRF][22][TotalProcessEmissionsTCo2e]",Submission!$O:$O,Submission!$H:$N,""))</f>
        <v/>
      </c>
    </row>
    <row r="91" spans="3:9" ht="16.2" customHeight="1" x14ac:dyDescent="0.3">
      <c r="C91" s="387" t="str">
        <f>_xlfn.CONCAT(_xlfn.XLOOKUP("[S05_AggregateTotalEmissionsByCRF][23][CRFCategory1]",Submission!$O:$O,Submission!$H:$N,""))</f>
        <v/>
      </c>
      <c r="D91" s="388"/>
      <c r="E91" s="389" t="str">
        <f>_xlfn.CONCAT(_xlfn.XLOOKUP("[S05_AggregateTotalEmissionsByCRF][23][CRFCategory2]",Submission!$O:$O,Submission!$H:$N,""))</f>
        <v/>
      </c>
      <c r="F91" s="390"/>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87" t="str">
        <f>_xlfn.CONCAT(_xlfn.XLOOKUP("[S05_AggregateTotalEmissionsByCRF][24][CRFCategory1]",Submission!$O:$O,Submission!$H:$N,""))</f>
        <v/>
      </c>
      <c r="D92" s="388"/>
      <c r="E92" s="389" t="str">
        <f>_xlfn.CONCAT(_xlfn.XLOOKUP("[S05_AggregateTotalEmissionsByCRF][24][CRFCategory2]",Submission!$O:$O,Submission!$H:$N,""))</f>
        <v/>
      </c>
      <c r="F92" s="390"/>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87" t="str">
        <f>_xlfn.CONCAT(_xlfn.XLOOKUP("[S05_AggregateTotalEmissionsByCRF][25][CRFCategory1]",Submission!$O:$O,Submission!$H:$N,""))</f>
        <v/>
      </c>
      <c r="D93" s="388"/>
      <c r="E93" s="389" t="str">
        <f>_xlfn.CONCAT(_xlfn.XLOOKUP("[S05_AggregateTotalEmissionsByCRF][25][CRFCategory2]",Submission!$O:$O,Submission!$H:$N,""))</f>
        <v/>
      </c>
      <c r="F93" s="390"/>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87" t="str">
        <f>_xlfn.CONCAT(_xlfn.XLOOKUP("[S05_AggregateTotalEmissionsByCRF][26][CRFCategory1]",Submission!$O:$O,Submission!$H:$N,""))</f>
        <v/>
      </c>
      <c r="D94" s="388"/>
      <c r="E94" s="389" t="str">
        <f>_xlfn.CONCAT(_xlfn.XLOOKUP("[S05_AggregateTotalEmissionsByCRF][26][CRFCategory2]",Submission!$O:$O,Submission!$H:$N,""))</f>
        <v/>
      </c>
      <c r="F94" s="390"/>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87" t="str">
        <f>_xlfn.CONCAT(_xlfn.XLOOKUP("[S05_AggregateTotalEmissionsByCRF][27][CRFCategory1]",Submission!$O:$O,Submission!$H:$N,""))</f>
        <v/>
      </c>
      <c r="D95" s="388"/>
      <c r="E95" s="389" t="str">
        <f>_xlfn.CONCAT(_xlfn.XLOOKUP("[S05_AggregateTotalEmissionsByCRF][27][CRFCategory2]",Submission!$O:$O,Submission!$H:$N,""))</f>
        <v/>
      </c>
      <c r="F95" s="390"/>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87" t="str">
        <f>_xlfn.CONCAT(_xlfn.XLOOKUP("[S05_AggregateTotalEmissionsByCRF][28][CRFCategory1]",Submission!$O:$O,Submission!$H:$N,""))</f>
        <v/>
      </c>
      <c r="D96" s="388"/>
      <c r="E96" s="389" t="str">
        <f>_xlfn.CONCAT(_xlfn.XLOOKUP("[S05_AggregateTotalEmissionsByCRF][28][CRFCategory2]",Submission!$O:$O,Submission!$H:$N,""))</f>
        <v/>
      </c>
      <c r="F96" s="390"/>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87" t="str">
        <f>_xlfn.CONCAT(_xlfn.XLOOKUP("[S05_AggregateTotalEmissionsByCRF][29][CRFCategory1]",Submission!$O:$O,Submission!$H:$N,""))</f>
        <v/>
      </c>
      <c r="D97" s="388"/>
      <c r="E97" s="389" t="str">
        <f>_xlfn.CONCAT(_xlfn.XLOOKUP("[S05_AggregateTotalEmissionsByCRF][29][CRFCategory2]",Submission!$O:$O,Submission!$H:$N,""))</f>
        <v/>
      </c>
      <c r="F97" s="390"/>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87" t="str">
        <f>_xlfn.CONCAT(_xlfn.XLOOKUP("[S05_AggregateTotalEmissionsByCRF][30][CRFCategory1]",Submission!$O:$O,Submission!$H:$N,""))</f>
        <v/>
      </c>
      <c r="D98" s="388"/>
      <c r="E98" s="389" t="str">
        <f>_xlfn.CONCAT(_xlfn.XLOOKUP("[S05_AggregateTotalEmissionsByCRF][30][CRFCategory2]",Submission!$O:$O,Submission!$H:$N,""))</f>
        <v/>
      </c>
      <c r="F98" s="390"/>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87" t="str">
        <f>_xlfn.CONCAT(_xlfn.XLOOKUP("[S05_AggregateTotalEmissionsByCRF][31][CRFCategory1]",Submission!$O:$O,Submission!$H:$N,""))</f>
        <v/>
      </c>
      <c r="D99" s="388"/>
      <c r="E99" s="389" t="str">
        <f>_xlfn.CONCAT(_xlfn.XLOOKUP("[S05_AggregateTotalEmissionsByCRF][31][CRFCategory2]",Submission!$O:$O,Submission!$H:$N,""))</f>
        <v/>
      </c>
      <c r="F99" s="390"/>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87" t="str">
        <f>_xlfn.CONCAT(_xlfn.XLOOKUP("[S05_AggregateTotalEmissionsByCRF][32][CRFCategory1]",Submission!$O:$O,Submission!$H:$N,""))</f>
        <v/>
      </c>
      <c r="D100" s="388"/>
      <c r="E100" s="389" t="str">
        <f>_xlfn.CONCAT(_xlfn.XLOOKUP("[S05_AggregateTotalEmissionsByCRF][32][CRFCategory2]",Submission!$O:$O,Submission!$H:$N,""))</f>
        <v/>
      </c>
      <c r="F100" s="390"/>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87" t="str">
        <f>_xlfn.CONCAT(_xlfn.XLOOKUP("[S05_AggregateTotalEmissionsByCRF][33][CRFCategory1]",Submission!$O:$O,Submission!$H:$N,""))</f>
        <v/>
      </c>
      <c r="D101" s="388"/>
      <c r="E101" s="389" t="str">
        <f>_xlfn.CONCAT(_xlfn.XLOOKUP("[S05_AggregateTotalEmissionsByCRF][33][CRFCategory2]",Submission!$O:$O,Submission!$H:$N,""))</f>
        <v/>
      </c>
      <c r="F101" s="390"/>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87" t="str">
        <f>_xlfn.CONCAT(_xlfn.XLOOKUP("[S05_AggregateTotalEmissionsByCRF][34][CRFCategory1]",Submission!$O:$O,Submission!$H:$N,""))</f>
        <v/>
      </c>
      <c r="D102" s="388"/>
      <c r="E102" s="389" t="str">
        <f>_xlfn.CONCAT(_xlfn.XLOOKUP("[S05_AggregateTotalEmissionsByCRF][34][CRFCategory2]",Submission!$O:$O,Submission!$H:$N,""))</f>
        <v/>
      </c>
      <c r="F102" s="390"/>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87" t="str">
        <f>_xlfn.CONCAT(_xlfn.XLOOKUP("[S05_AggregateTotalEmissionsByCRF][35][CRFCategory1]",Submission!$O:$O,Submission!$H:$N,""))</f>
        <v/>
      </c>
      <c r="D103" s="388"/>
      <c r="E103" s="389" t="str">
        <f>_xlfn.CONCAT(_xlfn.XLOOKUP("[S05_AggregateTotalEmissionsByCRF][35][CRFCategory2]",Submission!$O:$O,Submission!$H:$N,""))</f>
        <v/>
      </c>
      <c r="F103" s="390"/>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87" t="str">
        <f>_xlfn.CONCAT(_xlfn.XLOOKUP("[S05_AggregateTotalEmissionsByCRF][36][CRFCategory1]",Submission!$O:$O,Submission!$H:$N,""))</f>
        <v/>
      </c>
      <c r="D104" s="388"/>
      <c r="E104" s="389" t="str">
        <f>_xlfn.CONCAT(_xlfn.XLOOKUP("[S05_AggregateTotalEmissionsByCRF][36][CRFCategory2]",Submission!$O:$O,Submission!$H:$N,""))</f>
        <v/>
      </c>
      <c r="F104" s="390"/>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87" t="str">
        <f>_xlfn.CONCAT(_xlfn.XLOOKUP("[S05_AggregateTotalEmissionsByCRF][37][CRFCategory1]",Submission!$O:$O,Submission!$H:$N,""))</f>
        <v/>
      </c>
      <c r="D105" s="388"/>
      <c r="E105" s="389" t="str">
        <f>_xlfn.CONCAT(_xlfn.XLOOKUP("[S05_AggregateTotalEmissionsByCRF][37][CRFCategory2]",Submission!$O:$O,Submission!$H:$N,""))</f>
        <v/>
      </c>
      <c r="F105" s="390"/>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87" t="str">
        <f>_xlfn.CONCAT(_xlfn.XLOOKUP("[S05_AggregateTotalEmissionsByCRF][38][CRFCategory1]",Submission!$O:$O,Submission!$H:$N,""))</f>
        <v/>
      </c>
      <c r="D106" s="388"/>
      <c r="E106" s="389" t="str">
        <f>_xlfn.CONCAT(_xlfn.XLOOKUP("[S05_AggregateTotalEmissionsByCRF][38][CRFCategory2]",Submission!$O:$O,Submission!$H:$N,""))</f>
        <v/>
      </c>
      <c r="F106" s="390"/>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87" t="str">
        <f>_xlfn.CONCAT(_xlfn.XLOOKUP("[S05_AggregateTotalEmissionsByCRF][39][CRFCategory1]",Submission!$O:$O,Submission!$H:$N,""))</f>
        <v/>
      </c>
      <c r="D107" s="388"/>
      <c r="E107" s="389" t="str">
        <f>_xlfn.CONCAT(_xlfn.XLOOKUP("[S05_AggregateTotalEmissionsByCRF][39][CRFCategory2]",Submission!$O:$O,Submission!$H:$N,""))</f>
        <v/>
      </c>
      <c r="F107" s="390"/>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87" t="str">
        <f>_xlfn.CONCAT(_xlfn.XLOOKUP("[S05_AggregateTotalEmissionsByCRF][40][CRFCategory1]",Submission!$O:$O,Submission!$H:$N,""))</f>
        <v/>
      </c>
      <c r="D108" s="388"/>
      <c r="E108" s="389" t="str">
        <f>_xlfn.CONCAT(_xlfn.XLOOKUP("[S05_AggregateTotalEmissionsByCRF][40][CRFCategory2]",Submission!$O:$O,Submission!$H:$N,""))</f>
        <v/>
      </c>
      <c r="F108" s="390"/>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87" t="str">
        <f>_xlfn.CONCAT(_xlfn.XLOOKUP("[S05_AggregateTotalEmissionsByCRF][41][CRFCategory1]",Submission!$O:$O,Submission!$H:$N,""))</f>
        <v/>
      </c>
      <c r="D109" s="388"/>
      <c r="E109" s="389" t="str">
        <f>_xlfn.CONCAT(_xlfn.XLOOKUP("[S05_AggregateTotalEmissionsByCRF][41][CRFCategory2]",Submission!$O:$O,Submission!$H:$N,""))</f>
        <v/>
      </c>
      <c r="F109" s="390"/>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87" t="str">
        <f>_xlfn.CONCAT(_xlfn.XLOOKUP("[S05_AggregateTotalEmissionsByCRF][42][CRFCategory1]",Submission!$O:$O,Submission!$H:$N,""))</f>
        <v/>
      </c>
      <c r="D110" s="388"/>
      <c r="E110" s="389" t="str">
        <f>_xlfn.CONCAT(_xlfn.XLOOKUP("[S05_AggregateTotalEmissionsByCRF][42][CRFCategory2]",Submission!$O:$O,Submission!$H:$N,""))</f>
        <v/>
      </c>
      <c r="F110" s="390"/>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87" t="str">
        <f>_xlfn.CONCAT(_xlfn.XLOOKUP("[S05_AggregateTotalEmissionsByCRF][43][CRFCategory1]",Submission!$O:$O,Submission!$H:$N,""))</f>
        <v/>
      </c>
      <c r="D111" s="388"/>
      <c r="E111" s="389" t="str">
        <f>_xlfn.CONCAT(_xlfn.XLOOKUP("[S05_AggregateTotalEmissionsByCRF][43][CRFCategory2]",Submission!$O:$O,Submission!$H:$N,""))</f>
        <v/>
      </c>
      <c r="F111" s="390"/>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87" t="str">
        <f>_xlfn.CONCAT(_xlfn.XLOOKUP("[S05_AggregateTotalEmissionsByCRF][44][CRFCategory1]",Submission!$O:$O,Submission!$H:$N,""))</f>
        <v/>
      </c>
      <c r="D112" s="388"/>
      <c r="E112" s="389" t="str">
        <f>_xlfn.CONCAT(_xlfn.XLOOKUP("[S05_AggregateTotalEmissionsByCRF][44][CRFCategory2]",Submission!$O:$O,Submission!$H:$N,""))</f>
        <v/>
      </c>
      <c r="F112" s="390"/>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87" t="str">
        <f>_xlfn.CONCAT(_xlfn.XLOOKUP("[S05_AggregateTotalEmissionsByCRF][45][CRFCategory1]",Submission!$O:$O,Submission!$H:$N,""))</f>
        <v/>
      </c>
      <c r="D113" s="388"/>
      <c r="E113" s="389" t="str">
        <f>_xlfn.CONCAT(_xlfn.XLOOKUP("[S05_AggregateTotalEmissionsByCRF][45][CRFCategory2]",Submission!$O:$O,Submission!$H:$N,""))</f>
        <v/>
      </c>
      <c r="F113" s="390"/>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87" t="str">
        <f>_xlfn.CONCAT(_xlfn.XLOOKUP("[S05_AggregateTotalEmissionsByCRF][46][CRFCategory1]",Submission!$O:$O,Submission!$H:$N,""))</f>
        <v/>
      </c>
      <c r="D114" s="388"/>
      <c r="E114" s="389" t="str">
        <f>_xlfn.CONCAT(_xlfn.XLOOKUP("[S05_AggregateTotalEmissionsByCRF][46][CRFCategory2]",Submission!$O:$O,Submission!$H:$N,""))</f>
        <v/>
      </c>
      <c r="F114" s="390"/>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87" t="str">
        <f>_xlfn.CONCAT(_xlfn.XLOOKUP("[S05_AggregateTotalEmissionsByCRF][47][CRFCategory1]",Submission!$O:$O,Submission!$H:$N,""))</f>
        <v/>
      </c>
      <c r="D115" s="388"/>
      <c r="E115" s="389" t="str">
        <f>_xlfn.CONCAT(_xlfn.XLOOKUP("[S05_AggregateTotalEmissionsByCRF][47][CRFCategory2]",Submission!$O:$O,Submission!$H:$N,""))</f>
        <v/>
      </c>
      <c r="F115" s="390"/>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87" t="str">
        <f>_xlfn.CONCAT(_xlfn.XLOOKUP("[S05_AggregateTotalEmissionsByCRF][48][CRFCategory1]",Submission!$O:$O,Submission!$H:$N,""))</f>
        <v/>
      </c>
      <c r="D116" s="388"/>
      <c r="E116" s="389" t="str">
        <f>_xlfn.CONCAT(_xlfn.XLOOKUP("[S05_AggregateTotalEmissionsByCRF][48][CRFCategory2]",Submission!$O:$O,Submission!$H:$N,""))</f>
        <v/>
      </c>
      <c r="F116" s="390"/>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87" t="str">
        <f>_xlfn.CONCAT(_xlfn.XLOOKUP("[S05_AggregateTotalEmissionsByCRF][49][CRFCategory1]",Submission!$O:$O,Submission!$H:$N,""))</f>
        <v/>
      </c>
      <c r="D117" s="388"/>
      <c r="E117" s="389" t="str">
        <f>_xlfn.CONCAT(_xlfn.XLOOKUP("[S05_AggregateTotalEmissionsByCRF][49][CRFCategory2]",Submission!$O:$O,Submission!$H:$N,""))</f>
        <v/>
      </c>
      <c r="F117" s="390"/>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87" t="str">
        <f>_xlfn.CONCAT(_xlfn.XLOOKUP("[S05_AggregateTotalEmissionsByCRF][50][CRFCategory1]",Submission!$O:$O,Submission!$H:$N,""))</f>
        <v/>
      </c>
      <c r="D118" s="388"/>
      <c r="E118" s="389" t="str">
        <f>_xlfn.CONCAT(_xlfn.XLOOKUP("[S05_AggregateTotalEmissionsByCRF][50][CRFCategory2]",Submission!$O:$O,Submission!$H:$N,""))</f>
        <v/>
      </c>
      <c r="F118" s="390"/>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87" t="str">
        <f>_xlfn.CONCAT(_xlfn.XLOOKUP("[S05_AggregateTotalEmissionsByCRF][51][CRFCategory1]",Submission!$O:$O,Submission!$H:$N,""))</f>
        <v/>
      </c>
      <c r="D119" s="388"/>
      <c r="E119" s="389" t="str">
        <f>_xlfn.CONCAT(_xlfn.XLOOKUP("[S05_AggregateTotalEmissionsByCRF][51][CRFCategory2]",Submission!$O:$O,Submission!$H:$N,""))</f>
        <v/>
      </c>
      <c r="F119" s="390"/>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87" t="str">
        <f>_xlfn.CONCAT(_xlfn.XLOOKUP("[S05_AggregateTotalEmissionsByCRF][52][CRFCategory1]",Submission!$O:$O,Submission!$H:$N,""))</f>
        <v/>
      </c>
      <c r="D120" s="388"/>
      <c r="E120" s="389" t="str">
        <f>_xlfn.CONCAT(_xlfn.XLOOKUP("[S05_AggregateTotalEmissionsByCRF][52][CRFCategory2]",Submission!$O:$O,Submission!$H:$N,""))</f>
        <v/>
      </c>
      <c r="F120" s="390"/>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87" t="str">
        <f>_xlfn.CONCAT(_xlfn.XLOOKUP("[S05_AggregateTotalEmissionsByCRF][53][CRFCategory1]",Submission!$O:$O,Submission!$H:$N,""))</f>
        <v/>
      </c>
      <c r="D121" s="388"/>
      <c r="E121" s="389" t="str">
        <f>_xlfn.CONCAT(_xlfn.XLOOKUP("[S05_AggregateTotalEmissionsByCRF][53][CRFCategory2]",Submission!$O:$O,Submission!$H:$N,""))</f>
        <v/>
      </c>
      <c r="F121" s="390"/>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87" t="str">
        <f>_xlfn.CONCAT(_xlfn.XLOOKUP("[S05_AggregateTotalEmissionsByCRF][54][CRFCategory1]",Submission!$O:$O,Submission!$H:$N,""))</f>
        <v/>
      </c>
      <c r="D122" s="388"/>
      <c r="E122" s="389" t="str">
        <f>_xlfn.CONCAT(_xlfn.XLOOKUP("[S05_AggregateTotalEmissionsByCRF][54][CRFCategory2]",Submission!$O:$O,Submission!$H:$N,""))</f>
        <v/>
      </c>
      <c r="F122" s="390"/>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87" t="str">
        <f>_xlfn.CONCAT(_xlfn.XLOOKUP("[S05_AggregateTotalEmissionsByCRF][55][CRFCategory1]",Submission!$O:$O,Submission!$H:$N,""))</f>
        <v/>
      </c>
      <c r="D123" s="388"/>
      <c r="E123" s="389" t="str">
        <f>_xlfn.CONCAT(_xlfn.XLOOKUP("[S05_AggregateTotalEmissionsByCRF][55][CRFCategory2]",Submission!$O:$O,Submission!$H:$N,""))</f>
        <v/>
      </c>
      <c r="F123" s="390"/>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87" t="str">
        <f>_xlfn.CONCAT(_xlfn.XLOOKUP("[S05_AggregateTotalEmissionsByCRF][56][CRFCategory1]",Submission!$O:$O,Submission!$H:$N,""))</f>
        <v/>
      </c>
      <c r="D124" s="388"/>
      <c r="E124" s="389" t="str">
        <f>_xlfn.CONCAT(_xlfn.XLOOKUP("[S05_AggregateTotalEmissionsByCRF][56][CRFCategory2]",Submission!$O:$O,Submission!$H:$N,""))</f>
        <v/>
      </c>
      <c r="F124" s="390"/>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87" t="str">
        <f>_xlfn.CONCAT(_xlfn.XLOOKUP("[S05_AggregateTotalEmissionsByCRF][57][CRFCategory1]",Submission!$O:$O,Submission!$H:$N,""))</f>
        <v/>
      </c>
      <c r="D125" s="388"/>
      <c r="E125" s="389" t="str">
        <f>_xlfn.CONCAT(_xlfn.XLOOKUP("[S05_AggregateTotalEmissionsByCRF][57][CRFCategory2]",Submission!$O:$O,Submission!$H:$N,""))</f>
        <v/>
      </c>
      <c r="F125" s="390"/>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87" t="str">
        <f>_xlfn.CONCAT(_xlfn.XLOOKUP("[S05_AggregateTotalEmissionsByCRF][58][CRFCategory1]",Submission!$O:$O,Submission!$H:$N,""))</f>
        <v/>
      </c>
      <c r="D126" s="388"/>
      <c r="E126" s="389" t="str">
        <f>_xlfn.CONCAT(_xlfn.XLOOKUP("[S05_AggregateTotalEmissionsByCRF][58][CRFCategory2]",Submission!$O:$O,Submission!$H:$N,""))</f>
        <v/>
      </c>
      <c r="F126" s="390"/>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87" t="str">
        <f>_xlfn.CONCAT(_xlfn.XLOOKUP("[S05_AggregateTotalEmissionsByCRF][59][CRFCategory1]",Submission!$O:$O,Submission!$H:$N,""))</f>
        <v/>
      </c>
      <c r="D127" s="388"/>
      <c r="E127" s="389" t="str">
        <f>_xlfn.CONCAT(_xlfn.XLOOKUP("[S05_AggregateTotalEmissionsByCRF][59][CRFCategory2]",Submission!$O:$O,Submission!$H:$N,""))</f>
        <v/>
      </c>
      <c r="F127" s="390"/>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87" t="str">
        <f>_xlfn.CONCAT(_xlfn.XLOOKUP("[S05_AggregateTotalEmissionsByCRF][60][CRFCategory1]",Submission!$O:$O,Submission!$H:$N,""))</f>
        <v/>
      </c>
      <c r="D128" s="388"/>
      <c r="E128" s="389" t="str">
        <f>_xlfn.CONCAT(_xlfn.XLOOKUP("[S05_AggregateTotalEmissionsByCRF][60][CRFCategory2]",Submission!$O:$O,Submission!$H:$N,""))</f>
        <v/>
      </c>
      <c r="F128" s="390"/>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87" t="str">
        <f>_xlfn.CONCAT(_xlfn.XLOOKUP("[S05_AggregateTotalEmissionsByCRF][61][CRFCategory1]",Submission!$O:$O,Submission!$H:$N,""))</f>
        <v/>
      </c>
      <c r="D129" s="388"/>
      <c r="E129" s="389" t="str">
        <f>_xlfn.CONCAT(_xlfn.XLOOKUP("[S05_AggregateTotalEmissionsByCRF][61][CRFCategory2]",Submission!$O:$O,Submission!$H:$N,""))</f>
        <v/>
      </c>
      <c r="F129" s="390"/>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87" t="str">
        <f>_xlfn.CONCAT(_xlfn.XLOOKUP("[S05_AggregateTotalEmissionsByCRF][62][CRFCategory1]",Submission!$O:$O,Submission!$H:$N,""))</f>
        <v/>
      </c>
      <c r="D130" s="388"/>
      <c r="E130" s="389" t="str">
        <f>_xlfn.CONCAT(_xlfn.XLOOKUP("[S05_AggregateTotalEmissionsByCRF][62][CRFCategory2]",Submission!$O:$O,Submission!$H:$N,""))</f>
        <v/>
      </c>
      <c r="F130" s="390"/>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87" t="str">
        <f>_xlfn.CONCAT(_xlfn.XLOOKUP("[S05_AggregateTotalEmissionsByCRF][63][CRFCategory1]",Submission!$O:$O,Submission!$H:$N,""))</f>
        <v/>
      </c>
      <c r="D131" s="388"/>
      <c r="E131" s="389" t="str">
        <f>_xlfn.CONCAT(_xlfn.XLOOKUP("[S05_AggregateTotalEmissionsByCRF][63][CRFCategory2]",Submission!$O:$O,Submission!$H:$N,""))</f>
        <v/>
      </c>
      <c r="F131" s="390"/>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87" t="str">
        <f>_xlfn.CONCAT(_xlfn.XLOOKUP("[S05_AggregateTotalEmissionsByCRF][64][CRFCategory1]",Submission!$O:$O,Submission!$H:$N,""))</f>
        <v/>
      </c>
      <c r="D132" s="388"/>
      <c r="E132" s="389" t="str">
        <f>_xlfn.CONCAT(_xlfn.XLOOKUP("[S05_AggregateTotalEmissionsByCRF][64][CRFCategory2]",Submission!$O:$O,Submission!$H:$N,""))</f>
        <v/>
      </c>
      <c r="F132" s="390"/>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87" t="str">
        <f>_xlfn.CONCAT(_xlfn.XLOOKUP("[S05_AggregateTotalEmissionsByCRF][65][CRFCategory1]",Submission!$O:$O,Submission!$H:$N,""))</f>
        <v/>
      </c>
      <c r="D133" s="388"/>
      <c r="E133" s="389" t="str">
        <f>_xlfn.CONCAT(_xlfn.XLOOKUP("[S05_AggregateTotalEmissionsByCRF][65][CRFCategory2]",Submission!$O:$O,Submission!$H:$N,""))</f>
        <v/>
      </c>
      <c r="F133" s="390"/>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87" t="str">
        <f>_xlfn.CONCAT(_xlfn.XLOOKUP("[S05_AggregateTotalEmissionsByCRF][66][CRFCategory1]",Submission!$O:$O,Submission!$H:$N,""))</f>
        <v/>
      </c>
      <c r="D134" s="388"/>
      <c r="E134" s="389" t="str">
        <f>_xlfn.CONCAT(_xlfn.XLOOKUP("[S05_AggregateTotalEmissionsByCRF][66][CRFCategory2]",Submission!$O:$O,Submission!$H:$N,""))</f>
        <v/>
      </c>
      <c r="F134" s="390"/>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87" t="str">
        <f>_xlfn.CONCAT(_xlfn.XLOOKUP("[S05_AggregateTotalEmissionsByCRF][67][CRFCategory1]",Submission!$O:$O,Submission!$H:$N,""))</f>
        <v/>
      </c>
      <c r="D135" s="388"/>
      <c r="E135" s="389" t="str">
        <f>_xlfn.CONCAT(_xlfn.XLOOKUP("[S05_AggregateTotalEmissionsByCRF][67][CRFCategory2]",Submission!$O:$O,Submission!$H:$N,""))</f>
        <v/>
      </c>
      <c r="F135" s="390"/>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87" t="str">
        <f>_xlfn.CONCAT(_xlfn.XLOOKUP("[S05_AggregateTotalEmissionsByCRF][68][CRFCategory1]",Submission!$O:$O,Submission!$H:$N,""))</f>
        <v/>
      </c>
      <c r="D136" s="388"/>
      <c r="E136" s="389" t="str">
        <f>_xlfn.CONCAT(_xlfn.XLOOKUP("[S05_AggregateTotalEmissionsByCRF][68][CRFCategory2]",Submission!$O:$O,Submission!$H:$N,""))</f>
        <v/>
      </c>
      <c r="F136" s="390"/>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87" t="str">
        <f>_xlfn.CONCAT(_xlfn.XLOOKUP("[S05_AggregateTotalEmissionsByCRF][69][CRFCategory1]",Submission!$O:$O,Submission!$H:$N,""))</f>
        <v/>
      </c>
      <c r="D137" s="388"/>
      <c r="E137" s="389" t="str">
        <f>_xlfn.CONCAT(_xlfn.XLOOKUP("[S05_AggregateTotalEmissionsByCRF][69][CRFCategory2]",Submission!$O:$O,Submission!$H:$N,""))</f>
        <v/>
      </c>
      <c r="F137" s="390"/>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87" t="str">
        <f>_xlfn.CONCAT(_xlfn.XLOOKUP("[S05_AggregateTotalEmissionsByCRF][70][CRFCategory1]",Submission!$O:$O,Submission!$H:$N,""))</f>
        <v/>
      </c>
      <c r="D138" s="388"/>
      <c r="E138" s="389" t="str">
        <f>_xlfn.CONCAT(_xlfn.XLOOKUP("[S05_AggregateTotalEmissionsByCRF][70][CRFCategory2]",Submission!$O:$O,Submission!$H:$N,""))</f>
        <v/>
      </c>
      <c r="F138" s="390"/>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87" t="str">
        <f>_xlfn.CONCAT(_xlfn.XLOOKUP("[S05_AggregateTotalEmissionsByCRF][71][CRFCategory1]",Submission!$O:$O,Submission!$H:$N,""))</f>
        <v/>
      </c>
      <c r="D139" s="388"/>
      <c r="E139" s="389" t="str">
        <f>_xlfn.CONCAT(_xlfn.XLOOKUP("[S05_AggregateTotalEmissionsByCRF][71][CRFCategory2]",Submission!$O:$O,Submission!$H:$N,""))</f>
        <v/>
      </c>
      <c r="F139" s="390"/>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87" t="str">
        <f>_xlfn.CONCAT(_xlfn.XLOOKUP("[S05_AggregateTotalEmissionsByCRF][72][CRFCategory1]",Submission!$O:$O,Submission!$H:$N,""))</f>
        <v/>
      </c>
      <c r="D140" s="388"/>
      <c r="E140" s="389" t="str">
        <f>_xlfn.CONCAT(_xlfn.XLOOKUP("[S05_AggregateTotalEmissionsByCRF][72][CRFCategory2]",Submission!$O:$O,Submission!$H:$N,""))</f>
        <v/>
      </c>
      <c r="F140" s="390"/>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87" t="str">
        <f>_xlfn.CONCAT(_xlfn.XLOOKUP("[S05_AggregateTotalEmissionsByCRF][73][CRFCategory1]",Submission!$O:$O,Submission!$H:$N,""))</f>
        <v/>
      </c>
      <c r="D141" s="388"/>
      <c r="E141" s="389" t="str">
        <f>_xlfn.CONCAT(_xlfn.XLOOKUP("[S05_AggregateTotalEmissionsByCRF][73][CRFCategory2]",Submission!$O:$O,Submission!$H:$N,""))</f>
        <v/>
      </c>
      <c r="F141" s="390"/>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87" t="str">
        <f>_xlfn.CONCAT(_xlfn.XLOOKUP("[S05_AggregateTotalEmissionsByCRF][74][CRFCategory1]",Submission!$O:$O,Submission!$H:$N,""))</f>
        <v/>
      </c>
      <c r="D142" s="388"/>
      <c r="E142" s="389" t="str">
        <f>_xlfn.CONCAT(_xlfn.XLOOKUP("[S05_AggregateTotalEmissionsByCRF][74][CRFCategory2]",Submission!$O:$O,Submission!$H:$N,""))</f>
        <v/>
      </c>
      <c r="F142" s="390"/>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87" t="str">
        <f>_xlfn.CONCAT(_xlfn.XLOOKUP("[S05_AggregateTotalEmissionsByCRF][75][CRFCategory1]",Submission!$O:$O,Submission!$H:$N,""))</f>
        <v/>
      </c>
      <c r="D143" s="388"/>
      <c r="E143" s="389" t="str">
        <f>_xlfn.CONCAT(_xlfn.XLOOKUP("[S05_AggregateTotalEmissionsByCRF][75][CRFCategory2]",Submission!$O:$O,Submission!$H:$N,""))</f>
        <v/>
      </c>
      <c r="F143" s="390"/>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87" t="str">
        <f>_xlfn.CONCAT(_xlfn.XLOOKUP("[S05_AggregateTotalEmissionsByCRF][76][CRFCategory1]",Submission!$O:$O,Submission!$H:$N,""))</f>
        <v/>
      </c>
      <c r="D144" s="388"/>
      <c r="E144" s="389" t="str">
        <f>_xlfn.CONCAT(_xlfn.XLOOKUP("[S05_AggregateTotalEmissionsByCRF][76][CRFCategory2]",Submission!$O:$O,Submission!$H:$N,""))</f>
        <v/>
      </c>
      <c r="F144" s="390"/>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87" t="str">
        <f>_xlfn.CONCAT(_xlfn.XLOOKUP("[S05_AggregateTotalEmissionsByCRF][77][CRFCategory1]",Submission!$O:$O,Submission!$H:$N,""))</f>
        <v/>
      </c>
      <c r="D145" s="388"/>
      <c r="E145" s="389" t="str">
        <f>_xlfn.CONCAT(_xlfn.XLOOKUP("[S05_AggregateTotalEmissionsByCRF][77][CRFCategory2]",Submission!$O:$O,Submission!$H:$N,""))</f>
        <v/>
      </c>
      <c r="F145" s="390"/>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87" t="str">
        <f>_xlfn.CONCAT(_xlfn.XLOOKUP("[S05_AggregateTotalEmissionsByCRF][78][CRFCategory1]",Submission!$O:$O,Submission!$H:$N,""))</f>
        <v/>
      </c>
      <c r="D146" s="388"/>
      <c r="E146" s="389" t="str">
        <f>_xlfn.CONCAT(_xlfn.XLOOKUP("[S05_AggregateTotalEmissionsByCRF][78][CRFCategory2]",Submission!$O:$O,Submission!$H:$N,""))</f>
        <v/>
      </c>
      <c r="F146" s="390"/>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87" t="str">
        <f>_xlfn.CONCAT(_xlfn.XLOOKUP("[S05_AggregateTotalEmissionsByCRF][79][CRFCategory1]",Submission!$O:$O,Submission!$H:$N,""))</f>
        <v/>
      </c>
      <c r="D147" s="388"/>
      <c r="E147" s="389" t="str">
        <f>_xlfn.CONCAT(_xlfn.XLOOKUP("[S05_AggregateTotalEmissionsByCRF][79][CRFCategory2]",Submission!$O:$O,Submission!$H:$N,""))</f>
        <v/>
      </c>
      <c r="F147" s="390"/>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87" t="str">
        <f>_xlfn.CONCAT(_xlfn.XLOOKUP("[S05_AggregateTotalEmissionsByCRF][80][CRFCategory1]",Submission!$O:$O,Submission!$H:$N,""))</f>
        <v/>
      </c>
      <c r="D148" s="388"/>
      <c r="E148" s="389" t="str">
        <f>_xlfn.CONCAT(_xlfn.XLOOKUP("[S05_AggregateTotalEmissionsByCRF][80][CRFCategory2]",Submission!$O:$O,Submission!$H:$N,""))</f>
        <v/>
      </c>
      <c r="F148" s="390"/>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87" t="str">
        <f>_xlfn.CONCAT(_xlfn.XLOOKUP("[S05_AggregateTotalEmissionsByCRF][81][CRFCategory1]",Submission!$O:$O,Submission!$H:$N,""))</f>
        <v/>
      </c>
      <c r="D149" s="388"/>
      <c r="E149" s="389" t="str">
        <f>_xlfn.CONCAT(_xlfn.XLOOKUP("[S05_AggregateTotalEmissionsByCRF][81][CRFCategory2]",Submission!$O:$O,Submission!$H:$N,""))</f>
        <v/>
      </c>
      <c r="F149" s="390"/>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87" t="str">
        <f>_xlfn.CONCAT(_xlfn.XLOOKUP("[S05_AggregateTotalEmissionsByCRF][82][CRFCategory1]",Submission!$O:$O,Submission!$H:$N,""))</f>
        <v/>
      </c>
      <c r="D150" s="388"/>
      <c r="E150" s="389" t="str">
        <f>_xlfn.CONCAT(_xlfn.XLOOKUP("[S05_AggregateTotalEmissionsByCRF][82][CRFCategory2]",Submission!$O:$O,Submission!$H:$N,""))</f>
        <v/>
      </c>
      <c r="F150" s="390"/>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87" t="str">
        <f>_xlfn.CONCAT(_xlfn.XLOOKUP("[S05_AggregateTotalEmissionsByCRF][83][CRFCategory1]",Submission!$O:$O,Submission!$H:$N,""))</f>
        <v/>
      </c>
      <c r="D151" s="388"/>
      <c r="E151" s="389" t="str">
        <f>_xlfn.CONCAT(_xlfn.XLOOKUP("[S05_AggregateTotalEmissionsByCRF][83][CRFCategory2]",Submission!$O:$O,Submission!$H:$N,""))</f>
        <v/>
      </c>
      <c r="F151" s="390"/>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87" t="str">
        <f>_xlfn.CONCAT(_xlfn.XLOOKUP("[S05_AggregateTotalEmissionsByCRF][84][CRFCategory1]",Submission!$O:$O,Submission!$H:$N,""))</f>
        <v/>
      </c>
      <c r="D152" s="388"/>
      <c r="E152" s="389" t="str">
        <f>_xlfn.CONCAT(_xlfn.XLOOKUP("[S05_AggregateTotalEmissionsByCRF][84][CRFCategory2]",Submission!$O:$O,Submission!$H:$N,""))</f>
        <v/>
      </c>
      <c r="F152" s="390"/>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87" t="str">
        <f>_xlfn.CONCAT(_xlfn.XLOOKUP("[S05_AggregateTotalEmissionsByCRF][85][CRFCategory1]",Submission!$O:$O,Submission!$H:$N,""))</f>
        <v/>
      </c>
      <c r="D153" s="388"/>
      <c r="E153" s="389" t="str">
        <f>_xlfn.CONCAT(_xlfn.XLOOKUP("[S05_AggregateTotalEmissionsByCRF][85][CRFCategory2]",Submission!$O:$O,Submission!$H:$N,""))</f>
        <v/>
      </c>
      <c r="F153" s="390"/>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87" t="str">
        <f>_xlfn.CONCAT(_xlfn.XLOOKUP("[S05_AggregateTotalEmissionsByCRF][86][CRFCategory1]",Submission!$O:$O,Submission!$H:$N,""))</f>
        <v/>
      </c>
      <c r="D154" s="388"/>
      <c r="E154" s="389" t="str">
        <f>_xlfn.CONCAT(_xlfn.XLOOKUP("[S05_AggregateTotalEmissionsByCRF][86][CRFCategory2]",Submission!$O:$O,Submission!$H:$N,""))</f>
        <v/>
      </c>
      <c r="F154" s="390"/>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87" t="str">
        <f>_xlfn.CONCAT(_xlfn.XLOOKUP("[S05_AggregateTotalEmissionsByCRF][87][CRFCategory1]",Submission!$O:$O,Submission!$H:$N,""))</f>
        <v/>
      </c>
      <c r="D155" s="388"/>
      <c r="E155" s="389" t="str">
        <f>_xlfn.CONCAT(_xlfn.XLOOKUP("[S05_AggregateTotalEmissionsByCRF][87][CRFCategory2]",Submission!$O:$O,Submission!$H:$N,""))</f>
        <v/>
      </c>
      <c r="F155" s="390"/>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87" t="str">
        <f>_xlfn.CONCAT(_xlfn.XLOOKUP("[S05_AggregateTotalEmissionsByCRF][88][CRFCategory1]",Submission!$O:$O,Submission!$H:$N,""))</f>
        <v/>
      </c>
      <c r="D156" s="388"/>
      <c r="E156" s="389" t="str">
        <f>_xlfn.CONCAT(_xlfn.XLOOKUP("[S05_AggregateTotalEmissionsByCRF][88][CRFCategory2]",Submission!$O:$O,Submission!$H:$N,""))</f>
        <v/>
      </c>
      <c r="F156" s="390"/>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87" t="str">
        <f>_xlfn.CONCAT(_xlfn.XLOOKUP("[S05_AggregateTotalEmissionsByCRF][89][CRFCategory1]",Submission!$O:$O,Submission!$H:$N,""))</f>
        <v/>
      </c>
      <c r="D157" s="388"/>
      <c r="E157" s="389" t="str">
        <f>_xlfn.CONCAT(_xlfn.XLOOKUP("[S05_AggregateTotalEmissionsByCRF][89][CRFCategory2]",Submission!$O:$O,Submission!$H:$N,""))</f>
        <v/>
      </c>
      <c r="F157" s="390"/>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87" t="str">
        <f>_xlfn.CONCAT(_xlfn.XLOOKUP("[S05_AggregateTotalEmissionsByCRF][90][CRFCategory1]",Submission!$O:$O,Submission!$H:$N,""))</f>
        <v/>
      </c>
      <c r="D158" s="388"/>
      <c r="E158" s="389" t="str">
        <f>_xlfn.CONCAT(_xlfn.XLOOKUP("[S05_AggregateTotalEmissionsByCRF][90][CRFCategory2]",Submission!$O:$O,Submission!$H:$N,""))</f>
        <v/>
      </c>
      <c r="F158" s="390"/>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87" t="str">
        <f>_xlfn.CONCAT(_xlfn.XLOOKUP("[S05_AggregateTotalEmissionsByCRF][91][CRFCategory1]",Submission!$O:$O,Submission!$H:$N,""))</f>
        <v/>
      </c>
      <c r="D159" s="388"/>
      <c r="E159" s="389" t="str">
        <f>_xlfn.CONCAT(_xlfn.XLOOKUP("[S05_AggregateTotalEmissionsByCRF][91][CRFCategory2]",Submission!$O:$O,Submission!$H:$N,""))</f>
        <v/>
      </c>
      <c r="F159" s="390"/>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87" t="str">
        <f>_xlfn.CONCAT(_xlfn.XLOOKUP("[S05_AggregateTotalEmissionsByCRF][92][CRFCategory1]",Submission!$O:$O,Submission!$H:$N,""))</f>
        <v/>
      </c>
      <c r="D160" s="388"/>
      <c r="E160" s="389" t="str">
        <f>_xlfn.CONCAT(_xlfn.XLOOKUP("[S05_AggregateTotalEmissionsByCRF][92][CRFCategory2]",Submission!$O:$O,Submission!$H:$N,""))</f>
        <v/>
      </c>
      <c r="F160" s="390"/>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87" t="str">
        <f>_xlfn.CONCAT(_xlfn.XLOOKUP("[S05_AggregateTotalEmissionsByCRF][93][CRFCategory1]",Submission!$O:$O,Submission!$H:$N,""))</f>
        <v/>
      </c>
      <c r="D161" s="388"/>
      <c r="E161" s="389" t="str">
        <f>_xlfn.CONCAT(_xlfn.XLOOKUP("[S05_AggregateTotalEmissionsByCRF][93][CRFCategory2]",Submission!$O:$O,Submission!$H:$N,""))</f>
        <v/>
      </c>
      <c r="F161" s="390"/>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87" t="str">
        <f>_xlfn.CONCAT(_xlfn.XLOOKUP("[S05_AggregateTotalEmissionsByCRF][94][CRFCategory1]",Submission!$O:$O,Submission!$H:$N,""))</f>
        <v/>
      </c>
      <c r="D162" s="388"/>
      <c r="E162" s="389" t="str">
        <f>_xlfn.CONCAT(_xlfn.XLOOKUP("[S05_AggregateTotalEmissionsByCRF][94][CRFCategory2]",Submission!$O:$O,Submission!$H:$N,""))</f>
        <v/>
      </c>
      <c r="F162" s="390"/>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87" t="str">
        <f>_xlfn.CONCAT(_xlfn.XLOOKUP("[S05_AggregateTotalEmissionsByCRF][95][CRFCategory1]",Submission!$O:$O,Submission!$H:$N,""))</f>
        <v/>
      </c>
      <c r="D163" s="388"/>
      <c r="E163" s="389" t="str">
        <f>_xlfn.CONCAT(_xlfn.XLOOKUP("[S05_AggregateTotalEmissionsByCRF][95][CRFCategory2]",Submission!$O:$O,Submission!$H:$N,""))</f>
        <v/>
      </c>
      <c r="F163" s="390"/>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87" t="str">
        <f>_xlfn.CONCAT(_xlfn.XLOOKUP("[S05_AggregateTotalEmissionsByCRF][96][CRFCategory1]",Submission!$O:$O,Submission!$H:$N,""))</f>
        <v/>
      </c>
      <c r="D164" s="388"/>
      <c r="E164" s="389" t="str">
        <f>_xlfn.CONCAT(_xlfn.XLOOKUP("[S05_AggregateTotalEmissionsByCRF][96][CRFCategory2]",Submission!$O:$O,Submission!$H:$N,""))</f>
        <v/>
      </c>
      <c r="F164" s="390"/>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87" t="str">
        <f>_xlfn.CONCAT(_xlfn.XLOOKUP("[S05_AggregateTotalEmissionsByCRF][97][CRFCategory1]",Submission!$O:$O,Submission!$H:$N,""))</f>
        <v/>
      </c>
      <c r="D165" s="388"/>
      <c r="E165" s="389" t="str">
        <f>_xlfn.CONCAT(_xlfn.XLOOKUP("[S05_AggregateTotalEmissionsByCRF][97][CRFCategory2]",Submission!$O:$O,Submission!$H:$N,""))</f>
        <v/>
      </c>
      <c r="F165" s="390"/>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87" t="str">
        <f>_xlfn.CONCAT(_xlfn.XLOOKUP("[S05_AggregateTotalEmissionsByCRF][98][CRFCategory1]",Submission!$O:$O,Submission!$H:$N,""))</f>
        <v/>
      </c>
      <c r="D166" s="388"/>
      <c r="E166" s="389" t="str">
        <f>_xlfn.CONCAT(_xlfn.XLOOKUP("[S05_AggregateTotalEmissionsByCRF][98][CRFCategory2]",Submission!$O:$O,Submission!$H:$N,""))</f>
        <v/>
      </c>
      <c r="F166" s="390"/>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87" t="str">
        <f>_xlfn.CONCAT(_xlfn.XLOOKUP("[S05_AggregateTotalEmissionsByCRF][99][CRFCategory1]",Submission!$O:$O,Submission!$H:$N,""))</f>
        <v/>
      </c>
      <c r="D167" s="388"/>
      <c r="E167" s="389" t="str">
        <f>_xlfn.CONCAT(_xlfn.XLOOKUP("[S05_AggregateTotalEmissionsByCRF][99][CRFCategory2]",Submission!$O:$O,Submission!$H:$N,""))</f>
        <v/>
      </c>
      <c r="F167" s="390"/>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87" t="str">
        <f>_xlfn.CONCAT(_xlfn.XLOOKUP("[S05_AggregateTotalEmissionsByCRF][100][CRFCategory1]",Submission!$O:$O,Submission!$H:$N,""))</f>
        <v/>
      </c>
      <c r="D168" s="388"/>
      <c r="E168" s="389" t="str">
        <f>_xlfn.CONCAT(_xlfn.XLOOKUP("[S05_AggregateTotalEmissionsByCRF][100][CRFCategory2]",Submission!$O:$O,Submission!$H:$N,""))</f>
        <v/>
      </c>
      <c r="F168" s="390"/>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87" t="str">
        <f>_xlfn.CONCAT(_xlfn.XLOOKUP("[S05_AggregateTotalEmissionsByCRF][101][CRFCategory1]",Submission!$O:$O,Submission!$H:$N,""))</f>
        <v/>
      </c>
      <c r="D169" s="388"/>
      <c r="E169" s="389" t="str">
        <f>_xlfn.CONCAT(_xlfn.XLOOKUP("[S05_AggregateTotalEmissionsByCRF][101][CRFCategory2]",Submission!$O:$O,Submission!$H:$N,""))</f>
        <v/>
      </c>
      <c r="F169" s="390"/>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87" t="str">
        <f>_xlfn.CONCAT(_xlfn.XLOOKUP("[S05_AggregateTotalEmissionsByCRF][102][CRFCategory1]",Submission!$O:$O,Submission!$H:$N,""))</f>
        <v/>
      </c>
      <c r="D170" s="388"/>
      <c r="E170" s="389" t="str">
        <f>_xlfn.CONCAT(_xlfn.XLOOKUP("[S05_AggregateTotalEmissionsByCRF][102][CRFCategory2]",Submission!$O:$O,Submission!$H:$N,""))</f>
        <v/>
      </c>
      <c r="F170" s="390"/>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87" t="str">
        <f>_xlfn.CONCAT(_xlfn.XLOOKUP("[S05_AggregateTotalEmissionsByCRF][103][CRFCategory1]",Submission!$O:$O,Submission!$H:$N,""))</f>
        <v/>
      </c>
      <c r="D171" s="388"/>
      <c r="E171" s="389" t="str">
        <f>_xlfn.CONCAT(_xlfn.XLOOKUP("[S05_AggregateTotalEmissionsByCRF][103][CRFCategory2]",Submission!$O:$O,Submission!$H:$N,""))</f>
        <v/>
      </c>
      <c r="F171" s="390"/>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87" t="str">
        <f>_xlfn.CONCAT(_xlfn.XLOOKUP("[S05_AggregateTotalEmissionsByCRF][104][CRFCategory1]",Submission!$O:$O,Submission!$H:$N,""))</f>
        <v/>
      </c>
      <c r="D172" s="388"/>
      <c r="E172" s="389" t="str">
        <f>_xlfn.CONCAT(_xlfn.XLOOKUP("[S05_AggregateTotalEmissionsByCRF][104][CRFCategory2]",Submission!$O:$O,Submission!$H:$N,""))</f>
        <v/>
      </c>
      <c r="F172" s="390"/>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87" t="str">
        <f>_xlfn.CONCAT(_xlfn.XLOOKUP("[S05_AggregateTotalEmissionsByCRF][105][CRFCategory1]",Submission!$O:$O,Submission!$H:$N,""))</f>
        <v/>
      </c>
      <c r="D173" s="388"/>
      <c r="E173" s="389" t="str">
        <f>_xlfn.CONCAT(_xlfn.XLOOKUP("[S05_AggregateTotalEmissionsByCRF][105][CRFCategory2]",Submission!$O:$O,Submission!$H:$N,""))</f>
        <v/>
      </c>
      <c r="F173" s="390"/>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87" t="str">
        <f>_xlfn.CONCAT(_xlfn.XLOOKUP("[S05_AggregateTotalEmissionsByCRF][106][CRFCategory1]",Submission!$O:$O,Submission!$H:$N,""))</f>
        <v/>
      </c>
      <c r="D174" s="388"/>
      <c r="E174" s="389" t="str">
        <f>_xlfn.CONCAT(_xlfn.XLOOKUP("[S05_AggregateTotalEmissionsByCRF][106][CRFCategory2]",Submission!$O:$O,Submission!$H:$N,""))</f>
        <v/>
      </c>
      <c r="F174" s="390"/>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87" t="str">
        <f>_xlfn.CONCAT(_xlfn.XLOOKUP("[S05_AggregateTotalEmissionsByCRF][107][CRFCategory1]",Submission!$O:$O,Submission!$H:$N,""))</f>
        <v/>
      </c>
      <c r="D175" s="388"/>
      <c r="E175" s="389" t="str">
        <f>_xlfn.CONCAT(_xlfn.XLOOKUP("[S05_AggregateTotalEmissionsByCRF][107][CRFCategory2]",Submission!$O:$O,Submission!$H:$N,""))</f>
        <v/>
      </c>
      <c r="F175" s="390"/>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87" t="str">
        <f>_xlfn.CONCAT(_xlfn.XLOOKUP("[S05_AggregateTotalEmissionsByCRF][108][CRFCategory1]",Submission!$O:$O,Submission!$H:$N,""))</f>
        <v/>
      </c>
      <c r="D176" s="388"/>
      <c r="E176" s="389" t="str">
        <f>_xlfn.CONCAT(_xlfn.XLOOKUP("[S05_AggregateTotalEmissionsByCRF][108][CRFCategory2]",Submission!$O:$O,Submission!$H:$N,""))</f>
        <v/>
      </c>
      <c r="F176" s="390"/>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87" t="str">
        <f>_xlfn.CONCAT(_xlfn.XLOOKUP("[S05_AggregateTotalEmissionsByCRF][109][CRFCategory1]",Submission!$O:$O,Submission!$H:$N,""))</f>
        <v/>
      </c>
      <c r="D177" s="388"/>
      <c r="E177" s="389" t="str">
        <f>_xlfn.CONCAT(_xlfn.XLOOKUP("[S05_AggregateTotalEmissionsByCRF][109][CRFCategory2]",Submission!$O:$O,Submission!$H:$N,""))</f>
        <v/>
      </c>
      <c r="F177" s="390"/>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87" t="str">
        <f>_xlfn.CONCAT(_xlfn.XLOOKUP("[S05_AggregateTotalEmissionsByCRF][110][CRFCategory1]",Submission!$O:$O,Submission!$H:$N,""))</f>
        <v/>
      </c>
      <c r="D178" s="388"/>
      <c r="E178" s="389" t="str">
        <f>_xlfn.CONCAT(_xlfn.XLOOKUP("[S05_AggregateTotalEmissionsByCRF][110][CRFCategory2]",Submission!$O:$O,Submission!$H:$N,""))</f>
        <v/>
      </c>
      <c r="F178" s="390"/>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87" t="str">
        <f>_xlfn.CONCAT(_xlfn.XLOOKUP("[S05_AggregateTotalEmissionsByCRF][111][CRFCategory1]",Submission!$O:$O,Submission!$H:$N,""))</f>
        <v/>
      </c>
      <c r="D179" s="388"/>
      <c r="E179" s="389" t="str">
        <f>_xlfn.CONCAT(_xlfn.XLOOKUP("[S05_AggregateTotalEmissionsByCRF][111][CRFCategory2]",Submission!$O:$O,Submission!$H:$N,""))</f>
        <v/>
      </c>
      <c r="F179" s="390"/>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87" t="str">
        <f>_xlfn.CONCAT(_xlfn.XLOOKUP("[S05_AggregateTotalEmissionsByCRF][112][CRFCategory1]",Submission!$O:$O,Submission!$H:$N,""))</f>
        <v/>
      </c>
      <c r="D180" s="388"/>
      <c r="E180" s="389" t="str">
        <f>_xlfn.CONCAT(_xlfn.XLOOKUP("[S05_AggregateTotalEmissionsByCRF][112][CRFCategory2]",Submission!$O:$O,Submission!$H:$N,""))</f>
        <v/>
      </c>
      <c r="F180" s="390"/>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87" t="str">
        <f>_xlfn.CONCAT(_xlfn.XLOOKUP("[S05_AggregateTotalEmissionsByCRF][113][CRFCategory1]",Submission!$O:$O,Submission!$H:$N,""))</f>
        <v/>
      </c>
      <c r="D181" s="388"/>
      <c r="E181" s="389" t="str">
        <f>_xlfn.CONCAT(_xlfn.XLOOKUP("[S05_AggregateTotalEmissionsByCRF][113][CRFCategory2]",Submission!$O:$O,Submission!$H:$N,""))</f>
        <v/>
      </c>
      <c r="F181" s="390"/>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87" t="str">
        <f>_xlfn.CONCAT(_xlfn.XLOOKUP("[S05_AggregateTotalEmissionsByCRF][114][CRFCategory1]",Submission!$O:$O,Submission!$H:$N,""))</f>
        <v/>
      </c>
      <c r="D182" s="388"/>
      <c r="E182" s="389" t="str">
        <f>_xlfn.CONCAT(_xlfn.XLOOKUP("[S05_AggregateTotalEmissionsByCRF][114][CRFCategory2]",Submission!$O:$O,Submission!$H:$N,""))</f>
        <v/>
      </c>
      <c r="F182" s="390"/>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87" t="str">
        <f>_xlfn.CONCAT(_xlfn.XLOOKUP("[S05_AggregateTotalEmissionsByCRF][115][CRFCategory1]",Submission!$O:$O,Submission!$H:$N,""))</f>
        <v/>
      </c>
      <c r="D183" s="388"/>
      <c r="E183" s="389" t="str">
        <f>_xlfn.CONCAT(_xlfn.XLOOKUP("[S05_AggregateTotalEmissionsByCRF][115][CRFCategory2]",Submission!$O:$O,Submission!$H:$N,""))</f>
        <v/>
      </c>
      <c r="F183" s="390"/>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87" t="str">
        <f>_xlfn.CONCAT(_xlfn.XLOOKUP("[S05_AggregateTotalEmissionsByCRF][116][CRFCategory1]",Submission!$O:$O,Submission!$H:$N,""))</f>
        <v/>
      </c>
      <c r="D184" s="388"/>
      <c r="E184" s="389" t="str">
        <f>_xlfn.CONCAT(_xlfn.XLOOKUP("[S05_AggregateTotalEmissionsByCRF][116][CRFCategory2]",Submission!$O:$O,Submission!$H:$N,""))</f>
        <v/>
      </c>
      <c r="F184" s="390"/>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87" t="str">
        <f>_xlfn.CONCAT(_xlfn.XLOOKUP("[S05_AggregateTotalEmissionsByCRF][117][CRFCategory1]",Submission!$O:$O,Submission!$H:$N,""))</f>
        <v/>
      </c>
      <c r="D185" s="388"/>
      <c r="E185" s="389" t="str">
        <f>_xlfn.CONCAT(_xlfn.XLOOKUP("[S05_AggregateTotalEmissionsByCRF][117][CRFCategory2]",Submission!$O:$O,Submission!$H:$N,""))</f>
        <v/>
      </c>
      <c r="F185" s="390"/>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87" t="str">
        <f>_xlfn.CONCAT(_xlfn.XLOOKUP("[S05_AggregateTotalEmissionsByCRF][118][CRFCategory1]",Submission!$O:$O,Submission!$H:$N,""))</f>
        <v/>
      </c>
      <c r="D186" s="388"/>
      <c r="E186" s="389" t="str">
        <f>_xlfn.CONCAT(_xlfn.XLOOKUP("[S05_AggregateTotalEmissionsByCRF][118][CRFCategory2]",Submission!$O:$O,Submission!$H:$N,""))</f>
        <v/>
      </c>
      <c r="F186" s="390"/>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87" t="str">
        <f>_xlfn.CONCAT(_xlfn.XLOOKUP("[S05_AggregateTotalEmissionsByCRF][119][CRFCategory1]",Submission!$O:$O,Submission!$H:$N,""))</f>
        <v/>
      </c>
      <c r="D187" s="388"/>
      <c r="E187" s="389" t="str">
        <f>_xlfn.CONCAT(_xlfn.XLOOKUP("[S05_AggregateTotalEmissionsByCRF][119][CRFCategory2]",Submission!$O:$O,Submission!$H:$N,""))</f>
        <v/>
      </c>
      <c r="F187" s="390"/>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87" t="str">
        <f>_xlfn.CONCAT(_xlfn.XLOOKUP("[S05_AggregateTotalEmissionsByCRF][120][CRFCategory1]",Submission!$O:$O,Submission!$H:$N,""))</f>
        <v/>
      </c>
      <c r="D188" s="388"/>
      <c r="E188" s="389" t="str">
        <f>_xlfn.CONCAT(_xlfn.XLOOKUP("[S05_AggregateTotalEmissionsByCRF][120][CRFCategory2]",Submission!$O:$O,Submission!$H:$N,""))</f>
        <v/>
      </c>
      <c r="F188" s="390"/>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87" t="str">
        <f>_xlfn.CONCAT(_xlfn.XLOOKUP("[S05_AggregateTotalEmissionsByCRF][121][CRFCategory1]",Submission!$O:$O,Submission!$H:$N,""))</f>
        <v/>
      </c>
      <c r="D189" s="388"/>
      <c r="E189" s="389" t="str">
        <f>_xlfn.CONCAT(_xlfn.XLOOKUP("[S05_AggregateTotalEmissionsByCRF][121][CRFCategory2]",Submission!$O:$O,Submission!$H:$N,""))</f>
        <v/>
      </c>
      <c r="F189" s="390"/>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87" t="str">
        <f>_xlfn.CONCAT(_xlfn.XLOOKUP("[S05_AggregateTotalEmissionsByCRF][122][CRFCategory1]",Submission!$O:$O,Submission!$H:$N,""))</f>
        <v/>
      </c>
      <c r="D190" s="388"/>
      <c r="E190" s="389" t="str">
        <f>_xlfn.CONCAT(_xlfn.XLOOKUP("[S05_AggregateTotalEmissionsByCRF][122][CRFCategory2]",Submission!$O:$O,Submission!$H:$N,""))</f>
        <v/>
      </c>
      <c r="F190" s="390"/>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87" t="str">
        <f>_xlfn.CONCAT(_xlfn.XLOOKUP("[S05_AggregateTotalEmissionsByCRF][123][CRFCategory1]",Submission!$O:$O,Submission!$H:$N,""))</f>
        <v/>
      </c>
      <c r="D191" s="388"/>
      <c r="E191" s="389" t="str">
        <f>_xlfn.CONCAT(_xlfn.XLOOKUP("[S05_AggregateTotalEmissionsByCRF][123][CRFCategory2]",Submission!$O:$O,Submission!$H:$N,""))</f>
        <v/>
      </c>
      <c r="F191" s="390"/>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87" t="str">
        <f>_xlfn.CONCAT(_xlfn.XLOOKUP("[S05_AggregateTotalEmissionsByCRF][124][CRFCategory1]",Submission!$O:$O,Submission!$H:$N,""))</f>
        <v/>
      </c>
      <c r="D192" s="388"/>
      <c r="E192" s="389" t="str">
        <f>_xlfn.CONCAT(_xlfn.XLOOKUP("[S05_AggregateTotalEmissionsByCRF][124][CRFCategory2]",Submission!$O:$O,Submission!$H:$N,""))</f>
        <v/>
      </c>
      <c r="F192" s="390"/>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87" t="str">
        <f>_xlfn.CONCAT(_xlfn.XLOOKUP("[S05_AggregateTotalEmissionsByCRF][125][CRFCategory1]",Submission!$O:$O,Submission!$H:$N,""))</f>
        <v/>
      </c>
      <c r="D193" s="388"/>
      <c r="E193" s="389" t="str">
        <f>_xlfn.CONCAT(_xlfn.XLOOKUP("[S05_AggregateTotalEmissionsByCRF][125][CRFCategory2]",Submission!$O:$O,Submission!$H:$N,""))</f>
        <v/>
      </c>
      <c r="F193" s="390"/>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87" t="str">
        <f>_xlfn.CONCAT(_xlfn.XLOOKUP("[S05_AggregateTotalEmissionsByCRF][126][CRFCategory1]",Submission!$O:$O,Submission!$H:$N,""))</f>
        <v/>
      </c>
      <c r="D194" s="388"/>
      <c r="E194" s="389" t="str">
        <f>_xlfn.CONCAT(_xlfn.XLOOKUP("[S05_AggregateTotalEmissionsByCRF][126][CRFCategory2]",Submission!$O:$O,Submission!$H:$N,""))</f>
        <v/>
      </c>
      <c r="F194" s="390"/>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87" t="str">
        <f>_xlfn.CONCAT(_xlfn.XLOOKUP("[S05_AggregateTotalEmissionsByCRF][127][CRFCategory1]",Submission!$O:$O,Submission!$H:$N,""))</f>
        <v/>
      </c>
      <c r="D195" s="388"/>
      <c r="E195" s="389" t="str">
        <f>_xlfn.CONCAT(_xlfn.XLOOKUP("[S05_AggregateTotalEmissionsByCRF][127][CRFCategory2]",Submission!$O:$O,Submission!$H:$N,""))</f>
        <v/>
      </c>
      <c r="F195" s="390"/>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87" t="str">
        <f>_xlfn.CONCAT(_xlfn.XLOOKUP("[S05_AggregateTotalEmissionsByCRF][128][CRFCategory1]",Submission!$O:$O,Submission!$H:$N,""))</f>
        <v/>
      </c>
      <c r="D196" s="388"/>
      <c r="E196" s="389" t="str">
        <f>_xlfn.CONCAT(_xlfn.XLOOKUP("[S05_AggregateTotalEmissionsByCRF][128][CRFCategory2]",Submission!$O:$O,Submission!$H:$N,""))</f>
        <v/>
      </c>
      <c r="F196" s="390"/>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87" t="str">
        <f>_xlfn.CONCAT(_xlfn.XLOOKUP("[S05_AggregateTotalEmissionsByCRF][129][CRFCategory1]",Submission!$O:$O,Submission!$H:$N,""))</f>
        <v/>
      </c>
      <c r="D197" s="388"/>
      <c r="E197" s="389" t="str">
        <f>_xlfn.CONCAT(_xlfn.XLOOKUP("[S05_AggregateTotalEmissionsByCRF][129][CRFCategory2]",Submission!$O:$O,Submission!$H:$N,""))</f>
        <v/>
      </c>
      <c r="F197" s="390"/>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87" t="str">
        <f>_xlfn.CONCAT(_xlfn.XLOOKUP("[S05_AggregateTotalEmissionsByCRF][130][CRFCategory1]",Submission!$O:$O,Submission!$H:$N,""))</f>
        <v/>
      </c>
      <c r="D198" s="388"/>
      <c r="E198" s="389" t="str">
        <f>_xlfn.CONCAT(_xlfn.XLOOKUP("[S05_AggregateTotalEmissionsByCRF][130][CRFCategory2]",Submission!$O:$O,Submission!$H:$N,""))</f>
        <v/>
      </c>
      <c r="F198" s="390"/>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1" t="s">
        <v>858</v>
      </c>
      <c r="C201" s="272"/>
      <c r="D201" s="272"/>
      <c r="E201" s="272"/>
      <c r="F201" s="272"/>
      <c r="G201" s="272"/>
      <c r="H201" s="272"/>
      <c r="I201" s="272"/>
    </row>
    <row r="202" spans="1:9" ht="30" customHeight="1" x14ac:dyDescent="0.3">
      <c r="A202" s="13"/>
      <c r="B202" s="34"/>
      <c r="C202" s="351" t="s">
        <v>859</v>
      </c>
      <c r="D202" s="352"/>
      <c r="E202" s="352"/>
      <c r="F202" s="352"/>
      <c r="G202" s="353"/>
      <c r="H202" s="45" t="s">
        <v>860</v>
      </c>
      <c r="I202" s="42" t="s">
        <v>861</v>
      </c>
    </row>
    <row r="203" spans="1:9" ht="15.9" customHeight="1" x14ac:dyDescent="0.3">
      <c r="A203" s="13"/>
      <c r="B203" s="34"/>
      <c r="C203" s="281" t="str">
        <f>_xlfn.CONCAT(_xlfn.XLOOKUP("[S05_DefaultValues][1][InstallationCategory]",Submission!$O:$O,Submission!$H:$N,""))</f>
        <v>Category B installation</v>
      </c>
      <c r="D203" s="350"/>
      <c r="E203" s="350"/>
      <c r="F203" s="350"/>
      <c r="G203" s="347"/>
      <c r="H203" s="123" t="str">
        <f>_xlfn.CONCAT(_xlfn.XLOOKUP("[S05_DefaultValues][1][FuelMaterialType]",Submission!$O:$O,Submission!$H:$N,""))</f>
        <v>Urea</v>
      </c>
      <c r="I203" s="106" t="str">
        <f>_xlfn.CONCAT(_xlfn.XLOOKUP("[S05_DefaultValues][1][InstallationNumber]",Submission!$O:$O,Submission!$H:$N,""))</f>
        <v>1</v>
      </c>
    </row>
    <row r="204" spans="1:9" ht="15.9" customHeight="1" x14ac:dyDescent="0.3">
      <c r="A204" s="13"/>
      <c r="B204" s="34"/>
      <c r="C204" s="281" t="str">
        <f>_xlfn.CONCAT(_xlfn.XLOOKUP("[S05_DefaultValues][2][InstallationCategory]",Submission!$O:$O,Submission!$H:$N,""))</f>
        <v/>
      </c>
      <c r="D204" s="350"/>
      <c r="E204" s="350"/>
      <c r="F204" s="350"/>
      <c r="G204" s="347"/>
      <c r="H204" s="123" t="str">
        <f>_xlfn.CONCAT(_xlfn.XLOOKUP("[S05_DefaultValues][2][FuelMaterialType]",Submission!$O:$O,Submission!$H:$N,""))</f>
        <v/>
      </c>
      <c r="I204" s="106" t="str">
        <f>_xlfn.CONCAT(_xlfn.XLOOKUP("[S05_DefaultValues][2][InstallationNumber]",Submission!$O:$O,Submission!$H:$N,""))</f>
        <v/>
      </c>
    </row>
    <row r="205" spans="1:9" ht="15.9" customHeight="1" x14ac:dyDescent="0.3">
      <c r="A205" s="13"/>
      <c r="B205" s="34"/>
      <c r="C205" s="281" t="str">
        <f>_xlfn.CONCAT(_xlfn.XLOOKUP("[S05_DefaultValues][3][InstallationCategory]",Submission!$O:$O,Submission!$H:$N,""))</f>
        <v/>
      </c>
      <c r="D205" s="350"/>
      <c r="E205" s="350"/>
      <c r="F205" s="350"/>
      <c r="G205" s="347"/>
      <c r="H205" s="123" t="str">
        <f>_xlfn.CONCAT(_xlfn.XLOOKUP("[S05_DefaultValues][3][FuelMaterialType]",Submission!$O:$O,Submission!$H:$N,""))</f>
        <v/>
      </c>
      <c r="I205" s="106" t="str">
        <f>_xlfn.CONCAT(_xlfn.XLOOKUP("[S05_DefaultValues][3][InstallationNumber]",Submission!$O:$O,Submission!$H:$N,""))</f>
        <v/>
      </c>
    </row>
    <row r="206" spans="1:9" ht="15.9" customHeight="1" x14ac:dyDescent="0.3">
      <c r="A206" s="13"/>
      <c r="B206" s="34"/>
      <c r="C206" s="281" t="str">
        <f>_xlfn.CONCAT(_xlfn.XLOOKUP("[S05_DefaultValues][4][InstallationCategory]",Submission!$O:$O,Submission!$H:$N,""))</f>
        <v/>
      </c>
      <c r="D206" s="350"/>
      <c r="E206" s="350"/>
      <c r="F206" s="350"/>
      <c r="G206" s="347"/>
      <c r="H206" s="123" t="str">
        <f>_xlfn.CONCAT(_xlfn.XLOOKUP("[S05_DefaultValues][4][FuelMaterialType]",Submission!$O:$O,Submission!$H:$N,""))</f>
        <v/>
      </c>
      <c r="I206" s="106" t="str">
        <f>_xlfn.CONCAT(_xlfn.XLOOKUP("[S05_DefaultValues][4][InstallationNumber]",Submission!$O:$O,Submission!$H:$N,""))</f>
        <v/>
      </c>
    </row>
    <row r="207" spans="1:9" ht="15.9" customHeight="1" x14ac:dyDescent="0.3">
      <c r="A207" s="13"/>
      <c r="B207" s="34"/>
      <c r="C207" s="281" t="str">
        <f>_xlfn.CONCAT(_xlfn.XLOOKUP("[S05_DefaultValues][5][InstallationCategory]",Submission!$O:$O,Submission!$H:$N,""))</f>
        <v/>
      </c>
      <c r="D207" s="350"/>
      <c r="E207" s="350"/>
      <c r="F207" s="350"/>
      <c r="G207" s="347"/>
      <c r="H207" s="123" t="str">
        <f>_xlfn.CONCAT(_xlfn.XLOOKUP("[S05_DefaultValues][5][FuelMaterialType]",Submission!$O:$O,Submission!$H:$N,""))</f>
        <v/>
      </c>
      <c r="I207" s="106" t="str">
        <f>_xlfn.CONCAT(_xlfn.XLOOKUP("[S05_DefaultValues][5][InstallationNumber]",Submission!$O:$O,Submission!$H:$N,""))</f>
        <v/>
      </c>
    </row>
    <row r="208" spans="1:9" ht="15.9" customHeight="1" x14ac:dyDescent="0.3">
      <c r="A208" s="13"/>
      <c r="B208" s="34"/>
      <c r="C208" s="281" t="str">
        <f>_xlfn.CONCAT(_xlfn.XLOOKUP("[S05_DefaultValues][6][InstallationCategory]",Submission!$O:$O,Submission!$H:$N,""))</f>
        <v/>
      </c>
      <c r="D208" s="350"/>
      <c r="E208" s="350"/>
      <c r="F208" s="350"/>
      <c r="G208" s="347"/>
      <c r="H208" s="123" t="str">
        <f>_xlfn.CONCAT(_xlfn.XLOOKUP("[S05_DefaultValues][6][FuelMaterialType]",Submission!$O:$O,Submission!$H:$N,""))</f>
        <v/>
      </c>
      <c r="I208" s="106" t="str">
        <f>_xlfn.CONCAT(_xlfn.XLOOKUP("[S05_DefaultValues][6][InstallationNumber]",Submission!$O:$O,Submission!$H:$N,""))</f>
        <v/>
      </c>
    </row>
    <row r="209" spans="1:9" ht="15.9" customHeight="1" x14ac:dyDescent="0.3">
      <c r="A209" s="13"/>
      <c r="B209" s="34"/>
      <c r="C209" s="281" t="str">
        <f>_xlfn.CONCAT(_xlfn.XLOOKUP("[S05_DefaultValues][7][InstallationCategory]",Submission!$O:$O,Submission!$H:$N,""))</f>
        <v/>
      </c>
      <c r="D209" s="350"/>
      <c r="E209" s="350"/>
      <c r="F209" s="350"/>
      <c r="G209" s="347"/>
      <c r="H209" s="123" t="str">
        <f>_xlfn.CONCAT(_xlfn.XLOOKUP("[S05_DefaultValues][7][FuelMaterialType]",Submission!$O:$O,Submission!$H:$N,""))</f>
        <v/>
      </c>
      <c r="I209" s="106" t="str">
        <f>_xlfn.CONCAT(_xlfn.XLOOKUP("[S05_DefaultValues][7][InstallationNumber]",Submission!$O:$O,Submission!$H:$N,""))</f>
        <v/>
      </c>
    </row>
    <row r="210" spans="1:9" ht="15.9" customHeight="1" x14ac:dyDescent="0.3">
      <c r="A210" s="13"/>
      <c r="B210" s="34"/>
      <c r="C210" s="281" t="str">
        <f>_xlfn.CONCAT(_xlfn.XLOOKUP("[S05_DefaultValues][8][InstallationCategory]",Submission!$O:$O,Submission!$H:$N,""))</f>
        <v/>
      </c>
      <c r="D210" s="350"/>
      <c r="E210" s="350"/>
      <c r="F210" s="350"/>
      <c r="G210" s="347"/>
      <c r="H210" s="123" t="str">
        <f>_xlfn.CONCAT(_xlfn.XLOOKUP("[S05_DefaultValues][8][FuelMaterialType]",Submission!$O:$O,Submission!$H:$N,""))</f>
        <v/>
      </c>
      <c r="I210" s="106" t="str">
        <f>_xlfn.CONCAT(_xlfn.XLOOKUP("[S05_DefaultValues][8][InstallationNumber]",Submission!$O:$O,Submission!$H:$N,""))</f>
        <v/>
      </c>
    </row>
    <row r="211" spans="1:9" ht="15.9" customHeight="1" x14ac:dyDescent="0.3">
      <c r="A211" s="13"/>
      <c r="B211" s="34"/>
      <c r="C211" s="281" t="str">
        <f>_xlfn.CONCAT(_xlfn.XLOOKUP("[S05_DefaultValues][9][InstallationCategory]",Submission!$O:$O,Submission!$H:$N,""))</f>
        <v/>
      </c>
      <c r="D211" s="350"/>
      <c r="E211" s="350"/>
      <c r="F211" s="350"/>
      <c r="G211" s="347"/>
      <c r="H211" s="123" t="str">
        <f>_xlfn.CONCAT(_xlfn.XLOOKUP("[S05_DefaultValues][9][FuelMaterialType]",Submission!$O:$O,Submission!$H:$N,""))</f>
        <v/>
      </c>
      <c r="I211" s="106" t="str">
        <f>_xlfn.CONCAT(_xlfn.XLOOKUP("[S05_DefaultValues][9][InstallationNumber]",Submission!$O:$O,Submission!$H:$N,""))</f>
        <v/>
      </c>
    </row>
    <row r="212" spans="1:9" ht="15.9" customHeight="1" x14ac:dyDescent="0.3">
      <c r="A212" s="13"/>
      <c r="B212" s="34"/>
      <c r="C212" s="281" t="str">
        <f>_xlfn.CONCAT(_xlfn.XLOOKUP("[S05_DefaultValues][10][InstallationCategory]",Submission!$O:$O,Submission!$H:$N,""))</f>
        <v/>
      </c>
      <c r="D212" s="350"/>
      <c r="E212" s="350"/>
      <c r="F212" s="350"/>
      <c r="G212" s="347"/>
      <c r="H212" s="123" t="str">
        <f>_xlfn.CONCAT(_xlfn.XLOOKUP("[S05_DefaultValues][10][FuelMaterialType]",Submission!$O:$O,Submission!$H:$N,""))</f>
        <v/>
      </c>
      <c r="I212" s="106" t="str">
        <f>_xlfn.CONCAT(_xlfn.XLOOKUP("[S05_DefaultValues][10][InstallationNumber]",Submission!$O:$O,Submission!$H:$N,""))</f>
        <v/>
      </c>
    </row>
    <row r="213" spans="1:9" ht="15.9" customHeight="1" x14ac:dyDescent="0.3">
      <c r="A213" s="13"/>
      <c r="B213" s="34"/>
      <c r="C213" s="281" t="str">
        <f>_xlfn.CONCAT(_xlfn.XLOOKUP("[S05_DefaultValues][11][InstallationCategory]",Submission!$O:$O,Submission!$H:$N,""))</f>
        <v/>
      </c>
      <c r="D213" s="350"/>
      <c r="E213" s="350"/>
      <c r="F213" s="350"/>
      <c r="G213" s="347"/>
      <c r="H213" s="123" t="str">
        <f>_xlfn.CONCAT(_xlfn.XLOOKUP("[S05_DefaultValues][11][FuelMaterialType]",Submission!$O:$O,Submission!$H:$N,""))</f>
        <v/>
      </c>
      <c r="I213" s="106" t="str">
        <f>_xlfn.CONCAT(_xlfn.XLOOKUP("[S05_DefaultValues][11][InstallationNumber]",Submission!$O:$O,Submission!$H:$N,""))</f>
        <v/>
      </c>
    </row>
    <row r="214" spans="1:9" ht="15.9" customHeight="1" x14ac:dyDescent="0.3">
      <c r="A214" s="13"/>
      <c r="B214" s="34"/>
      <c r="C214" s="281" t="str">
        <f>_xlfn.CONCAT(_xlfn.XLOOKUP("[S05_DefaultValues][12][InstallationCategory]",Submission!$O:$O,Submission!$H:$N,""))</f>
        <v/>
      </c>
      <c r="D214" s="350"/>
      <c r="E214" s="350"/>
      <c r="F214" s="350"/>
      <c r="G214" s="347"/>
      <c r="H214" s="123" t="str">
        <f>_xlfn.CONCAT(_xlfn.XLOOKUP("[S05_DefaultValues][12][FuelMaterialType]",Submission!$O:$O,Submission!$H:$N,""))</f>
        <v/>
      </c>
      <c r="I214" s="106" t="str">
        <f>_xlfn.CONCAT(_xlfn.XLOOKUP("[S05_DefaultValues][12][InstallationNumber]",Submission!$O:$O,Submission!$H:$N,""))</f>
        <v/>
      </c>
    </row>
    <row r="215" spans="1:9" ht="15.9" customHeight="1" x14ac:dyDescent="0.3">
      <c r="A215" s="13"/>
      <c r="B215" s="34"/>
      <c r="C215" s="281" t="str">
        <f>_xlfn.CONCAT(_xlfn.XLOOKUP("[S05_DefaultValues][13][InstallationCategory]",Submission!$O:$O,Submission!$H:$N,""))</f>
        <v/>
      </c>
      <c r="D215" s="350"/>
      <c r="E215" s="350"/>
      <c r="F215" s="350"/>
      <c r="G215" s="347"/>
      <c r="H215" s="123" t="str">
        <f>_xlfn.CONCAT(_xlfn.XLOOKUP("[S05_DefaultValues][13][FuelMaterialType]",Submission!$O:$O,Submission!$H:$N,""))</f>
        <v/>
      </c>
      <c r="I215" s="106" t="str">
        <f>_xlfn.CONCAT(_xlfn.XLOOKUP("[S05_DefaultValues][13][InstallationNumber]",Submission!$O:$O,Submission!$H:$N,""))</f>
        <v/>
      </c>
    </row>
    <row r="216" spans="1:9" ht="15.9" customHeight="1" x14ac:dyDescent="0.3">
      <c r="A216" s="13"/>
      <c r="B216" s="34"/>
      <c r="C216" s="281" t="str">
        <f>_xlfn.CONCAT(_xlfn.XLOOKUP("[S05_DefaultValues][14][InstallationCategory]",Submission!$O:$O,Submission!$H:$N,""))</f>
        <v/>
      </c>
      <c r="D216" s="350"/>
      <c r="E216" s="350"/>
      <c r="F216" s="350"/>
      <c r="G216" s="347"/>
      <c r="H216" s="123" t="str">
        <f>_xlfn.CONCAT(_xlfn.XLOOKUP("[S05_DefaultValues][14][FuelMaterialType]",Submission!$O:$O,Submission!$H:$N,""))</f>
        <v/>
      </c>
      <c r="I216" s="106" t="str">
        <f>_xlfn.CONCAT(_xlfn.XLOOKUP("[S05_DefaultValues][14][InstallationNumber]",Submission!$O:$O,Submission!$H:$N,""))</f>
        <v/>
      </c>
    </row>
    <row r="217" spans="1:9" ht="15.9" customHeight="1" x14ac:dyDescent="0.3">
      <c r="A217" s="13"/>
      <c r="B217" s="34"/>
      <c r="C217" s="281" t="str">
        <f>_xlfn.CONCAT(_xlfn.XLOOKUP("[S05_DefaultValues][15][InstallationCategory]",Submission!$O:$O,Submission!$H:$N,""))</f>
        <v/>
      </c>
      <c r="D217" s="350"/>
      <c r="E217" s="350"/>
      <c r="F217" s="350"/>
      <c r="G217" s="347"/>
      <c r="H217" s="123" t="str">
        <f>_xlfn.CONCAT(_xlfn.XLOOKUP("[S05_DefaultValues][15][FuelMaterialType]",Submission!$O:$O,Submission!$H:$N,""))</f>
        <v/>
      </c>
      <c r="I217" s="106" t="str">
        <f>_xlfn.CONCAT(_xlfn.XLOOKUP("[S05_DefaultValues][15][InstallationNumber]",Submission!$O:$O,Submission!$H:$N,""))</f>
        <v/>
      </c>
    </row>
    <row r="218" spans="1:9" ht="15.9" customHeight="1" x14ac:dyDescent="0.3">
      <c r="A218" s="13"/>
      <c r="B218" s="34"/>
      <c r="C218" s="281" t="str">
        <f>_xlfn.CONCAT(_xlfn.XLOOKUP("[S05_DefaultValues][16][InstallationCategory]",Submission!$O:$O,Submission!$H:$N,""))</f>
        <v/>
      </c>
      <c r="D218" s="350"/>
      <c r="E218" s="350"/>
      <c r="F218" s="350"/>
      <c r="G218" s="347"/>
      <c r="H218" s="123" t="str">
        <f>_xlfn.CONCAT(_xlfn.XLOOKUP("[S05_DefaultValues][16][FuelMaterialType]",Submission!$O:$O,Submission!$H:$N,""))</f>
        <v/>
      </c>
      <c r="I218" s="106" t="str">
        <f>_xlfn.CONCAT(_xlfn.XLOOKUP("[S05_DefaultValues][16][InstallationNumber]",Submission!$O:$O,Submission!$H:$N,""))</f>
        <v/>
      </c>
    </row>
    <row r="219" spans="1:9" ht="15.9" customHeight="1" x14ac:dyDescent="0.3">
      <c r="A219" s="13"/>
      <c r="B219" s="34"/>
      <c r="C219" s="281" t="str">
        <f>_xlfn.CONCAT(_xlfn.XLOOKUP("[S05_DefaultValues][17][InstallationCategory]",Submission!$O:$O,Submission!$H:$N,""))</f>
        <v/>
      </c>
      <c r="D219" s="350"/>
      <c r="E219" s="350"/>
      <c r="F219" s="350"/>
      <c r="G219" s="347"/>
      <c r="H219" s="123" t="str">
        <f>_xlfn.CONCAT(_xlfn.XLOOKUP("[S05_DefaultValues][17][FuelMaterialType]",Submission!$O:$O,Submission!$H:$N,""))</f>
        <v/>
      </c>
      <c r="I219" s="106" t="str">
        <f>_xlfn.CONCAT(_xlfn.XLOOKUP("[S05_DefaultValues][17][InstallationNumber]",Submission!$O:$O,Submission!$H:$N,""))</f>
        <v/>
      </c>
    </row>
    <row r="220" spans="1:9" ht="15.9" customHeight="1" x14ac:dyDescent="0.3">
      <c r="A220" s="13"/>
      <c r="B220" s="34"/>
      <c r="C220" s="281" t="str">
        <f>_xlfn.CONCAT(_xlfn.XLOOKUP("[S05_DefaultValues][18][InstallationCategory]",Submission!$O:$O,Submission!$H:$N,""))</f>
        <v/>
      </c>
      <c r="D220" s="350"/>
      <c r="E220" s="350"/>
      <c r="F220" s="350"/>
      <c r="G220" s="347"/>
      <c r="H220" s="123" t="str">
        <f>_xlfn.CONCAT(_xlfn.XLOOKUP("[S05_DefaultValues][18][FuelMaterialType]",Submission!$O:$O,Submission!$H:$N,""))</f>
        <v/>
      </c>
      <c r="I220" s="106" t="str">
        <f>_xlfn.CONCAT(_xlfn.XLOOKUP("[S05_DefaultValues][18][InstallationNumber]",Submission!$O:$O,Submission!$H:$N,""))</f>
        <v/>
      </c>
    </row>
    <row r="221" spans="1:9" ht="15.9" customHeight="1" x14ac:dyDescent="0.3">
      <c r="A221" s="13"/>
      <c r="B221" s="34"/>
      <c r="C221" s="281" t="str">
        <f>_xlfn.CONCAT(_xlfn.XLOOKUP("[S05_DefaultValues][19][InstallationCategory]",Submission!$O:$O,Submission!$H:$N,""))</f>
        <v/>
      </c>
      <c r="D221" s="350"/>
      <c r="E221" s="350"/>
      <c r="F221" s="350"/>
      <c r="G221" s="347"/>
      <c r="H221" s="123" t="str">
        <f>_xlfn.CONCAT(_xlfn.XLOOKUP("[S05_DefaultValues][19][FuelMaterialType]",Submission!$O:$O,Submission!$H:$N,""))</f>
        <v/>
      </c>
      <c r="I221" s="106" t="str">
        <f>_xlfn.CONCAT(_xlfn.XLOOKUP("[S05_DefaultValues][19][InstallationNumber]",Submission!$O:$O,Submission!$H:$N,""))</f>
        <v/>
      </c>
    </row>
    <row r="222" spans="1:9" ht="15.9" customHeight="1" x14ac:dyDescent="0.3">
      <c r="A222" s="13"/>
      <c r="B222" s="34"/>
      <c r="C222" s="281" t="str">
        <f>_xlfn.CONCAT(_xlfn.XLOOKUP("[S05_DefaultValues][20][InstallationCategory]",Submission!$O:$O,Submission!$H:$N,""))</f>
        <v/>
      </c>
      <c r="D222" s="350"/>
      <c r="E222" s="350"/>
      <c r="F222" s="350"/>
      <c r="G222" s="347"/>
      <c r="H222" s="123" t="str">
        <f>_xlfn.CONCAT(_xlfn.XLOOKUP("[S05_DefaultValues][20][FuelMaterialType]",Submission!$O:$O,Submission!$H:$N,""))</f>
        <v/>
      </c>
      <c r="I222" s="106" t="str">
        <f>_xlfn.CONCAT(_xlfn.XLOOKUP("[S05_DefaultValues][20][InstallationNumber]",Submission!$O:$O,Submission!$H:$N,""))</f>
        <v/>
      </c>
    </row>
    <row r="223" spans="1:9" ht="15.9" customHeight="1" x14ac:dyDescent="0.3">
      <c r="A223" s="13"/>
      <c r="B223" s="34"/>
      <c r="C223" s="281" t="str">
        <f>_xlfn.CONCAT(_xlfn.XLOOKUP("[S05_DefaultValues][21][InstallationCategory]",Submission!$O:$O,Submission!$H:$N,""))</f>
        <v/>
      </c>
      <c r="D223" s="350"/>
      <c r="E223" s="350"/>
      <c r="F223" s="350"/>
      <c r="G223" s="347"/>
      <c r="H223" s="123" t="str">
        <f>_xlfn.CONCAT(_xlfn.XLOOKUP("[S05_DefaultValues][21][FuelMaterialType]",Submission!$O:$O,Submission!$H:$N,""))</f>
        <v/>
      </c>
      <c r="I223" s="106" t="str">
        <f>_xlfn.CONCAT(_xlfn.XLOOKUP("[S05_DefaultValues][21][InstallationNumber]",Submission!$O:$O,Submission!$H:$N,""))</f>
        <v/>
      </c>
    </row>
    <row r="224" spans="1:9" ht="15.9" customHeight="1" x14ac:dyDescent="0.3">
      <c r="A224" s="13"/>
      <c r="B224" s="34"/>
      <c r="C224" s="281" t="str">
        <f>_xlfn.CONCAT(_xlfn.XLOOKUP("[S05_DefaultValues][22][InstallationCategory]",Submission!$O:$O,Submission!$H:$N,""))</f>
        <v/>
      </c>
      <c r="D224" s="350"/>
      <c r="E224" s="350"/>
      <c r="F224" s="350"/>
      <c r="G224" s="347"/>
      <c r="H224" s="123" t="str">
        <f>_xlfn.CONCAT(_xlfn.XLOOKUP("[S05_DefaultValues][22][FuelMaterialType]",Submission!$O:$O,Submission!$H:$N,""))</f>
        <v/>
      </c>
      <c r="I224" s="106" t="str">
        <f>_xlfn.CONCAT(_xlfn.XLOOKUP("[S05_DefaultValues][22][InstallationNumber]",Submission!$O:$O,Submission!$H:$N,""))</f>
        <v/>
      </c>
    </row>
    <row r="225" spans="1:9" ht="15.9" customHeight="1" x14ac:dyDescent="0.3">
      <c r="A225" s="13"/>
      <c r="B225" s="34"/>
      <c r="C225" s="281" t="str">
        <f>_xlfn.CONCAT(_xlfn.XLOOKUP("[S05_DefaultValues][23][InstallationCategory]",Submission!$O:$O,Submission!$H:$N,""))</f>
        <v/>
      </c>
      <c r="D225" s="350"/>
      <c r="E225" s="350"/>
      <c r="F225" s="350"/>
      <c r="G225" s="347"/>
      <c r="H225" s="123" t="str">
        <f>_xlfn.CONCAT(_xlfn.XLOOKUP("[S05_DefaultValues][23][FuelMaterialType]",Submission!$O:$O,Submission!$H:$N,""))</f>
        <v/>
      </c>
      <c r="I225" s="106" t="str">
        <f>_xlfn.CONCAT(_xlfn.XLOOKUP("[S05_DefaultValues][23][InstallationNumber]",Submission!$O:$O,Submission!$H:$N,""))</f>
        <v/>
      </c>
    </row>
    <row r="226" spans="1:9" ht="15.9" customHeight="1" x14ac:dyDescent="0.3">
      <c r="A226" s="13"/>
      <c r="B226" s="34"/>
      <c r="C226" s="281" t="str">
        <f>_xlfn.CONCAT(_xlfn.XLOOKUP("[S05_DefaultValues][24][InstallationCategory]",Submission!$O:$O,Submission!$H:$N,""))</f>
        <v/>
      </c>
      <c r="D226" s="350"/>
      <c r="E226" s="350"/>
      <c r="F226" s="350"/>
      <c r="G226" s="347"/>
      <c r="H226" s="123" t="str">
        <f>_xlfn.CONCAT(_xlfn.XLOOKUP("[S05_DefaultValues][24][FuelMaterialType]",Submission!$O:$O,Submission!$H:$N,""))</f>
        <v/>
      </c>
      <c r="I226" s="106" t="str">
        <f>_xlfn.CONCAT(_xlfn.XLOOKUP("[S05_DefaultValues][24][InstallationNumber]",Submission!$O:$O,Submission!$H:$N,""))</f>
        <v/>
      </c>
    </row>
    <row r="227" spans="1:9" ht="15.9" customHeight="1" x14ac:dyDescent="0.3">
      <c r="A227" s="13"/>
      <c r="B227" s="34"/>
      <c r="C227" s="281" t="str">
        <f>_xlfn.CONCAT(_xlfn.XLOOKUP("[S05_DefaultValues][25][InstallationCategory]",Submission!$O:$O,Submission!$H:$N,""))</f>
        <v/>
      </c>
      <c r="D227" s="350"/>
      <c r="E227" s="350"/>
      <c r="F227" s="350"/>
      <c r="G227" s="347"/>
      <c r="H227" s="123" t="str">
        <f>_xlfn.CONCAT(_xlfn.XLOOKUP("[S05_DefaultValues][25][FuelMaterialType]",Submission!$O:$O,Submission!$H:$N,""))</f>
        <v/>
      </c>
      <c r="I227" s="106" t="str">
        <f>_xlfn.CONCAT(_xlfn.XLOOKUP("[S05_DefaultValues][25][InstallationNumber]",Submission!$O:$O,Submission!$H:$N,""))</f>
        <v/>
      </c>
    </row>
    <row r="228" spans="1:9" ht="15.9" customHeight="1" x14ac:dyDescent="0.3">
      <c r="A228" s="13"/>
      <c r="B228" s="34"/>
      <c r="C228" s="281" t="str">
        <f>_xlfn.CONCAT(_xlfn.XLOOKUP("[S05_DefaultValues][26][InstallationCategory]",Submission!$O:$O,Submission!$H:$N,""))</f>
        <v/>
      </c>
      <c r="D228" s="350"/>
      <c r="E228" s="350"/>
      <c r="F228" s="350"/>
      <c r="G228" s="347"/>
      <c r="H228" s="123" t="str">
        <f>_xlfn.CONCAT(_xlfn.XLOOKUP("[S05_DefaultValues][26][FuelMaterialType]",Submission!$O:$O,Submission!$H:$N,""))</f>
        <v/>
      </c>
      <c r="I228" s="106" t="str">
        <f>_xlfn.CONCAT(_xlfn.XLOOKUP("[S05_DefaultValues][26][InstallationNumber]",Submission!$O:$O,Submission!$H:$N,""))</f>
        <v/>
      </c>
    </row>
    <row r="229" spans="1:9" ht="15.9" customHeight="1" x14ac:dyDescent="0.3">
      <c r="A229" s="13"/>
      <c r="B229" s="34"/>
      <c r="C229" s="281" t="str">
        <f>_xlfn.CONCAT(_xlfn.XLOOKUP("[S05_DefaultValues][27][InstallationCategory]",Submission!$O:$O,Submission!$H:$N,""))</f>
        <v/>
      </c>
      <c r="D229" s="350"/>
      <c r="E229" s="350"/>
      <c r="F229" s="350"/>
      <c r="G229" s="347"/>
      <c r="H229" s="123" t="str">
        <f>_xlfn.CONCAT(_xlfn.XLOOKUP("[S05_DefaultValues][27][FuelMaterialType]",Submission!$O:$O,Submission!$H:$N,""))</f>
        <v/>
      </c>
      <c r="I229" s="106" t="str">
        <f>_xlfn.CONCAT(_xlfn.XLOOKUP("[S05_DefaultValues][27][InstallationNumber]",Submission!$O:$O,Submission!$H:$N,""))</f>
        <v/>
      </c>
    </row>
    <row r="230" spans="1:9" ht="15.9" customHeight="1" x14ac:dyDescent="0.3">
      <c r="A230" s="13"/>
      <c r="B230" s="34"/>
      <c r="C230" s="281" t="str">
        <f>_xlfn.CONCAT(_xlfn.XLOOKUP("[S05_DefaultValues][28][InstallationCategory]",Submission!$O:$O,Submission!$H:$N,""))</f>
        <v/>
      </c>
      <c r="D230" s="350"/>
      <c r="E230" s="350"/>
      <c r="F230" s="350"/>
      <c r="G230" s="347"/>
      <c r="H230" s="123" t="str">
        <f>_xlfn.CONCAT(_xlfn.XLOOKUP("[S05_DefaultValues][28][FuelMaterialType]",Submission!$O:$O,Submission!$H:$N,""))</f>
        <v/>
      </c>
      <c r="I230" s="106" t="str">
        <f>_xlfn.CONCAT(_xlfn.XLOOKUP("[S05_DefaultValues][28][InstallationNumber]",Submission!$O:$O,Submission!$H:$N,""))</f>
        <v/>
      </c>
    </row>
    <row r="231" spans="1:9" ht="15.9" customHeight="1" x14ac:dyDescent="0.3">
      <c r="A231" s="13"/>
      <c r="B231" s="34"/>
      <c r="C231" s="281" t="str">
        <f>_xlfn.CONCAT(_xlfn.XLOOKUP("[S05_DefaultValues][29][InstallationCategory]",Submission!$O:$O,Submission!$H:$N,""))</f>
        <v/>
      </c>
      <c r="D231" s="350"/>
      <c r="E231" s="350"/>
      <c r="F231" s="350"/>
      <c r="G231" s="347"/>
      <c r="H231" s="123" t="str">
        <f>_xlfn.CONCAT(_xlfn.XLOOKUP("[S05_DefaultValues][29][FuelMaterialType]",Submission!$O:$O,Submission!$H:$N,""))</f>
        <v/>
      </c>
      <c r="I231" s="106" t="str">
        <f>_xlfn.CONCAT(_xlfn.XLOOKUP("[S05_DefaultValues][29][InstallationNumber]",Submission!$O:$O,Submission!$H:$N,""))</f>
        <v/>
      </c>
    </row>
    <row r="232" spans="1:9" ht="15.9" customHeight="1" x14ac:dyDescent="0.3">
      <c r="A232" s="13"/>
      <c r="B232" s="34"/>
      <c r="C232" s="281" t="str">
        <f>_xlfn.CONCAT(_xlfn.XLOOKUP("[S05_DefaultValues][30][InstallationCategory]",Submission!$O:$O,Submission!$H:$N,""))</f>
        <v/>
      </c>
      <c r="D232" s="350"/>
      <c r="E232" s="350"/>
      <c r="F232" s="350"/>
      <c r="G232" s="347"/>
      <c r="H232" s="123" t="str">
        <f>_xlfn.CONCAT(_xlfn.XLOOKUP("[S05_DefaultValues][30][FuelMaterialType]",Submission!$O:$O,Submission!$H:$N,""))</f>
        <v/>
      </c>
      <c r="I232" s="106" t="str">
        <f>_xlfn.CONCAT(_xlfn.XLOOKUP("[S05_DefaultValues][30][InstallationNumber]",Submission!$O:$O,Submission!$H:$N,""))</f>
        <v/>
      </c>
    </row>
    <row r="233" spans="1:9" ht="15.9" customHeight="1" x14ac:dyDescent="0.3">
      <c r="A233" s="13"/>
      <c r="B233" s="34"/>
      <c r="C233" s="281" t="str">
        <f>_xlfn.CONCAT(_xlfn.XLOOKUP("[S05_DefaultValues][31][InstallationCategory]",Submission!$O:$O,Submission!$H:$N,""))</f>
        <v/>
      </c>
      <c r="D233" s="350"/>
      <c r="E233" s="350"/>
      <c r="F233" s="350"/>
      <c r="G233" s="347"/>
      <c r="H233" s="123" t="str">
        <f>_xlfn.CONCAT(_xlfn.XLOOKUP("[S05_DefaultValues][31][FuelMaterialType]",Submission!$O:$O,Submission!$H:$N,""))</f>
        <v/>
      </c>
      <c r="I233" s="106" t="str">
        <f>_xlfn.CONCAT(_xlfn.XLOOKUP("[S05_DefaultValues][31][InstallationNumber]",Submission!$O:$O,Submission!$H:$N,""))</f>
        <v/>
      </c>
    </row>
    <row r="234" spans="1:9" ht="15.9" customHeight="1" x14ac:dyDescent="0.3">
      <c r="A234" s="13"/>
      <c r="B234" s="34"/>
      <c r="C234" s="281" t="str">
        <f>_xlfn.CONCAT(_xlfn.XLOOKUP("[S05_DefaultValues][32][InstallationCategory]",Submission!$O:$O,Submission!$H:$N,""))</f>
        <v/>
      </c>
      <c r="D234" s="350"/>
      <c r="E234" s="350"/>
      <c r="F234" s="350"/>
      <c r="G234" s="347"/>
      <c r="H234" s="123" t="str">
        <f>_xlfn.CONCAT(_xlfn.XLOOKUP("[S05_DefaultValues][32][FuelMaterialType]",Submission!$O:$O,Submission!$H:$N,""))</f>
        <v/>
      </c>
      <c r="I234" s="106" t="str">
        <f>_xlfn.CONCAT(_xlfn.XLOOKUP("[S05_DefaultValues][32][InstallationNumber]",Submission!$O:$O,Submission!$H:$N,""))</f>
        <v/>
      </c>
    </row>
    <row r="235" spans="1:9" ht="15.9" customHeight="1" x14ac:dyDescent="0.3">
      <c r="A235" s="13"/>
      <c r="B235" s="34"/>
      <c r="C235" s="281" t="str">
        <f>_xlfn.CONCAT(_xlfn.XLOOKUP("[S05_DefaultValues][33][InstallationCategory]",Submission!$O:$O,Submission!$H:$N,""))</f>
        <v/>
      </c>
      <c r="D235" s="350"/>
      <c r="E235" s="350"/>
      <c r="F235" s="350"/>
      <c r="G235" s="347"/>
      <c r="H235" s="123" t="str">
        <f>_xlfn.CONCAT(_xlfn.XLOOKUP("[S05_DefaultValues][33][FuelMaterialType]",Submission!$O:$O,Submission!$H:$N,""))</f>
        <v/>
      </c>
      <c r="I235" s="106" t="str">
        <f>_xlfn.CONCAT(_xlfn.XLOOKUP("[S05_DefaultValues][33][InstallationNumber]",Submission!$O:$O,Submission!$H:$N,""))</f>
        <v/>
      </c>
    </row>
    <row r="236" spans="1:9" ht="15.9" customHeight="1" x14ac:dyDescent="0.3">
      <c r="A236" s="13"/>
      <c r="B236" s="34"/>
      <c r="C236" s="281" t="str">
        <f>_xlfn.CONCAT(_xlfn.XLOOKUP("[S05_DefaultValues][34][InstallationCategory]",Submission!$O:$O,Submission!$H:$N,""))</f>
        <v/>
      </c>
      <c r="D236" s="350"/>
      <c r="E236" s="350"/>
      <c r="F236" s="350"/>
      <c r="G236" s="347"/>
      <c r="H236" s="123" t="str">
        <f>_xlfn.CONCAT(_xlfn.XLOOKUP("[S05_DefaultValues][34][FuelMaterialType]",Submission!$O:$O,Submission!$H:$N,""))</f>
        <v/>
      </c>
      <c r="I236" s="106" t="str">
        <f>_xlfn.CONCAT(_xlfn.XLOOKUP("[S05_DefaultValues][34][InstallationNumber]",Submission!$O:$O,Submission!$H:$N,""))</f>
        <v/>
      </c>
    </row>
    <row r="237" spans="1:9" ht="15.9" customHeight="1" x14ac:dyDescent="0.3">
      <c r="A237" s="13"/>
      <c r="B237" s="34"/>
      <c r="C237" s="281" t="str">
        <f>_xlfn.CONCAT(_xlfn.XLOOKUP("[S05_DefaultValues][35][InstallationCategory]",Submission!$O:$O,Submission!$H:$N,""))</f>
        <v/>
      </c>
      <c r="D237" s="350"/>
      <c r="E237" s="350"/>
      <c r="F237" s="350"/>
      <c r="G237" s="347"/>
      <c r="H237" s="123" t="str">
        <f>_xlfn.CONCAT(_xlfn.XLOOKUP("[S05_DefaultValues][35][FuelMaterialType]",Submission!$O:$O,Submission!$H:$N,""))</f>
        <v/>
      </c>
      <c r="I237" s="106" t="str">
        <f>_xlfn.CONCAT(_xlfn.XLOOKUP("[S05_DefaultValues][35][InstallationNumber]",Submission!$O:$O,Submission!$H:$N,""))</f>
        <v/>
      </c>
    </row>
    <row r="238" spans="1:9" ht="15.9" customHeight="1" x14ac:dyDescent="0.3">
      <c r="A238" s="13"/>
      <c r="B238" s="34"/>
      <c r="C238" s="281" t="str">
        <f>_xlfn.CONCAT(_xlfn.XLOOKUP("[S05_DefaultValues][36][InstallationCategory]",Submission!$O:$O,Submission!$H:$N,""))</f>
        <v/>
      </c>
      <c r="D238" s="350"/>
      <c r="E238" s="350"/>
      <c r="F238" s="350"/>
      <c r="G238" s="347"/>
      <c r="H238" s="123" t="str">
        <f>_xlfn.CONCAT(_xlfn.XLOOKUP("[S05_DefaultValues][36][FuelMaterialType]",Submission!$O:$O,Submission!$H:$N,""))</f>
        <v/>
      </c>
      <c r="I238" s="106" t="str">
        <f>_xlfn.CONCAT(_xlfn.XLOOKUP("[S05_DefaultValues][36][InstallationNumber]",Submission!$O:$O,Submission!$H:$N,""))</f>
        <v/>
      </c>
    </row>
    <row r="239" spans="1:9" ht="15.9" customHeight="1" x14ac:dyDescent="0.3">
      <c r="A239" s="13"/>
      <c r="B239" s="34"/>
      <c r="C239" s="281" t="str">
        <f>_xlfn.CONCAT(_xlfn.XLOOKUP("[S05_DefaultValues][37][InstallationCategory]",Submission!$O:$O,Submission!$H:$N,""))</f>
        <v/>
      </c>
      <c r="D239" s="350"/>
      <c r="E239" s="350"/>
      <c r="F239" s="350"/>
      <c r="G239" s="347"/>
      <c r="H239" s="123" t="str">
        <f>_xlfn.CONCAT(_xlfn.XLOOKUP("[S05_DefaultValues][37][FuelMaterialType]",Submission!$O:$O,Submission!$H:$N,""))</f>
        <v/>
      </c>
      <c r="I239" s="106" t="str">
        <f>_xlfn.CONCAT(_xlfn.XLOOKUP("[S05_DefaultValues][37][InstallationNumber]",Submission!$O:$O,Submission!$H:$N,""))</f>
        <v/>
      </c>
    </row>
    <row r="240" spans="1:9" ht="15.9" customHeight="1" x14ac:dyDescent="0.3">
      <c r="A240" s="13"/>
      <c r="B240" s="34"/>
      <c r="C240" s="281" t="str">
        <f>_xlfn.CONCAT(_xlfn.XLOOKUP("[S05_DefaultValues][38][InstallationCategory]",Submission!$O:$O,Submission!$H:$N,""))</f>
        <v/>
      </c>
      <c r="D240" s="350"/>
      <c r="E240" s="350"/>
      <c r="F240" s="350"/>
      <c r="G240" s="347"/>
      <c r="H240" s="123" t="str">
        <f>_xlfn.CONCAT(_xlfn.XLOOKUP("[S05_DefaultValues][38][FuelMaterialType]",Submission!$O:$O,Submission!$H:$N,""))</f>
        <v/>
      </c>
      <c r="I240" s="106" t="str">
        <f>_xlfn.CONCAT(_xlfn.XLOOKUP("[S05_DefaultValues][38][InstallationNumber]",Submission!$O:$O,Submission!$H:$N,""))</f>
        <v/>
      </c>
    </row>
    <row r="241" spans="1:9" ht="15.9" customHeight="1" x14ac:dyDescent="0.3">
      <c r="A241" s="13"/>
      <c r="B241" s="34"/>
      <c r="C241" s="281" t="str">
        <f>_xlfn.CONCAT(_xlfn.XLOOKUP("[S05_DefaultValues][39][InstallationCategory]",Submission!$O:$O,Submission!$H:$N,""))</f>
        <v/>
      </c>
      <c r="D241" s="350"/>
      <c r="E241" s="350"/>
      <c r="F241" s="350"/>
      <c r="G241" s="347"/>
      <c r="H241" s="123" t="str">
        <f>_xlfn.CONCAT(_xlfn.XLOOKUP("[S05_DefaultValues][39][FuelMaterialType]",Submission!$O:$O,Submission!$H:$N,""))</f>
        <v/>
      </c>
      <c r="I241" s="106" t="str">
        <f>_xlfn.CONCAT(_xlfn.XLOOKUP("[S05_DefaultValues][39][InstallationNumber]",Submission!$O:$O,Submission!$H:$N,""))</f>
        <v/>
      </c>
    </row>
    <row r="242" spans="1:9" ht="15.9" customHeight="1" x14ac:dyDescent="0.3">
      <c r="A242" s="13"/>
      <c r="B242" s="34"/>
      <c r="C242" s="281" t="str">
        <f>_xlfn.CONCAT(_xlfn.XLOOKUP("[S05_DefaultValues][40][InstallationCategory]",Submission!$O:$O,Submission!$H:$N,""))</f>
        <v/>
      </c>
      <c r="D242" s="350"/>
      <c r="E242" s="350"/>
      <c r="F242" s="350"/>
      <c r="G242" s="347"/>
      <c r="H242" s="123" t="str">
        <f>_xlfn.CONCAT(_xlfn.XLOOKUP("[S05_DefaultValues][40][FuelMaterialType]",Submission!$O:$O,Submission!$H:$N,""))</f>
        <v/>
      </c>
      <c r="I242" s="106" t="str">
        <f>_xlfn.CONCAT(_xlfn.XLOOKUP("[S05_DefaultValues][40][InstallationNumber]",Submission!$O:$O,Submission!$H:$N,""))</f>
        <v/>
      </c>
    </row>
    <row r="243" spans="1:9" ht="15.9" hidden="1" customHeight="1" outlineLevel="1" x14ac:dyDescent="0.3">
      <c r="A243" s="13"/>
      <c r="B243" s="34"/>
      <c r="C243" s="281" t="str">
        <f>_xlfn.CONCAT(_xlfn.XLOOKUP("[S05_DefaultValues][41][InstallationCategory]",Submission!$O:$O,Submission!$H:$N,""))</f>
        <v/>
      </c>
      <c r="D243" s="350"/>
      <c r="E243" s="350"/>
      <c r="F243" s="350"/>
      <c r="G243" s="347"/>
      <c r="H243" s="123" t="str">
        <f>_xlfn.CONCAT(_xlfn.XLOOKUP("[S05_DefaultValues][41][FuelMaterialType]",Submission!$O:$O,Submission!$H:$N,""))</f>
        <v/>
      </c>
      <c r="I243" s="106" t="str">
        <f>_xlfn.CONCAT(_xlfn.XLOOKUP("[S05_DefaultValues][41][InstallationNumber]",Submission!$O:$O,Submission!$H:$N,""))</f>
        <v/>
      </c>
    </row>
    <row r="244" spans="1:9" ht="15.9" hidden="1" customHeight="1" outlineLevel="1" x14ac:dyDescent="0.3">
      <c r="A244" s="13"/>
      <c r="B244" s="34"/>
      <c r="C244" s="281" t="str">
        <f>_xlfn.CONCAT(_xlfn.XLOOKUP("[S05_DefaultValues][42][InstallationCategory]",Submission!$O:$O,Submission!$H:$N,""))</f>
        <v/>
      </c>
      <c r="D244" s="350"/>
      <c r="E244" s="350"/>
      <c r="F244" s="350"/>
      <c r="G244" s="347"/>
      <c r="H244" s="123" t="str">
        <f>_xlfn.CONCAT(_xlfn.XLOOKUP("[S05_DefaultValues][42][FuelMaterialType]",Submission!$O:$O,Submission!$H:$N,""))</f>
        <v/>
      </c>
      <c r="I244" s="106" t="str">
        <f>_xlfn.CONCAT(_xlfn.XLOOKUP("[S05_DefaultValues][42][InstallationNumber]",Submission!$O:$O,Submission!$H:$N,""))</f>
        <v/>
      </c>
    </row>
    <row r="245" spans="1:9" ht="15.9" hidden="1" customHeight="1" outlineLevel="1" x14ac:dyDescent="0.3">
      <c r="A245" s="13"/>
      <c r="B245" s="34"/>
      <c r="C245" s="281" t="str">
        <f>_xlfn.CONCAT(_xlfn.XLOOKUP("[S05_DefaultValues][43][InstallationCategory]",Submission!$O:$O,Submission!$H:$N,""))</f>
        <v/>
      </c>
      <c r="D245" s="350"/>
      <c r="E245" s="350"/>
      <c r="F245" s="350"/>
      <c r="G245" s="347"/>
      <c r="H245" s="123" t="str">
        <f>_xlfn.CONCAT(_xlfn.XLOOKUP("[S05_DefaultValues][43][FuelMaterialType]",Submission!$O:$O,Submission!$H:$N,""))</f>
        <v/>
      </c>
      <c r="I245" s="106" t="str">
        <f>_xlfn.CONCAT(_xlfn.XLOOKUP("[S05_DefaultValues][43][InstallationNumber]",Submission!$O:$O,Submission!$H:$N,""))</f>
        <v/>
      </c>
    </row>
    <row r="246" spans="1:9" ht="15.9" hidden="1" customHeight="1" outlineLevel="1" x14ac:dyDescent="0.3">
      <c r="A246" s="13"/>
      <c r="B246" s="34"/>
      <c r="C246" s="281" t="str">
        <f>_xlfn.CONCAT(_xlfn.XLOOKUP("[S05_DefaultValues][44][InstallationCategory]",Submission!$O:$O,Submission!$H:$N,""))</f>
        <v/>
      </c>
      <c r="D246" s="350"/>
      <c r="E246" s="350"/>
      <c r="F246" s="350"/>
      <c r="G246" s="347"/>
      <c r="H246" s="123" t="str">
        <f>_xlfn.CONCAT(_xlfn.XLOOKUP("[S05_DefaultValues][44][FuelMaterialType]",Submission!$O:$O,Submission!$H:$N,""))</f>
        <v/>
      </c>
      <c r="I246" s="106" t="str">
        <f>_xlfn.CONCAT(_xlfn.XLOOKUP("[S05_DefaultValues][44][InstallationNumber]",Submission!$O:$O,Submission!$H:$N,""))</f>
        <v/>
      </c>
    </row>
    <row r="247" spans="1:9" ht="15.9" hidden="1" customHeight="1" outlineLevel="1" x14ac:dyDescent="0.3">
      <c r="A247" s="13"/>
      <c r="B247" s="34"/>
      <c r="C247" s="281" t="str">
        <f>_xlfn.CONCAT(_xlfn.XLOOKUP("[S05_DefaultValues][45][InstallationCategory]",Submission!$O:$O,Submission!$H:$N,""))</f>
        <v/>
      </c>
      <c r="D247" s="350"/>
      <c r="E247" s="350"/>
      <c r="F247" s="350"/>
      <c r="G247" s="347"/>
      <c r="H247" s="123" t="str">
        <f>_xlfn.CONCAT(_xlfn.XLOOKUP("[S05_DefaultValues][45][FuelMaterialType]",Submission!$O:$O,Submission!$H:$N,""))</f>
        <v/>
      </c>
      <c r="I247" s="106" t="str">
        <f>_xlfn.CONCAT(_xlfn.XLOOKUP("[S05_DefaultValues][45][InstallationNumber]",Submission!$O:$O,Submission!$H:$N,""))</f>
        <v/>
      </c>
    </row>
    <row r="248" spans="1:9" ht="15.9" hidden="1" customHeight="1" outlineLevel="1" x14ac:dyDescent="0.3">
      <c r="A248" s="13"/>
      <c r="B248" s="34"/>
      <c r="C248" s="281" t="str">
        <f>_xlfn.CONCAT(_xlfn.XLOOKUP("[S05_DefaultValues][46][InstallationCategory]",Submission!$O:$O,Submission!$H:$N,""))</f>
        <v/>
      </c>
      <c r="D248" s="350"/>
      <c r="E248" s="350"/>
      <c r="F248" s="350"/>
      <c r="G248" s="347"/>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81" t="str">
        <f>_xlfn.CONCAT(_xlfn.XLOOKUP("[S05_DefaultValues][47][InstallationCategory]",Submission!$O:$O,Submission!$H:$N,""))</f>
        <v/>
      </c>
      <c r="D249" s="350"/>
      <c r="E249" s="350"/>
      <c r="F249" s="350"/>
      <c r="G249" s="347"/>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81" t="str">
        <f>_xlfn.CONCAT(_xlfn.XLOOKUP("[S05_DefaultValues][48][InstallationCategory]",Submission!$O:$O,Submission!$H:$N,""))</f>
        <v/>
      </c>
      <c r="D250" s="350"/>
      <c r="E250" s="350"/>
      <c r="F250" s="350"/>
      <c r="G250" s="347"/>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81" t="str">
        <f>_xlfn.CONCAT(_xlfn.XLOOKUP("[S05_DefaultValues][49][InstallationCategory]",Submission!$O:$O,Submission!$H:$N,""))</f>
        <v/>
      </c>
      <c r="D251" s="350"/>
      <c r="E251" s="350"/>
      <c r="F251" s="350"/>
      <c r="G251" s="347"/>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81" t="str">
        <f>_xlfn.CONCAT(_xlfn.XLOOKUP("[S05_DefaultValues][50][InstallationCategory]",Submission!$O:$O,Submission!$H:$N,""))</f>
        <v/>
      </c>
      <c r="D252" s="350"/>
      <c r="E252" s="350"/>
      <c r="F252" s="350"/>
      <c r="G252" s="347"/>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81" t="str">
        <f>_xlfn.CONCAT(_xlfn.XLOOKUP("[S05_DefaultValues][51][InstallationCategory]",Submission!$O:$O,Submission!$H:$N,""))</f>
        <v/>
      </c>
      <c r="D253" s="350"/>
      <c r="E253" s="350"/>
      <c r="F253" s="350"/>
      <c r="G253" s="347"/>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81" t="str">
        <f>_xlfn.CONCAT(_xlfn.XLOOKUP("[S05_DefaultValues][52][InstallationCategory]",Submission!$O:$O,Submission!$H:$N,""))</f>
        <v/>
      </c>
      <c r="D254" s="350"/>
      <c r="E254" s="350"/>
      <c r="F254" s="350"/>
      <c r="G254" s="347"/>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81" t="str">
        <f>_xlfn.CONCAT(_xlfn.XLOOKUP("[S05_DefaultValues][53][InstallationCategory]",Submission!$O:$O,Submission!$H:$N,""))</f>
        <v/>
      </c>
      <c r="D255" s="350"/>
      <c r="E255" s="350"/>
      <c r="F255" s="350"/>
      <c r="G255" s="347"/>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81" t="str">
        <f>_xlfn.CONCAT(_xlfn.XLOOKUP("[S05_DefaultValues][54][InstallationCategory]",Submission!$O:$O,Submission!$H:$N,""))</f>
        <v/>
      </c>
      <c r="D256" s="350"/>
      <c r="E256" s="350"/>
      <c r="F256" s="350"/>
      <c r="G256" s="347"/>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81" t="str">
        <f>_xlfn.CONCAT(_xlfn.XLOOKUP("[S05_DefaultValues][55][InstallationCategory]",Submission!$O:$O,Submission!$H:$N,""))</f>
        <v/>
      </c>
      <c r="D257" s="350"/>
      <c r="E257" s="350"/>
      <c r="F257" s="350"/>
      <c r="G257" s="347"/>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81" t="str">
        <f>_xlfn.CONCAT(_xlfn.XLOOKUP("[S05_DefaultValues][56][InstallationCategory]",Submission!$O:$O,Submission!$H:$N,""))</f>
        <v/>
      </c>
      <c r="D258" s="350"/>
      <c r="E258" s="350"/>
      <c r="F258" s="350"/>
      <c r="G258" s="347"/>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81" t="str">
        <f>_xlfn.CONCAT(_xlfn.XLOOKUP("[S05_DefaultValues][57][InstallationCategory]",Submission!$O:$O,Submission!$H:$N,""))</f>
        <v/>
      </c>
      <c r="D259" s="350"/>
      <c r="E259" s="350"/>
      <c r="F259" s="350"/>
      <c r="G259" s="347"/>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81" t="str">
        <f>_xlfn.CONCAT(_xlfn.XLOOKUP("[S05_DefaultValues][58][InstallationCategory]",Submission!$O:$O,Submission!$H:$N,""))</f>
        <v/>
      </c>
      <c r="D260" s="350"/>
      <c r="E260" s="350"/>
      <c r="F260" s="350"/>
      <c r="G260" s="347"/>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81" t="str">
        <f>_xlfn.CONCAT(_xlfn.XLOOKUP("[S05_DefaultValues][59][InstallationCategory]",Submission!$O:$O,Submission!$H:$N,""))</f>
        <v/>
      </c>
      <c r="D261" s="350"/>
      <c r="E261" s="350"/>
      <c r="F261" s="350"/>
      <c r="G261" s="347"/>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81" t="str">
        <f>_xlfn.CONCAT(_xlfn.XLOOKUP("[S05_DefaultValues][60][InstallationCategory]",Submission!$O:$O,Submission!$H:$N,""))</f>
        <v/>
      </c>
      <c r="D262" s="350"/>
      <c r="E262" s="350"/>
      <c r="F262" s="350"/>
      <c r="G262" s="347"/>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81" t="str">
        <f>_xlfn.CONCAT(_xlfn.XLOOKUP("[S05_DefaultValues][61][InstallationCategory]",Submission!$O:$O,Submission!$H:$N,""))</f>
        <v/>
      </c>
      <c r="D263" s="350"/>
      <c r="E263" s="350"/>
      <c r="F263" s="350"/>
      <c r="G263" s="347"/>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81" t="str">
        <f>_xlfn.CONCAT(_xlfn.XLOOKUP("[S05_DefaultValues][62][InstallationCategory]",Submission!$O:$O,Submission!$H:$N,""))</f>
        <v/>
      </c>
      <c r="D264" s="350"/>
      <c r="E264" s="350"/>
      <c r="F264" s="350"/>
      <c r="G264" s="347"/>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81" t="str">
        <f>_xlfn.CONCAT(_xlfn.XLOOKUP("[S05_DefaultValues][63][InstallationCategory]",Submission!$O:$O,Submission!$H:$N,""))</f>
        <v/>
      </c>
      <c r="D265" s="350"/>
      <c r="E265" s="350"/>
      <c r="F265" s="350"/>
      <c r="G265" s="347"/>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81" t="str">
        <f>_xlfn.CONCAT(_xlfn.XLOOKUP("[S05_DefaultValues][64][InstallationCategory]",Submission!$O:$O,Submission!$H:$N,""))</f>
        <v/>
      </c>
      <c r="D266" s="350"/>
      <c r="E266" s="350"/>
      <c r="F266" s="350"/>
      <c r="G266" s="347"/>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81" t="str">
        <f>_xlfn.CONCAT(_xlfn.XLOOKUP("[S05_DefaultValues][65][InstallationCategory]",Submission!$O:$O,Submission!$H:$N,""))</f>
        <v/>
      </c>
      <c r="D267" s="350"/>
      <c r="E267" s="350"/>
      <c r="F267" s="350"/>
      <c r="G267" s="347"/>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81" t="str">
        <f>_xlfn.CONCAT(_xlfn.XLOOKUP("[S05_DefaultValues][66][InstallationCategory]",Submission!$O:$O,Submission!$H:$N,""))</f>
        <v/>
      </c>
      <c r="D268" s="350"/>
      <c r="E268" s="350"/>
      <c r="F268" s="350"/>
      <c r="G268" s="347"/>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81" t="str">
        <f>_xlfn.CONCAT(_xlfn.XLOOKUP("[S05_DefaultValues][67][InstallationCategory]",Submission!$O:$O,Submission!$H:$N,""))</f>
        <v/>
      </c>
      <c r="D269" s="350"/>
      <c r="E269" s="350"/>
      <c r="F269" s="350"/>
      <c r="G269" s="347"/>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81" t="str">
        <f>_xlfn.CONCAT(_xlfn.XLOOKUP("[S05_DefaultValues][68][InstallationCategory]",Submission!$O:$O,Submission!$H:$N,""))</f>
        <v/>
      </c>
      <c r="D270" s="350"/>
      <c r="E270" s="350"/>
      <c r="F270" s="350"/>
      <c r="G270" s="347"/>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81" t="str">
        <f>_xlfn.CONCAT(_xlfn.XLOOKUP("[S05_DefaultValues][69][InstallationCategory]",Submission!$O:$O,Submission!$H:$N,""))</f>
        <v/>
      </c>
      <c r="D271" s="350"/>
      <c r="E271" s="350"/>
      <c r="F271" s="350"/>
      <c r="G271" s="347"/>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81" t="str">
        <f>_xlfn.CONCAT(_xlfn.XLOOKUP("[S05_DefaultValues][70][InstallationCategory]",Submission!$O:$O,Submission!$H:$N,""))</f>
        <v/>
      </c>
      <c r="D272" s="350"/>
      <c r="E272" s="350"/>
      <c r="F272" s="350"/>
      <c r="G272" s="347"/>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81" t="str">
        <f>_xlfn.CONCAT(_xlfn.XLOOKUP("[S05_DefaultValues][71][InstallationCategory]",Submission!$O:$O,Submission!$H:$N,""))</f>
        <v/>
      </c>
      <c r="D273" s="350"/>
      <c r="E273" s="350"/>
      <c r="F273" s="350"/>
      <c r="G273" s="347"/>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81" t="str">
        <f>_xlfn.CONCAT(_xlfn.XLOOKUP("[S05_DefaultValues][72][InstallationCategory]",Submission!$O:$O,Submission!$H:$N,""))</f>
        <v/>
      </c>
      <c r="D274" s="350"/>
      <c r="E274" s="350"/>
      <c r="F274" s="350"/>
      <c r="G274" s="347"/>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81" t="str">
        <f>_xlfn.CONCAT(_xlfn.XLOOKUP("[S05_DefaultValues][73][InstallationCategory]",Submission!$O:$O,Submission!$H:$N,""))</f>
        <v/>
      </c>
      <c r="D275" s="350"/>
      <c r="E275" s="350"/>
      <c r="F275" s="350"/>
      <c r="G275" s="347"/>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81" t="str">
        <f>_xlfn.CONCAT(_xlfn.XLOOKUP("[S05_DefaultValues][74][InstallationCategory]",Submission!$O:$O,Submission!$H:$N,""))</f>
        <v/>
      </c>
      <c r="D276" s="350"/>
      <c r="E276" s="350"/>
      <c r="F276" s="350"/>
      <c r="G276" s="347"/>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81" t="str">
        <f>_xlfn.CONCAT(_xlfn.XLOOKUP("[S05_DefaultValues][75][InstallationCategory]",Submission!$O:$O,Submission!$H:$N,""))</f>
        <v/>
      </c>
      <c r="D277" s="350"/>
      <c r="E277" s="350"/>
      <c r="F277" s="350"/>
      <c r="G277" s="347"/>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81" t="str">
        <f>_xlfn.CONCAT(_xlfn.XLOOKUP("[S05_DefaultValues][76][InstallationCategory]",Submission!$O:$O,Submission!$H:$N,""))</f>
        <v/>
      </c>
      <c r="D278" s="350"/>
      <c r="E278" s="350"/>
      <c r="F278" s="350"/>
      <c r="G278" s="347"/>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81" t="str">
        <f>_xlfn.CONCAT(_xlfn.XLOOKUP("[S05_DefaultValues][77][InstallationCategory]",Submission!$O:$O,Submission!$H:$N,""))</f>
        <v/>
      </c>
      <c r="D279" s="350"/>
      <c r="E279" s="350"/>
      <c r="F279" s="350"/>
      <c r="G279" s="347"/>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81" t="str">
        <f>_xlfn.CONCAT(_xlfn.XLOOKUP("[S05_DefaultValues][78][InstallationCategory]",Submission!$O:$O,Submission!$H:$N,""))</f>
        <v/>
      </c>
      <c r="D280" s="350"/>
      <c r="E280" s="350"/>
      <c r="F280" s="350"/>
      <c r="G280" s="347"/>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81" t="str">
        <f>_xlfn.CONCAT(_xlfn.XLOOKUP("[S05_DefaultValues][79][InstallationCategory]",Submission!$O:$O,Submission!$H:$N,""))</f>
        <v/>
      </c>
      <c r="D281" s="350"/>
      <c r="E281" s="350"/>
      <c r="F281" s="350"/>
      <c r="G281" s="347"/>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81" t="str">
        <f>_xlfn.CONCAT(_xlfn.XLOOKUP("[S05_DefaultValues][80][InstallationCategory]",Submission!$O:$O,Submission!$H:$N,""))</f>
        <v/>
      </c>
      <c r="D282" s="350"/>
      <c r="E282" s="350"/>
      <c r="F282" s="350"/>
      <c r="G282" s="347"/>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81" t="str">
        <f>_xlfn.CONCAT(_xlfn.XLOOKUP("[S05_DefaultValues][81][InstallationCategory]",Submission!$O:$O,Submission!$H:$N,""))</f>
        <v/>
      </c>
      <c r="D283" s="350"/>
      <c r="E283" s="350"/>
      <c r="F283" s="350"/>
      <c r="G283" s="347"/>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81" t="str">
        <f>_xlfn.CONCAT(_xlfn.XLOOKUP("[S05_DefaultValues][82][InstallationCategory]",Submission!$O:$O,Submission!$H:$N,""))</f>
        <v/>
      </c>
      <c r="D284" s="350"/>
      <c r="E284" s="350"/>
      <c r="F284" s="350"/>
      <c r="G284" s="347"/>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81" t="str">
        <f>_xlfn.CONCAT(_xlfn.XLOOKUP("[S05_DefaultValues][83][InstallationCategory]",Submission!$O:$O,Submission!$H:$N,""))</f>
        <v/>
      </c>
      <c r="D285" s="350"/>
      <c r="E285" s="350"/>
      <c r="F285" s="350"/>
      <c r="G285" s="347"/>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81" t="str">
        <f>_xlfn.CONCAT(_xlfn.XLOOKUP("[S05_DefaultValues][84][InstallationCategory]",Submission!$O:$O,Submission!$H:$N,""))</f>
        <v/>
      </c>
      <c r="D286" s="350"/>
      <c r="E286" s="350"/>
      <c r="F286" s="350"/>
      <c r="G286" s="347"/>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81" t="str">
        <f>_xlfn.CONCAT(_xlfn.XLOOKUP("[S05_DefaultValues][85][InstallationCategory]",Submission!$O:$O,Submission!$H:$N,""))</f>
        <v/>
      </c>
      <c r="D287" s="350"/>
      <c r="E287" s="350"/>
      <c r="F287" s="350"/>
      <c r="G287" s="347"/>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81" t="str">
        <f>_xlfn.CONCAT(_xlfn.XLOOKUP("[S05_DefaultValues][86][InstallationCategory]",Submission!$O:$O,Submission!$H:$N,""))</f>
        <v/>
      </c>
      <c r="D288" s="350"/>
      <c r="E288" s="350"/>
      <c r="F288" s="350"/>
      <c r="G288" s="347"/>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81" t="str">
        <f>_xlfn.CONCAT(_xlfn.XLOOKUP("[S05_DefaultValues][87][InstallationCategory]",Submission!$O:$O,Submission!$H:$N,""))</f>
        <v/>
      </c>
      <c r="D289" s="350"/>
      <c r="E289" s="350"/>
      <c r="F289" s="350"/>
      <c r="G289" s="347"/>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81" t="str">
        <f>_xlfn.CONCAT(_xlfn.XLOOKUP("[S05_DefaultValues][88][InstallationCategory]",Submission!$O:$O,Submission!$H:$N,""))</f>
        <v/>
      </c>
      <c r="D290" s="350"/>
      <c r="E290" s="350"/>
      <c r="F290" s="350"/>
      <c r="G290" s="347"/>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81" t="str">
        <f>_xlfn.CONCAT(_xlfn.XLOOKUP("[S05_DefaultValues][89][InstallationCategory]",Submission!$O:$O,Submission!$H:$N,""))</f>
        <v/>
      </c>
      <c r="D291" s="350"/>
      <c r="E291" s="350"/>
      <c r="F291" s="350"/>
      <c r="G291" s="347"/>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81" t="str">
        <f>_xlfn.CONCAT(_xlfn.XLOOKUP("[S05_DefaultValues][90][InstallationCategory]",Submission!$O:$O,Submission!$H:$N,""))</f>
        <v/>
      </c>
      <c r="D292" s="350"/>
      <c r="E292" s="350"/>
      <c r="F292" s="350"/>
      <c r="G292" s="347"/>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81" t="str">
        <f>_xlfn.CONCAT(_xlfn.XLOOKUP("[S05_DefaultValues][91][InstallationCategory]",Submission!$O:$O,Submission!$H:$N,""))</f>
        <v/>
      </c>
      <c r="D293" s="350"/>
      <c r="E293" s="350"/>
      <c r="F293" s="350"/>
      <c r="G293" s="347"/>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81" t="str">
        <f>_xlfn.CONCAT(_xlfn.XLOOKUP("[S05_DefaultValues][92][InstallationCategory]",Submission!$O:$O,Submission!$H:$N,""))</f>
        <v/>
      </c>
      <c r="D294" s="350"/>
      <c r="E294" s="350"/>
      <c r="F294" s="350"/>
      <c r="G294" s="347"/>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81" t="str">
        <f>_xlfn.CONCAT(_xlfn.XLOOKUP("[S05_DefaultValues][93][InstallationCategory]",Submission!$O:$O,Submission!$H:$N,""))</f>
        <v/>
      </c>
      <c r="D295" s="350"/>
      <c r="E295" s="350"/>
      <c r="F295" s="350"/>
      <c r="G295" s="347"/>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81" t="str">
        <f>_xlfn.CONCAT(_xlfn.XLOOKUP("[S05_DefaultValues][94][InstallationCategory]",Submission!$O:$O,Submission!$H:$N,""))</f>
        <v/>
      </c>
      <c r="D296" s="350"/>
      <c r="E296" s="350"/>
      <c r="F296" s="350"/>
      <c r="G296" s="347"/>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81" t="str">
        <f>_xlfn.CONCAT(_xlfn.XLOOKUP("[S05_DefaultValues][95][InstallationCategory]",Submission!$O:$O,Submission!$H:$N,""))</f>
        <v/>
      </c>
      <c r="D297" s="350"/>
      <c r="E297" s="350"/>
      <c r="F297" s="350"/>
      <c r="G297" s="347"/>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81" t="str">
        <f>_xlfn.CONCAT(_xlfn.XLOOKUP("[S05_DefaultValues][96][InstallationCategory]",Submission!$O:$O,Submission!$H:$N,""))</f>
        <v/>
      </c>
      <c r="D298" s="350"/>
      <c r="E298" s="350"/>
      <c r="F298" s="350"/>
      <c r="G298" s="347"/>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81" t="str">
        <f>_xlfn.CONCAT(_xlfn.XLOOKUP("[S05_DefaultValues][97][InstallationCategory]",Submission!$O:$O,Submission!$H:$N,""))</f>
        <v/>
      </c>
      <c r="D299" s="350"/>
      <c r="E299" s="350"/>
      <c r="F299" s="350"/>
      <c r="G299" s="347"/>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81" t="str">
        <f>_xlfn.CONCAT(_xlfn.XLOOKUP("[S05_DefaultValues][98][InstallationCategory]",Submission!$O:$O,Submission!$H:$N,""))</f>
        <v/>
      </c>
      <c r="D300" s="350"/>
      <c r="E300" s="350"/>
      <c r="F300" s="350"/>
      <c r="G300" s="347"/>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81" t="str">
        <f>_xlfn.CONCAT(_xlfn.XLOOKUP("[S05_DefaultValues][99][InstallationCategory]",Submission!$O:$O,Submission!$H:$N,""))</f>
        <v/>
      </c>
      <c r="D301" s="350"/>
      <c r="E301" s="350"/>
      <c r="F301" s="350"/>
      <c r="G301" s="347"/>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81" t="str">
        <f>_xlfn.CONCAT(_xlfn.XLOOKUP("[S05_DefaultValues][100][InstallationCategory]",Submission!$O:$O,Submission!$H:$N,""))</f>
        <v/>
      </c>
      <c r="D302" s="350"/>
      <c r="E302" s="350"/>
      <c r="F302" s="350"/>
      <c r="G302" s="347"/>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81" t="str">
        <f>_xlfn.CONCAT(_xlfn.XLOOKUP("[S05_DefaultValues][101][InstallationCategory]",Submission!$O:$O,Submission!$H:$N,""))</f>
        <v/>
      </c>
      <c r="D303" s="350"/>
      <c r="E303" s="350"/>
      <c r="F303" s="350"/>
      <c r="G303" s="347"/>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81" t="str">
        <f>_xlfn.CONCAT(_xlfn.XLOOKUP("[S05_DefaultValues][102][InstallationCategory]",Submission!$O:$O,Submission!$H:$N,""))</f>
        <v/>
      </c>
      <c r="D304" s="350"/>
      <c r="E304" s="350"/>
      <c r="F304" s="350"/>
      <c r="G304" s="347"/>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81" t="str">
        <f>_xlfn.CONCAT(_xlfn.XLOOKUP("[S05_DefaultValues][103][InstallationCategory]",Submission!$O:$O,Submission!$H:$N,""))</f>
        <v/>
      </c>
      <c r="D305" s="350"/>
      <c r="E305" s="350"/>
      <c r="F305" s="350"/>
      <c r="G305" s="347"/>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81" t="str">
        <f>_xlfn.CONCAT(_xlfn.XLOOKUP("[S05_DefaultValues][104][InstallationCategory]",Submission!$O:$O,Submission!$H:$N,""))</f>
        <v/>
      </c>
      <c r="D306" s="350"/>
      <c r="E306" s="350"/>
      <c r="F306" s="350"/>
      <c r="G306" s="347"/>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81" t="str">
        <f>_xlfn.CONCAT(_xlfn.XLOOKUP("[S05_DefaultValues][105][InstallationCategory]",Submission!$O:$O,Submission!$H:$N,""))</f>
        <v/>
      </c>
      <c r="D307" s="350"/>
      <c r="E307" s="350"/>
      <c r="F307" s="350"/>
      <c r="G307" s="347"/>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81" t="str">
        <f>_xlfn.CONCAT(_xlfn.XLOOKUP("[S05_DefaultValues][106][InstallationCategory]",Submission!$O:$O,Submission!$H:$N,""))</f>
        <v/>
      </c>
      <c r="D308" s="350"/>
      <c r="E308" s="350"/>
      <c r="F308" s="350"/>
      <c r="G308" s="347"/>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81" t="str">
        <f>_xlfn.CONCAT(_xlfn.XLOOKUP("[S05_DefaultValues][107][InstallationCategory]",Submission!$O:$O,Submission!$H:$N,""))</f>
        <v/>
      </c>
      <c r="D309" s="350"/>
      <c r="E309" s="350"/>
      <c r="F309" s="350"/>
      <c r="G309" s="347"/>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81" t="str">
        <f>_xlfn.CONCAT(_xlfn.XLOOKUP("[S05_DefaultValues][108][InstallationCategory]",Submission!$O:$O,Submission!$H:$N,""))</f>
        <v/>
      </c>
      <c r="D310" s="350"/>
      <c r="E310" s="350"/>
      <c r="F310" s="350"/>
      <c r="G310" s="347"/>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81" t="str">
        <f>_xlfn.CONCAT(_xlfn.XLOOKUP("[S05_DefaultValues][109][InstallationCategory]",Submission!$O:$O,Submission!$H:$N,""))</f>
        <v/>
      </c>
      <c r="D311" s="350"/>
      <c r="E311" s="350"/>
      <c r="F311" s="350"/>
      <c r="G311" s="347"/>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81" t="str">
        <f>_xlfn.CONCAT(_xlfn.XLOOKUP("[S05_DefaultValues][110][InstallationCategory]",Submission!$O:$O,Submission!$H:$N,""))</f>
        <v/>
      </c>
      <c r="D312" s="350"/>
      <c r="E312" s="350"/>
      <c r="F312" s="350"/>
      <c r="G312" s="347"/>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81" t="str">
        <f>_xlfn.CONCAT(_xlfn.XLOOKUP("[S05_DefaultValues][111][InstallationCategory]",Submission!$O:$O,Submission!$H:$N,""))</f>
        <v/>
      </c>
      <c r="D313" s="350"/>
      <c r="E313" s="350"/>
      <c r="F313" s="350"/>
      <c r="G313" s="347"/>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81" t="str">
        <f>_xlfn.CONCAT(_xlfn.XLOOKUP("[S05_DefaultValues][112][InstallationCategory]",Submission!$O:$O,Submission!$H:$N,""))</f>
        <v/>
      </c>
      <c r="D314" s="350"/>
      <c r="E314" s="350"/>
      <c r="F314" s="350"/>
      <c r="G314" s="347"/>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81" t="str">
        <f>_xlfn.CONCAT(_xlfn.XLOOKUP("[S05_DefaultValues][113][InstallationCategory]",Submission!$O:$O,Submission!$H:$N,""))</f>
        <v/>
      </c>
      <c r="D315" s="350"/>
      <c r="E315" s="350"/>
      <c r="F315" s="350"/>
      <c r="G315" s="347"/>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81" t="str">
        <f>_xlfn.CONCAT(_xlfn.XLOOKUP("[S05_DefaultValues][114][InstallationCategory]",Submission!$O:$O,Submission!$H:$N,""))</f>
        <v/>
      </c>
      <c r="D316" s="350"/>
      <c r="E316" s="350"/>
      <c r="F316" s="350"/>
      <c r="G316" s="347"/>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81" t="str">
        <f>_xlfn.CONCAT(_xlfn.XLOOKUP("[S05_DefaultValues][115][InstallationCategory]",Submission!$O:$O,Submission!$H:$N,""))</f>
        <v/>
      </c>
      <c r="D317" s="350"/>
      <c r="E317" s="350"/>
      <c r="F317" s="350"/>
      <c r="G317" s="347"/>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81" t="str">
        <f>_xlfn.CONCAT(_xlfn.XLOOKUP("[S05_DefaultValues][116][InstallationCategory]",Submission!$O:$O,Submission!$H:$N,""))</f>
        <v/>
      </c>
      <c r="D318" s="350"/>
      <c r="E318" s="350"/>
      <c r="F318" s="350"/>
      <c r="G318" s="347"/>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81" t="str">
        <f>_xlfn.CONCAT(_xlfn.XLOOKUP("[S05_DefaultValues][117][InstallationCategory]",Submission!$O:$O,Submission!$H:$N,""))</f>
        <v/>
      </c>
      <c r="D319" s="350"/>
      <c r="E319" s="350"/>
      <c r="F319" s="350"/>
      <c r="G319" s="347"/>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81" t="str">
        <f>_xlfn.CONCAT(_xlfn.XLOOKUP("[S05_DefaultValues][118][InstallationCategory]",Submission!$O:$O,Submission!$H:$N,""))</f>
        <v/>
      </c>
      <c r="D320" s="350"/>
      <c r="E320" s="350"/>
      <c r="F320" s="350"/>
      <c r="G320" s="347"/>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81" t="str">
        <f>_xlfn.CONCAT(_xlfn.XLOOKUP("[S05_DefaultValues][119][InstallationCategory]",Submission!$O:$O,Submission!$H:$N,""))</f>
        <v/>
      </c>
      <c r="D321" s="350"/>
      <c r="E321" s="350"/>
      <c r="F321" s="350"/>
      <c r="G321" s="347"/>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81" t="str">
        <f>_xlfn.CONCAT(_xlfn.XLOOKUP("[S05_DefaultValues][120][InstallationCategory]",Submission!$O:$O,Submission!$H:$N,""))</f>
        <v/>
      </c>
      <c r="D322" s="350"/>
      <c r="E322" s="350"/>
      <c r="F322" s="350"/>
      <c r="G322" s="347"/>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81" t="str">
        <f>_xlfn.CONCAT(_xlfn.XLOOKUP("[S05_DefaultValues][121][InstallationCategory]",Submission!$O:$O,Submission!$H:$N,""))</f>
        <v/>
      </c>
      <c r="D323" s="350"/>
      <c r="E323" s="350"/>
      <c r="F323" s="350"/>
      <c r="G323" s="347"/>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81" t="str">
        <f>_xlfn.CONCAT(_xlfn.XLOOKUP("[S05_DefaultValues][122][InstallationCategory]",Submission!$O:$O,Submission!$H:$N,""))</f>
        <v/>
      </c>
      <c r="D324" s="350"/>
      <c r="E324" s="350"/>
      <c r="F324" s="350"/>
      <c r="G324" s="347"/>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81" t="str">
        <f>_xlfn.CONCAT(_xlfn.XLOOKUP("[S05_DefaultValues][123][InstallationCategory]",Submission!$O:$O,Submission!$H:$N,""))</f>
        <v/>
      </c>
      <c r="D325" s="350"/>
      <c r="E325" s="350"/>
      <c r="F325" s="350"/>
      <c r="G325" s="347"/>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81" t="str">
        <f>_xlfn.CONCAT(_xlfn.XLOOKUP("[S05_DefaultValues][124][InstallationCategory]",Submission!$O:$O,Submission!$H:$N,""))</f>
        <v/>
      </c>
      <c r="D326" s="350"/>
      <c r="E326" s="350"/>
      <c r="F326" s="350"/>
      <c r="G326" s="347"/>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81" t="str">
        <f>_xlfn.CONCAT(_xlfn.XLOOKUP("[S05_DefaultValues][125][InstallationCategory]",Submission!$O:$O,Submission!$H:$N,""))</f>
        <v/>
      </c>
      <c r="D327" s="350"/>
      <c r="E327" s="350"/>
      <c r="F327" s="350"/>
      <c r="G327" s="347"/>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81" t="str">
        <f>_xlfn.CONCAT(_xlfn.XLOOKUP("[S05_DefaultValues][126][InstallationCategory]",Submission!$O:$O,Submission!$H:$N,""))</f>
        <v/>
      </c>
      <c r="D328" s="350"/>
      <c r="E328" s="350"/>
      <c r="F328" s="350"/>
      <c r="G328" s="347"/>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81" t="str">
        <f>_xlfn.CONCAT(_xlfn.XLOOKUP("[S05_DefaultValues][127][InstallationCategory]",Submission!$O:$O,Submission!$H:$N,""))</f>
        <v/>
      </c>
      <c r="D329" s="350"/>
      <c r="E329" s="350"/>
      <c r="F329" s="350"/>
      <c r="G329" s="347"/>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81" t="str">
        <f>_xlfn.CONCAT(_xlfn.XLOOKUP("[S05_DefaultValues][128][InstallationCategory]",Submission!$O:$O,Submission!$H:$N,""))</f>
        <v/>
      </c>
      <c r="D330" s="350"/>
      <c r="E330" s="350"/>
      <c r="F330" s="350"/>
      <c r="G330" s="347"/>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81" t="str">
        <f>_xlfn.CONCAT(_xlfn.XLOOKUP("[S05_DefaultValues][129][InstallationCategory]",Submission!$O:$O,Submission!$H:$N,""))</f>
        <v/>
      </c>
      <c r="D331" s="350"/>
      <c r="E331" s="350"/>
      <c r="F331" s="350"/>
      <c r="G331" s="347"/>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81" t="str">
        <f>_xlfn.CONCAT(_xlfn.XLOOKUP("[S05_DefaultValues][130][InstallationCategory]",Submission!$O:$O,Submission!$H:$N,""))</f>
        <v/>
      </c>
      <c r="D332" s="350"/>
      <c r="E332" s="350"/>
      <c r="F332" s="350"/>
      <c r="G332" s="347"/>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81" t="str">
        <f>_xlfn.CONCAT(_xlfn.XLOOKUP("[S05_DefaultValues][131][InstallationCategory]",Submission!$O:$O,Submission!$H:$N,""))</f>
        <v/>
      </c>
      <c r="D333" s="350"/>
      <c r="E333" s="350"/>
      <c r="F333" s="350"/>
      <c r="G333" s="347"/>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81" t="str">
        <f>_xlfn.CONCAT(_xlfn.XLOOKUP("[S05_DefaultValues][132][InstallationCategory]",Submission!$O:$O,Submission!$H:$N,""))</f>
        <v/>
      </c>
      <c r="D334" s="350"/>
      <c r="E334" s="350"/>
      <c r="F334" s="350"/>
      <c r="G334" s="347"/>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81" t="str">
        <f>_xlfn.CONCAT(_xlfn.XLOOKUP("[S05_DefaultValues][133][InstallationCategory]",Submission!$O:$O,Submission!$H:$N,""))</f>
        <v/>
      </c>
      <c r="D335" s="350"/>
      <c r="E335" s="350"/>
      <c r="F335" s="350"/>
      <c r="G335" s="347"/>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81" t="str">
        <f>_xlfn.CONCAT(_xlfn.XLOOKUP("[S05_DefaultValues][134][InstallationCategory]",Submission!$O:$O,Submission!$H:$N,""))</f>
        <v/>
      </c>
      <c r="D336" s="350"/>
      <c r="E336" s="350"/>
      <c r="F336" s="350"/>
      <c r="G336" s="347"/>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81" t="str">
        <f>_xlfn.CONCAT(_xlfn.XLOOKUP("[S05_DefaultValues][135][InstallationCategory]",Submission!$O:$O,Submission!$H:$N,""))</f>
        <v/>
      </c>
      <c r="D337" s="350"/>
      <c r="E337" s="350"/>
      <c r="F337" s="350"/>
      <c r="G337" s="347"/>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81" t="str">
        <f>_xlfn.CONCAT(_xlfn.XLOOKUP("[S05_DefaultValues][136][InstallationCategory]",Submission!$O:$O,Submission!$H:$N,""))</f>
        <v/>
      </c>
      <c r="D338" s="350"/>
      <c r="E338" s="350"/>
      <c r="F338" s="350"/>
      <c r="G338" s="347"/>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81" t="str">
        <f>_xlfn.CONCAT(_xlfn.XLOOKUP("[S05_DefaultValues][137][InstallationCategory]",Submission!$O:$O,Submission!$H:$N,""))</f>
        <v/>
      </c>
      <c r="D339" s="350"/>
      <c r="E339" s="350"/>
      <c r="F339" s="350"/>
      <c r="G339" s="347"/>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81" t="str">
        <f>_xlfn.CONCAT(_xlfn.XLOOKUP("[S05_DefaultValues][138][InstallationCategory]",Submission!$O:$O,Submission!$H:$N,""))</f>
        <v/>
      </c>
      <c r="D340" s="350"/>
      <c r="E340" s="350"/>
      <c r="F340" s="350"/>
      <c r="G340" s="347"/>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81" t="str">
        <f>_xlfn.CONCAT(_xlfn.XLOOKUP("[S05_DefaultValues][139][InstallationCategory]",Submission!$O:$O,Submission!$H:$N,""))</f>
        <v/>
      </c>
      <c r="D341" s="350"/>
      <c r="E341" s="350"/>
      <c r="F341" s="350"/>
      <c r="G341" s="347"/>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81" t="str">
        <f>_xlfn.CONCAT(_xlfn.XLOOKUP("[S05_DefaultValues][140][InstallationCategory]",Submission!$O:$O,Submission!$H:$N,""))</f>
        <v/>
      </c>
      <c r="D342" s="350"/>
      <c r="E342" s="350"/>
      <c r="F342" s="350"/>
      <c r="G342" s="347"/>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81" t="str">
        <f>_xlfn.CONCAT(_xlfn.XLOOKUP("[S05_DefaultValues][141][InstallationCategory]",Submission!$O:$O,Submission!$H:$N,""))</f>
        <v/>
      </c>
      <c r="D343" s="350"/>
      <c r="E343" s="350"/>
      <c r="F343" s="350"/>
      <c r="G343" s="347"/>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81" t="str">
        <f>_xlfn.CONCAT(_xlfn.XLOOKUP("[S05_DefaultValues][142][InstallationCategory]",Submission!$O:$O,Submission!$H:$N,""))</f>
        <v/>
      </c>
      <c r="D344" s="350"/>
      <c r="E344" s="350"/>
      <c r="F344" s="350"/>
      <c r="G344" s="347"/>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81" t="str">
        <f>_xlfn.CONCAT(_xlfn.XLOOKUP("[S05_DefaultValues][143][InstallationCategory]",Submission!$O:$O,Submission!$H:$N,""))</f>
        <v/>
      </c>
      <c r="D345" s="350"/>
      <c r="E345" s="350"/>
      <c r="F345" s="350"/>
      <c r="G345" s="347"/>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81" t="str">
        <f>_xlfn.CONCAT(_xlfn.XLOOKUP("[S05_DefaultValues][144][InstallationCategory]",Submission!$O:$O,Submission!$H:$N,""))</f>
        <v/>
      </c>
      <c r="D346" s="350"/>
      <c r="E346" s="350"/>
      <c r="F346" s="350"/>
      <c r="G346" s="347"/>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81" t="str">
        <f>_xlfn.CONCAT(_xlfn.XLOOKUP("[S05_DefaultValues][145][InstallationCategory]",Submission!$O:$O,Submission!$H:$N,""))</f>
        <v/>
      </c>
      <c r="D347" s="350"/>
      <c r="E347" s="350"/>
      <c r="F347" s="350"/>
      <c r="G347" s="347"/>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81" t="str">
        <f>_xlfn.CONCAT(_xlfn.XLOOKUP("[S05_DefaultValues][146][InstallationCategory]",Submission!$O:$O,Submission!$H:$N,""))</f>
        <v/>
      </c>
      <c r="D348" s="350"/>
      <c r="E348" s="350"/>
      <c r="F348" s="350"/>
      <c r="G348" s="347"/>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81" t="str">
        <f>_xlfn.CONCAT(_xlfn.XLOOKUP("[S05_DefaultValues][147][InstallationCategory]",Submission!$O:$O,Submission!$H:$N,""))</f>
        <v/>
      </c>
      <c r="D349" s="350"/>
      <c r="E349" s="350"/>
      <c r="F349" s="350"/>
      <c r="G349" s="347"/>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81" t="str">
        <f>_xlfn.CONCAT(_xlfn.XLOOKUP("[S05_DefaultValues][148][InstallationCategory]",Submission!$O:$O,Submission!$H:$N,""))</f>
        <v/>
      </c>
      <c r="D350" s="350"/>
      <c r="E350" s="350"/>
      <c r="F350" s="350"/>
      <c r="G350" s="347"/>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81" t="str">
        <f>_xlfn.CONCAT(_xlfn.XLOOKUP("[S05_DefaultValues][149][InstallationCategory]",Submission!$O:$O,Submission!$H:$N,""))</f>
        <v/>
      </c>
      <c r="D351" s="350"/>
      <c r="E351" s="350"/>
      <c r="F351" s="350"/>
      <c r="G351" s="347"/>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81" t="str">
        <f>_xlfn.CONCAT(_xlfn.XLOOKUP("[S05_DefaultValues][150][InstallationCategory]",Submission!$O:$O,Submission!$H:$N,""))</f>
        <v/>
      </c>
      <c r="D352" s="350"/>
      <c r="E352" s="350"/>
      <c r="F352" s="350"/>
      <c r="G352" s="347"/>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81" t="str">
        <f>_xlfn.CONCAT(_xlfn.XLOOKUP("[S05_DefaultValues][151][InstallationCategory]",Submission!$O:$O,Submission!$H:$N,""))</f>
        <v/>
      </c>
      <c r="D353" s="350"/>
      <c r="E353" s="350"/>
      <c r="F353" s="350"/>
      <c r="G353" s="347"/>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81" t="str">
        <f>_xlfn.CONCAT(_xlfn.XLOOKUP("[S05_DefaultValues][152][InstallationCategory]",Submission!$O:$O,Submission!$H:$N,""))</f>
        <v/>
      </c>
      <c r="D354" s="350"/>
      <c r="E354" s="350"/>
      <c r="F354" s="350"/>
      <c r="G354" s="347"/>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81" t="str">
        <f>_xlfn.CONCAT(_xlfn.XLOOKUP("[S05_DefaultValues][153][InstallationCategory]",Submission!$O:$O,Submission!$H:$N,""))</f>
        <v/>
      </c>
      <c r="D355" s="350"/>
      <c r="E355" s="350"/>
      <c r="F355" s="350"/>
      <c r="G355" s="347"/>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81" t="str">
        <f>_xlfn.CONCAT(_xlfn.XLOOKUP("[S05_DefaultValues][154][InstallationCategory]",Submission!$O:$O,Submission!$H:$N,""))</f>
        <v/>
      </c>
      <c r="D356" s="350"/>
      <c r="E356" s="350"/>
      <c r="F356" s="350"/>
      <c r="G356" s="347"/>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81" t="str">
        <f>_xlfn.CONCAT(_xlfn.XLOOKUP("[S05_DefaultValues][155][InstallationCategory]",Submission!$O:$O,Submission!$H:$N,""))</f>
        <v/>
      </c>
      <c r="D357" s="350"/>
      <c r="E357" s="350"/>
      <c r="F357" s="350"/>
      <c r="G357" s="347"/>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81" t="str">
        <f>_xlfn.CONCAT(_xlfn.XLOOKUP("[S05_DefaultValues][156][InstallationCategory]",Submission!$O:$O,Submission!$H:$N,""))</f>
        <v/>
      </c>
      <c r="D358" s="350"/>
      <c r="E358" s="350"/>
      <c r="F358" s="350"/>
      <c r="G358" s="347"/>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81" t="str">
        <f>_xlfn.CONCAT(_xlfn.XLOOKUP("[S05_DefaultValues][157][InstallationCategory]",Submission!$O:$O,Submission!$H:$N,""))</f>
        <v/>
      </c>
      <c r="D359" s="350"/>
      <c r="E359" s="350"/>
      <c r="F359" s="350"/>
      <c r="G359" s="347"/>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81" t="str">
        <f>_xlfn.CONCAT(_xlfn.XLOOKUP("[S05_DefaultValues][158][InstallationCategory]",Submission!$O:$O,Submission!$H:$N,""))</f>
        <v/>
      </c>
      <c r="D360" s="350"/>
      <c r="E360" s="350"/>
      <c r="F360" s="350"/>
      <c r="G360" s="347"/>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81" t="str">
        <f>_xlfn.CONCAT(_xlfn.XLOOKUP("[S05_DefaultValues][159][InstallationCategory]",Submission!$O:$O,Submission!$H:$N,""))</f>
        <v/>
      </c>
      <c r="D361" s="350"/>
      <c r="E361" s="350"/>
      <c r="F361" s="350"/>
      <c r="G361" s="347"/>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81" t="str">
        <f>_xlfn.CONCAT(_xlfn.XLOOKUP("[S05_DefaultValues][160][InstallationCategory]",Submission!$O:$O,Submission!$H:$N,""))</f>
        <v/>
      </c>
      <c r="D362" s="350"/>
      <c r="E362" s="350"/>
      <c r="F362" s="350"/>
      <c r="G362" s="347"/>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81" t="str">
        <f>_xlfn.CONCAT(_xlfn.XLOOKUP("[S05_DefaultValues][161][InstallationCategory]",Submission!$O:$O,Submission!$H:$N,""))</f>
        <v/>
      </c>
      <c r="D363" s="350"/>
      <c r="E363" s="350"/>
      <c r="F363" s="350"/>
      <c r="G363" s="347"/>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81" t="str">
        <f>_xlfn.CONCAT(_xlfn.XLOOKUP("[S05_DefaultValues][162][InstallationCategory]",Submission!$O:$O,Submission!$H:$N,""))</f>
        <v/>
      </c>
      <c r="D364" s="350"/>
      <c r="E364" s="350"/>
      <c r="F364" s="350"/>
      <c r="G364" s="347"/>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81" t="str">
        <f>_xlfn.CONCAT(_xlfn.XLOOKUP("[S05_DefaultValues][163][InstallationCategory]",Submission!$O:$O,Submission!$H:$N,""))</f>
        <v/>
      </c>
      <c r="D365" s="350"/>
      <c r="E365" s="350"/>
      <c r="F365" s="350"/>
      <c r="G365" s="347"/>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81" t="str">
        <f>_xlfn.CONCAT(_xlfn.XLOOKUP("[S05_DefaultValues][164][InstallationCategory]",Submission!$O:$O,Submission!$H:$N,""))</f>
        <v/>
      </c>
      <c r="D366" s="350"/>
      <c r="E366" s="350"/>
      <c r="F366" s="350"/>
      <c r="G366" s="347"/>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81" t="str">
        <f>_xlfn.CONCAT(_xlfn.XLOOKUP("[S05_DefaultValues][165][InstallationCategory]",Submission!$O:$O,Submission!$H:$N,""))</f>
        <v/>
      </c>
      <c r="D367" s="350"/>
      <c r="E367" s="350"/>
      <c r="F367" s="350"/>
      <c r="G367" s="347"/>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81" t="str">
        <f>_xlfn.CONCAT(_xlfn.XLOOKUP("[S05_DefaultValues][166][InstallationCategory]",Submission!$O:$O,Submission!$H:$N,""))</f>
        <v/>
      </c>
      <c r="D368" s="350"/>
      <c r="E368" s="350"/>
      <c r="F368" s="350"/>
      <c r="G368" s="347"/>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81" t="str">
        <f>_xlfn.CONCAT(_xlfn.XLOOKUP("[S05_DefaultValues][167][InstallationCategory]",Submission!$O:$O,Submission!$H:$N,""))</f>
        <v/>
      </c>
      <c r="D369" s="350"/>
      <c r="E369" s="350"/>
      <c r="F369" s="350"/>
      <c r="G369" s="347"/>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81" t="str">
        <f>_xlfn.CONCAT(_xlfn.XLOOKUP("[S05_DefaultValues][168][InstallationCategory]",Submission!$O:$O,Submission!$H:$N,""))</f>
        <v/>
      </c>
      <c r="D370" s="350"/>
      <c r="E370" s="350"/>
      <c r="F370" s="350"/>
      <c r="G370" s="347"/>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81" t="str">
        <f>_xlfn.CONCAT(_xlfn.XLOOKUP("[S05_DefaultValues][169][InstallationCategory]",Submission!$O:$O,Submission!$H:$N,""))</f>
        <v/>
      </c>
      <c r="D371" s="350"/>
      <c r="E371" s="350"/>
      <c r="F371" s="350"/>
      <c r="G371" s="347"/>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81" t="str">
        <f>_xlfn.CONCAT(_xlfn.XLOOKUP("[S05_DefaultValues][170][InstallationCategory]",Submission!$O:$O,Submission!$H:$N,""))</f>
        <v/>
      </c>
      <c r="D372" s="350"/>
      <c r="E372" s="350"/>
      <c r="F372" s="350"/>
      <c r="G372" s="347"/>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81" t="str">
        <f>_xlfn.CONCAT(_xlfn.XLOOKUP("[S05_DefaultValues][171][InstallationCategory]",Submission!$O:$O,Submission!$H:$N,""))</f>
        <v/>
      </c>
      <c r="D373" s="350"/>
      <c r="E373" s="350"/>
      <c r="F373" s="350"/>
      <c r="G373" s="347"/>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81" t="str">
        <f>_xlfn.CONCAT(_xlfn.XLOOKUP("[S05_DefaultValues][172][InstallationCategory]",Submission!$O:$O,Submission!$H:$N,""))</f>
        <v/>
      </c>
      <c r="D374" s="350"/>
      <c r="E374" s="350"/>
      <c r="F374" s="350"/>
      <c r="G374" s="347"/>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81" t="str">
        <f>_xlfn.CONCAT(_xlfn.XLOOKUP("[S05_DefaultValues][173][InstallationCategory]",Submission!$O:$O,Submission!$H:$N,""))</f>
        <v/>
      </c>
      <c r="D375" s="350"/>
      <c r="E375" s="350"/>
      <c r="F375" s="350"/>
      <c r="G375" s="347"/>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81" t="str">
        <f>_xlfn.CONCAT(_xlfn.XLOOKUP("[S05_DefaultValues][174][InstallationCategory]",Submission!$O:$O,Submission!$H:$N,""))</f>
        <v/>
      </c>
      <c r="D376" s="350"/>
      <c r="E376" s="350"/>
      <c r="F376" s="350"/>
      <c r="G376" s="347"/>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81" t="str">
        <f>_xlfn.CONCAT(_xlfn.XLOOKUP("[S05_DefaultValues][175][InstallationCategory]",Submission!$O:$O,Submission!$H:$N,""))</f>
        <v/>
      </c>
      <c r="D377" s="350"/>
      <c r="E377" s="350"/>
      <c r="F377" s="350"/>
      <c r="G377" s="347"/>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81" t="str">
        <f>_xlfn.CONCAT(_xlfn.XLOOKUP("[S05_DefaultValues][176][InstallationCategory]",Submission!$O:$O,Submission!$H:$N,""))</f>
        <v/>
      </c>
      <c r="D378" s="350"/>
      <c r="E378" s="350"/>
      <c r="F378" s="350"/>
      <c r="G378" s="347"/>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81" t="str">
        <f>_xlfn.CONCAT(_xlfn.XLOOKUP("[S05_DefaultValues][177][InstallationCategory]",Submission!$O:$O,Submission!$H:$N,""))</f>
        <v/>
      </c>
      <c r="D379" s="350"/>
      <c r="E379" s="350"/>
      <c r="F379" s="350"/>
      <c r="G379" s="347"/>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81" t="str">
        <f>_xlfn.CONCAT(_xlfn.XLOOKUP("[S05_DefaultValues][178][InstallationCategory]",Submission!$O:$O,Submission!$H:$N,""))</f>
        <v/>
      </c>
      <c r="D380" s="350"/>
      <c r="E380" s="350"/>
      <c r="F380" s="350"/>
      <c r="G380" s="347"/>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81" t="str">
        <f>_xlfn.CONCAT(_xlfn.XLOOKUP("[S05_DefaultValues][179][InstallationCategory]",Submission!$O:$O,Submission!$H:$N,""))</f>
        <v/>
      </c>
      <c r="D381" s="350"/>
      <c r="E381" s="350"/>
      <c r="F381" s="350"/>
      <c r="G381" s="347"/>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81" t="str">
        <f>_xlfn.CONCAT(_xlfn.XLOOKUP("[S05_DefaultValues][180][InstallationCategory]",Submission!$O:$O,Submission!$H:$N,""))</f>
        <v/>
      </c>
      <c r="D382" s="350"/>
      <c r="E382" s="350"/>
      <c r="F382" s="350"/>
      <c r="G382" s="347"/>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81" t="str">
        <f>_xlfn.CONCAT(_xlfn.XLOOKUP("[S05_DefaultValues][181][InstallationCategory]",Submission!$O:$O,Submission!$H:$N,""))</f>
        <v/>
      </c>
      <c r="D383" s="350"/>
      <c r="E383" s="350"/>
      <c r="F383" s="350"/>
      <c r="G383" s="347"/>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81" t="str">
        <f>_xlfn.CONCAT(_xlfn.XLOOKUP("[S05_DefaultValues][182][InstallationCategory]",Submission!$O:$O,Submission!$H:$N,""))</f>
        <v/>
      </c>
      <c r="D384" s="350"/>
      <c r="E384" s="350"/>
      <c r="F384" s="350"/>
      <c r="G384" s="347"/>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81" t="str">
        <f>_xlfn.CONCAT(_xlfn.XLOOKUP("[S05_DefaultValues][183][InstallationCategory]",Submission!$O:$O,Submission!$H:$N,""))</f>
        <v/>
      </c>
      <c r="D385" s="350"/>
      <c r="E385" s="350"/>
      <c r="F385" s="350"/>
      <c r="G385" s="347"/>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81" t="str">
        <f>_xlfn.CONCAT(_xlfn.XLOOKUP("[S05_DefaultValues][184][InstallationCategory]",Submission!$O:$O,Submission!$H:$N,""))</f>
        <v/>
      </c>
      <c r="D386" s="350"/>
      <c r="E386" s="350"/>
      <c r="F386" s="350"/>
      <c r="G386" s="347"/>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81" t="str">
        <f>_xlfn.CONCAT(_xlfn.XLOOKUP("[S05_DefaultValues][185][InstallationCategory]",Submission!$O:$O,Submission!$H:$N,""))</f>
        <v/>
      </c>
      <c r="D387" s="350"/>
      <c r="E387" s="350"/>
      <c r="F387" s="350"/>
      <c r="G387" s="347"/>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81" t="str">
        <f>_xlfn.CONCAT(_xlfn.XLOOKUP("[S05_DefaultValues][186][InstallationCategory]",Submission!$O:$O,Submission!$H:$N,""))</f>
        <v/>
      </c>
      <c r="D388" s="350"/>
      <c r="E388" s="350"/>
      <c r="F388" s="350"/>
      <c r="G388" s="347"/>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81" t="str">
        <f>_xlfn.CONCAT(_xlfn.XLOOKUP("[S05_DefaultValues][187][InstallationCategory]",Submission!$O:$O,Submission!$H:$N,""))</f>
        <v/>
      </c>
      <c r="D389" s="350"/>
      <c r="E389" s="350"/>
      <c r="F389" s="350"/>
      <c r="G389" s="347"/>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81" t="str">
        <f>_xlfn.CONCAT(_xlfn.XLOOKUP("[S05_DefaultValues][188][InstallationCategory]",Submission!$O:$O,Submission!$H:$N,""))</f>
        <v/>
      </c>
      <c r="D390" s="350"/>
      <c r="E390" s="350"/>
      <c r="F390" s="350"/>
      <c r="G390" s="347"/>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81" t="str">
        <f>_xlfn.CONCAT(_xlfn.XLOOKUP("[S05_DefaultValues][189][InstallationCategory]",Submission!$O:$O,Submission!$H:$N,""))</f>
        <v/>
      </c>
      <c r="D391" s="350"/>
      <c r="E391" s="350"/>
      <c r="F391" s="350"/>
      <c r="G391" s="347"/>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81" t="str">
        <f>_xlfn.CONCAT(_xlfn.XLOOKUP("[S05_DefaultValues][190][InstallationCategory]",Submission!$O:$O,Submission!$H:$N,""))</f>
        <v/>
      </c>
      <c r="D392" s="350"/>
      <c r="E392" s="350"/>
      <c r="F392" s="350"/>
      <c r="G392" s="347"/>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81" t="str">
        <f>_xlfn.CONCAT(_xlfn.XLOOKUP("[S05_DefaultValues][191][InstallationCategory]",Submission!$O:$O,Submission!$H:$N,""))</f>
        <v/>
      </c>
      <c r="D393" s="350"/>
      <c r="E393" s="350"/>
      <c r="F393" s="350"/>
      <c r="G393" s="347"/>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81" t="str">
        <f>_xlfn.CONCAT(_xlfn.XLOOKUP("[S05_DefaultValues][192][InstallationCategory]",Submission!$O:$O,Submission!$H:$N,""))</f>
        <v/>
      </c>
      <c r="D394" s="350"/>
      <c r="E394" s="350"/>
      <c r="F394" s="350"/>
      <c r="G394" s="347"/>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81" t="str">
        <f>_xlfn.CONCAT(_xlfn.XLOOKUP("[S05_DefaultValues][193][InstallationCategory]",Submission!$O:$O,Submission!$H:$N,""))</f>
        <v/>
      </c>
      <c r="D395" s="350"/>
      <c r="E395" s="350"/>
      <c r="F395" s="350"/>
      <c r="G395" s="347"/>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81" t="str">
        <f>_xlfn.CONCAT(_xlfn.XLOOKUP("[S05_DefaultValues][194][InstallationCategory]",Submission!$O:$O,Submission!$H:$N,""))</f>
        <v/>
      </c>
      <c r="D396" s="350"/>
      <c r="E396" s="350"/>
      <c r="F396" s="350"/>
      <c r="G396" s="347"/>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81" t="str">
        <f>_xlfn.CONCAT(_xlfn.XLOOKUP("[S05_DefaultValues][195][InstallationCategory]",Submission!$O:$O,Submission!$H:$N,""))</f>
        <v/>
      </c>
      <c r="D397" s="350"/>
      <c r="E397" s="350"/>
      <c r="F397" s="350"/>
      <c r="G397" s="347"/>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81" t="str">
        <f>_xlfn.CONCAT(_xlfn.XLOOKUP("[S05_DefaultValues][196][InstallationCategory]",Submission!$O:$O,Submission!$H:$N,""))</f>
        <v/>
      </c>
      <c r="D398" s="350"/>
      <c r="E398" s="350"/>
      <c r="F398" s="350"/>
      <c r="G398" s="347"/>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81" t="str">
        <f>_xlfn.CONCAT(_xlfn.XLOOKUP("[S05_DefaultValues][197][InstallationCategory]",Submission!$O:$O,Submission!$H:$N,""))</f>
        <v/>
      </c>
      <c r="D399" s="350"/>
      <c r="E399" s="350"/>
      <c r="F399" s="350"/>
      <c r="G399" s="347"/>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81" t="str">
        <f>_xlfn.CONCAT(_xlfn.XLOOKUP("[S05_DefaultValues][198][InstallationCategory]",Submission!$O:$O,Submission!$H:$N,""))</f>
        <v/>
      </c>
      <c r="D400" s="350"/>
      <c r="E400" s="350"/>
      <c r="F400" s="350"/>
      <c r="G400" s="347"/>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81" t="str">
        <f>_xlfn.CONCAT(_xlfn.XLOOKUP("[S05_DefaultValues][199][InstallationCategory]",Submission!$O:$O,Submission!$H:$N,""))</f>
        <v/>
      </c>
      <c r="D401" s="350"/>
      <c r="E401" s="350"/>
      <c r="F401" s="350"/>
      <c r="G401" s="347"/>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81" t="str">
        <f>_xlfn.CONCAT(_xlfn.XLOOKUP("[S05_DefaultValues][200][InstallationCategory]",Submission!$O:$O,Submission!$H:$N,""))</f>
        <v/>
      </c>
      <c r="D402" s="350"/>
      <c r="E402" s="350"/>
      <c r="F402" s="350"/>
      <c r="G402" s="347"/>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81" t="str">
        <f>_xlfn.CONCAT(_xlfn.XLOOKUP("[S05_DefaultValues][201][InstallationCategory]",Submission!$O:$O,Submission!$H:$N,""))</f>
        <v/>
      </c>
      <c r="D403" s="350"/>
      <c r="E403" s="350"/>
      <c r="F403" s="350"/>
      <c r="G403" s="347"/>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81" t="str">
        <f>_xlfn.CONCAT(_xlfn.XLOOKUP("[S05_DefaultValues][202][InstallationCategory]",Submission!$O:$O,Submission!$H:$N,""))</f>
        <v/>
      </c>
      <c r="D404" s="350"/>
      <c r="E404" s="350"/>
      <c r="F404" s="350"/>
      <c r="G404" s="347"/>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81" t="str">
        <f>_xlfn.CONCAT(_xlfn.XLOOKUP("[S05_DefaultValues][203][InstallationCategory]",Submission!$O:$O,Submission!$H:$N,""))</f>
        <v/>
      </c>
      <c r="D405" s="350"/>
      <c r="E405" s="350"/>
      <c r="F405" s="350"/>
      <c r="G405" s="347"/>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81" t="str">
        <f>_xlfn.CONCAT(_xlfn.XLOOKUP("[S05_DefaultValues][204][InstallationCategory]",Submission!$O:$O,Submission!$H:$N,""))</f>
        <v/>
      </c>
      <c r="D406" s="350"/>
      <c r="E406" s="350"/>
      <c r="F406" s="350"/>
      <c r="G406" s="347"/>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81" t="str">
        <f>_xlfn.CONCAT(_xlfn.XLOOKUP("[S05_DefaultValues][205][InstallationCategory]",Submission!$O:$O,Submission!$H:$N,""))</f>
        <v/>
      </c>
      <c r="D407" s="350"/>
      <c r="E407" s="350"/>
      <c r="F407" s="350"/>
      <c r="G407" s="347"/>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81" t="str">
        <f>_xlfn.CONCAT(_xlfn.XLOOKUP("[S05_DefaultValues][206][InstallationCategory]",Submission!$O:$O,Submission!$H:$N,""))</f>
        <v/>
      </c>
      <c r="D408" s="350"/>
      <c r="E408" s="350"/>
      <c r="F408" s="350"/>
      <c r="G408" s="347"/>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81" t="str">
        <f>_xlfn.CONCAT(_xlfn.XLOOKUP("[S05_DefaultValues][207][InstallationCategory]",Submission!$O:$O,Submission!$H:$N,""))</f>
        <v/>
      </c>
      <c r="D409" s="350"/>
      <c r="E409" s="350"/>
      <c r="F409" s="350"/>
      <c r="G409" s="347"/>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81" t="str">
        <f>_xlfn.CONCAT(_xlfn.XLOOKUP("[S05_DefaultValues][208][InstallationCategory]",Submission!$O:$O,Submission!$H:$N,""))</f>
        <v/>
      </c>
      <c r="D410" s="350"/>
      <c r="E410" s="350"/>
      <c r="F410" s="350"/>
      <c r="G410" s="347"/>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81" t="str">
        <f>_xlfn.CONCAT(_xlfn.XLOOKUP("[S05_DefaultValues][209][InstallationCategory]",Submission!$O:$O,Submission!$H:$N,""))</f>
        <v/>
      </c>
      <c r="D411" s="350"/>
      <c r="E411" s="350"/>
      <c r="F411" s="350"/>
      <c r="G411" s="347"/>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81" t="str">
        <f>_xlfn.CONCAT(_xlfn.XLOOKUP("[S05_DefaultValues][210][InstallationCategory]",Submission!$O:$O,Submission!$H:$N,""))</f>
        <v/>
      </c>
      <c r="D412" s="350"/>
      <c r="E412" s="350"/>
      <c r="F412" s="350"/>
      <c r="G412" s="347"/>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81" t="str">
        <f>_xlfn.CONCAT(_xlfn.XLOOKUP("[S05_DefaultValues][211][InstallationCategory]",Submission!$O:$O,Submission!$H:$N,""))</f>
        <v/>
      </c>
      <c r="D413" s="350"/>
      <c r="E413" s="350"/>
      <c r="F413" s="350"/>
      <c r="G413" s="347"/>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81" t="str">
        <f>_xlfn.CONCAT(_xlfn.XLOOKUP("[S05_DefaultValues][212][InstallationCategory]",Submission!$O:$O,Submission!$H:$N,""))</f>
        <v/>
      </c>
      <c r="D414" s="350"/>
      <c r="E414" s="350"/>
      <c r="F414" s="350"/>
      <c r="G414" s="347"/>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81" t="str">
        <f>_xlfn.CONCAT(_xlfn.XLOOKUP("[S05_DefaultValues][213][InstallationCategory]",Submission!$O:$O,Submission!$H:$N,""))</f>
        <v/>
      </c>
      <c r="D415" s="350"/>
      <c r="E415" s="350"/>
      <c r="F415" s="350"/>
      <c r="G415" s="347"/>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81" t="str">
        <f>_xlfn.CONCAT(_xlfn.XLOOKUP("[S05_DefaultValues][214][InstallationCategory]",Submission!$O:$O,Submission!$H:$N,""))</f>
        <v/>
      </c>
      <c r="D416" s="350"/>
      <c r="E416" s="350"/>
      <c r="F416" s="350"/>
      <c r="G416" s="347"/>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81" t="str">
        <f>_xlfn.CONCAT(_xlfn.XLOOKUP("[S05_DefaultValues][215][InstallationCategory]",Submission!$O:$O,Submission!$H:$N,""))</f>
        <v/>
      </c>
      <c r="D417" s="350"/>
      <c r="E417" s="350"/>
      <c r="F417" s="350"/>
      <c r="G417" s="347"/>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81" t="str">
        <f>_xlfn.CONCAT(_xlfn.XLOOKUP("[S05_DefaultValues][216][InstallationCategory]",Submission!$O:$O,Submission!$H:$N,""))</f>
        <v/>
      </c>
      <c r="D418" s="350"/>
      <c r="E418" s="350"/>
      <c r="F418" s="350"/>
      <c r="G418" s="347"/>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81" t="str">
        <f>_xlfn.CONCAT(_xlfn.XLOOKUP("[S05_DefaultValues][217][InstallationCategory]",Submission!$O:$O,Submission!$H:$N,""))</f>
        <v/>
      </c>
      <c r="D419" s="350"/>
      <c r="E419" s="350"/>
      <c r="F419" s="350"/>
      <c r="G419" s="347"/>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81" t="str">
        <f>_xlfn.CONCAT(_xlfn.XLOOKUP("[S05_DefaultValues][218][InstallationCategory]",Submission!$O:$O,Submission!$H:$N,""))</f>
        <v/>
      </c>
      <c r="D420" s="350"/>
      <c r="E420" s="350"/>
      <c r="F420" s="350"/>
      <c r="G420" s="347"/>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81" t="str">
        <f>_xlfn.CONCAT(_xlfn.XLOOKUP("[S05_DefaultValues][219][InstallationCategory]",Submission!$O:$O,Submission!$H:$N,""))</f>
        <v/>
      </c>
      <c r="D421" s="350"/>
      <c r="E421" s="350"/>
      <c r="F421" s="350"/>
      <c r="G421" s="347"/>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81" t="str">
        <f>_xlfn.CONCAT(_xlfn.XLOOKUP("[S05_DefaultValues][220][InstallationCategory]",Submission!$O:$O,Submission!$H:$N,""))</f>
        <v/>
      </c>
      <c r="D422" s="350"/>
      <c r="E422" s="350"/>
      <c r="F422" s="350"/>
      <c r="G422" s="347"/>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81" t="str">
        <f>_xlfn.CONCAT(_xlfn.XLOOKUP("[S05_DefaultValues][221][InstallationCategory]",Submission!$O:$O,Submission!$H:$N,""))</f>
        <v/>
      </c>
      <c r="D423" s="350"/>
      <c r="E423" s="350"/>
      <c r="F423" s="350"/>
      <c r="G423" s="347"/>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81" t="str">
        <f>_xlfn.CONCAT(_xlfn.XLOOKUP("[S05_DefaultValues][222][InstallationCategory]",Submission!$O:$O,Submission!$H:$N,""))</f>
        <v/>
      </c>
      <c r="D424" s="350"/>
      <c r="E424" s="350"/>
      <c r="F424" s="350"/>
      <c r="G424" s="347"/>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81" t="str">
        <f>_xlfn.CONCAT(_xlfn.XLOOKUP("[S05_DefaultValues][223][InstallationCategory]",Submission!$O:$O,Submission!$H:$N,""))</f>
        <v/>
      </c>
      <c r="D425" s="350"/>
      <c r="E425" s="350"/>
      <c r="F425" s="350"/>
      <c r="G425" s="347"/>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81" t="str">
        <f>_xlfn.CONCAT(_xlfn.XLOOKUP("[S05_DefaultValues][224][InstallationCategory]",Submission!$O:$O,Submission!$H:$N,""))</f>
        <v/>
      </c>
      <c r="D426" s="350"/>
      <c r="E426" s="350"/>
      <c r="F426" s="350"/>
      <c r="G426" s="347"/>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81" t="str">
        <f>_xlfn.CONCAT(_xlfn.XLOOKUP("[S05_DefaultValues][225][InstallationCategory]",Submission!$O:$O,Submission!$H:$N,""))</f>
        <v/>
      </c>
      <c r="D427" s="350"/>
      <c r="E427" s="350"/>
      <c r="F427" s="350"/>
      <c r="G427" s="347"/>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81" t="str">
        <f>_xlfn.CONCAT(_xlfn.XLOOKUP("[S05_DefaultValues][226][InstallationCategory]",Submission!$O:$O,Submission!$H:$N,""))</f>
        <v/>
      </c>
      <c r="D428" s="350"/>
      <c r="E428" s="350"/>
      <c r="F428" s="350"/>
      <c r="G428" s="347"/>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81" t="str">
        <f>_xlfn.CONCAT(_xlfn.XLOOKUP("[S05_DefaultValues][227][InstallationCategory]",Submission!$O:$O,Submission!$H:$N,""))</f>
        <v/>
      </c>
      <c r="D429" s="350"/>
      <c r="E429" s="350"/>
      <c r="F429" s="350"/>
      <c r="G429" s="347"/>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81" t="str">
        <f>_xlfn.CONCAT(_xlfn.XLOOKUP("[S05_DefaultValues][228][InstallationCategory]",Submission!$O:$O,Submission!$H:$N,""))</f>
        <v/>
      </c>
      <c r="D430" s="350"/>
      <c r="E430" s="350"/>
      <c r="F430" s="350"/>
      <c r="G430" s="347"/>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81" t="str">
        <f>_xlfn.CONCAT(_xlfn.XLOOKUP("[S05_DefaultValues][229][InstallationCategory]",Submission!$O:$O,Submission!$H:$N,""))</f>
        <v/>
      </c>
      <c r="D431" s="350"/>
      <c r="E431" s="350"/>
      <c r="F431" s="350"/>
      <c r="G431" s="347"/>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81" t="str">
        <f>_xlfn.CONCAT(_xlfn.XLOOKUP("[S05_DefaultValues][230][InstallationCategory]",Submission!$O:$O,Submission!$H:$N,""))</f>
        <v/>
      </c>
      <c r="D432" s="350"/>
      <c r="E432" s="350"/>
      <c r="F432" s="350"/>
      <c r="G432" s="347"/>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81" t="str">
        <f>_xlfn.CONCAT(_xlfn.XLOOKUP("[S05_DefaultValues][231][InstallationCategory]",Submission!$O:$O,Submission!$H:$N,""))</f>
        <v/>
      </c>
      <c r="D433" s="350"/>
      <c r="E433" s="350"/>
      <c r="F433" s="350"/>
      <c r="G433" s="347"/>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81" t="str">
        <f>_xlfn.CONCAT(_xlfn.XLOOKUP("[S05_DefaultValues][232][InstallationCategory]",Submission!$O:$O,Submission!$H:$N,""))</f>
        <v/>
      </c>
      <c r="D434" s="350"/>
      <c r="E434" s="350"/>
      <c r="F434" s="350"/>
      <c r="G434" s="347"/>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81" t="str">
        <f>_xlfn.CONCAT(_xlfn.XLOOKUP("[S05_DefaultValues][233][InstallationCategory]",Submission!$O:$O,Submission!$H:$N,""))</f>
        <v/>
      </c>
      <c r="D435" s="350"/>
      <c r="E435" s="350"/>
      <c r="F435" s="350"/>
      <c r="G435" s="347"/>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81" t="str">
        <f>_xlfn.CONCAT(_xlfn.XLOOKUP("[S05_DefaultValues][234][InstallationCategory]",Submission!$O:$O,Submission!$H:$N,""))</f>
        <v/>
      </c>
      <c r="D436" s="350"/>
      <c r="E436" s="350"/>
      <c r="F436" s="350"/>
      <c r="G436" s="347"/>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81" t="str">
        <f>_xlfn.CONCAT(_xlfn.XLOOKUP("[S05_DefaultValues][235][InstallationCategory]",Submission!$O:$O,Submission!$H:$N,""))</f>
        <v/>
      </c>
      <c r="D437" s="350"/>
      <c r="E437" s="350"/>
      <c r="F437" s="350"/>
      <c r="G437" s="347"/>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81" t="str">
        <f>_xlfn.CONCAT(_xlfn.XLOOKUP("[S05_DefaultValues][236][InstallationCategory]",Submission!$O:$O,Submission!$H:$N,""))</f>
        <v/>
      </c>
      <c r="D438" s="350"/>
      <c r="E438" s="350"/>
      <c r="F438" s="350"/>
      <c r="G438" s="347"/>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81" t="str">
        <f>_xlfn.CONCAT(_xlfn.XLOOKUP("[S05_DefaultValues][237][InstallationCategory]",Submission!$O:$O,Submission!$H:$N,""))</f>
        <v/>
      </c>
      <c r="D439" s="350"/>
      <c r="E439" s="350"/>
      <c r="F439" s="350"/>
      <c r="G439" s="347"/>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81" t="str">
        <f>_xlfn.CONCAT(_xlfn.XLOOKUP("[S05_DefaultValues][238][InstallationCategory]",Submission!$O:$O,Submission!$H:$N,""))</f>
        <v/>
      </c>
      <c r="D440" s="350"/>
      <c r="E440" s="350"/>
      <c r="F440" s="350"/>
      <c r="G440" s="347"/>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81" t="str">
        <f>_xlfn.CONCAT(_xlfn.XLOOKUP("[S05_DefaultValues][239][InstallationCategory]",Submission!$O:$O,Submission!$H:$N,""))</f>
        <v/>
      </c>
      <c r="D441" s="350"/>
      <c r="E441" s="350"/>
      <c r="F441" s="350"/>
      <c r="G441" s="347"/>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81" t="str">
        <f>_xlfn.CONCAT(_xlfn.XLOOKUP("[S05_DefaultValues][240][InstallationCategory]",Submission!$O:$O,Submission!$H:$N,""))</f>
        <v/>
      </c>
      <c r="D442" s="350"/>
      <c r="E442" s="350"/>
      <c r="F442" s="350"/>
      <c r="G442" s="347"/>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81" t="str">
        <f>_xlfn.CONCAT(_xlfn.XLOOKUP("[S05_DefaultValues][241][InstallationCategory]",Submission!$O:$O,Submission!$H:$N,""))</f>
        <v/>
      </c>
      <c r="D443" s="350"/>
      <c r="E443" s="350"/>
      <c r="F443" s="350"/>
      <c r="G443" s="347"/>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81" t="str">
        <f>_xlfn.CONCAT(_xlfn.XLOOKUP("[S05_DefaultValues][242][InstallationCategory]",Submission!$O:$O,Submission!$H:$N,""))</f>
        <v/>
      </c>
      <c r="D444" s="350"/>
      <c r="E444" s="350"/>
      <c r="F444" s="350"/>
      <c r="G444" s="347"/>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81" t="str">
        <f>_xlfn.CONCAT(_xlfn.XLOOKUP("[S05_DefaultValues][243][InstallationCategory]",Submission!$O:$O,Submission!$H:$N,""))</f>
        <v/>
      </c>
      <c r="D445" s="350"/>
      <c r="E445" s="350"/>
      <c r="F445" s="350"/>
      <c r="G445" s="347"/>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81" t="str">
        <f>_xlfn.CONCAT(_xlfn.XLOOKUP("[S05_DefaultValues][244][InstallationCategory]",Submission!$O:$O,Submission!$H:$N,""))</f>
        <v/>
      </c>
      <c r="D446" s="350"/>
      <c r="E446" s="350"/>
      <c r="F446" s="350"/>
      <c r="G446" s="347"/>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81" t="str">
        <f>_xlfn.CONCAT(_xlfn.XLOOKUP("[S05_DefaultValues][245][InstallationCategory]",Submission!$O:$O,Submission!$H:$N,""))</f>
        <v/>
      </c>
      <c r="D447" s="350"/>
      <c r="E447" s="350"/>
      <c r="F447" s="350"/>
      <c r="G447" s="347"/>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81" t="str">
        <f>_xlfn.CONCAT(_xlfn.XLOOKUP("[S05_DefaultValues][246][InstallationCategory]",Submission!$O:$O,Submission!$H:$N,""))</f>
        <v/>
      </c>
      <c r="D448" s="350"/>
      <c r="E448" s="350"/>
      <c r="F448" s="350"/>
      <c r="G448" s="347"/>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81" t="str">
        <f>_xlfn.CONCAT(_xlfn.XLOOKUP("[S05_DefaultValues][247][InstallationCategory]",Submission!$O:$O,Submission!$H:$N,""))</f>
        <v/>
      </c>
      <c r="D449" s="350"/>
      <c r="E449" s="350"/>
      <c r="F449" s="350"/>
      <c r="G449" s="347"/>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81" t="str">
        <f>_xlfn.CONCAT(_xlfn.XLOOKUP("[S05_DefaultValues][248][InstallationCategory]",Submission!$O:$O,Submission!$H:$N,""))</f>
        <v/>
      </c>
      <c r="D450" s="350"/>
      <c r="E450" s="350"/>
      <c r="F450" s="350"/>
      <c r="G450" s="347"/>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81" t="str">
        <f>_xlfn.CONCAT(_xlfn.XLOOKUP("[S05_DefaultValues][249][InstallationCategory]",Submission!$O:$O,Submission!$H:$N,""))</f>
        <v/>
      </c>
      <c r="D451" s="350"/>
      <c r="E451" s="350"/>
      <c r="F451" s="350"/>
      <c r="G451" s="347"/>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81" t="str">
        <f>_xlfn.CONCAT(_xlfn.XLOOKUP("[S05_DefaultValues][250][InstallationCategory]",Submission!$O:$O,Submission!$H:$N,""))</f>
        <v/>
      </c>
      <c r="D452" s="350"/>
      <c r="E452" s="350"/>
      <c r="F452" s="350"/>
      <c r="G452" s="347"/>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81" t="str">
        <f>_xlfn.CONCAT(_xlfn.XLOOKUP("[S05_DefaultValues][251][InstallationCategory]",Submission!$O:$O,Submission!$H:$N,""))</f>
        <v/>
      </c>
      <c r="D453" s="350"/>
      <c r="E453" s="350"/>
      <c r="F453" s="350"/>
      <c r="G453" s="347"/>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81" t="str">
        <f>_xlfn.CONCAT(_xlfn.XLOOKUP("[S05_DefaultValues][252][InstallationCategory]",Submission!$O:$O,Submission!$H:$N,""))</f>
        <v/>
      </c>
      <c r="D454" s="350"/>
      <c r="E454" s="350"/>
      <c r="F454" s="350"/>
      <c r="G454" s="347"/>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81" t="str">
        <f>_xlfn.CONCAT(_xlfn.XLOOKUP("[S05_DefaultValues][253][InstallationCategory]",Submission!$O:$O,Submission!$H:$N,""))</f>
        <v/>
      </c>
      <c r="D455" s="350"/>
      <c r="E455" s="350"/>
      <c r="F455" s="350"/>
      <c r="G455" s="347"/>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81" t="str">
        <f>_xlfn.CONCAT(_xlfn.XLOOKUP("[S05_DefaultValues][254][InstallationCategory]",Submission!$O:$O,Submission!$H:$N,""))</f>
        <v/>
      </c>
      <c r="D456" s="350"/>
      <c r="E456" s="350"/>
      <c r="F456" s="350"/>
      <c r="G456" s="347"/>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81" t="str">
        <f>_xlfn.CONCAT(_xlfn.XLOOKUP("[S05_DefaultValues][255][InstallationCategory]",Submission!$O:$O,Submission!$H:$N,""))</f>
        <v/>
      </c>
      <c r="D457" s="350"/>
      <c r="E457" s="350"/>
      <c r="F457" s="350"/>
      <c r="G457" s="347"/>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81" t="str">
        <f>_xlfn.CONCAT(_xlfn.XLOOKUP("[S05_DefaultValues][256][InstallationCategory]",Submission!$O:$O,Submission!$H:$N,""))</f>
        <v/>
      </c>
      <c r="D458" s="350"/>
      <c r="E458" s="350"/>
      <c r="F458" s="350"/>
      <c r="G458" s="347"/>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81" t="str">
        <f>_xlfn.CONCAT(_xlfn.XLOOKUP("[S05_DefaultValues][257][InstallationCategory]",Submission!$O:$O,Submission!$H:$N,""))</f>
        <v/>
      </c>
      <c r="D459" s="350"/>
      <c r="E459" s="350"/>
      <c r="F459" s="350"/>
      <c r="G459" s="347"/>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81" t="str">
        <f>_xlfn.CONCAT(_xlfn.XLOOKUP("[S05_DefaultValues][258][InstallationCategory]",Submission!$O:$O,Submission!$H:$N,""))</f>
        <v/>
      </c>
      <c r="D460" s="350"/>
      <c r="E460" s="350"/>
      <c r="F460" s="350"/>
      <c r="G460" s="347"/>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81" t="str">
        <f>_xlfn.CONCAT(_xlfn.XLOOKUP("[S05_DefaultValues][259][InstallationCategory]",Submission!$O:$O,Submission!$H:$N,""))</f>
        <v/>
      </c>
      <c r="D461" s="350"/>
      <c r="E461" s="350"/>
      <c r="F461" s="350"/>
      <c r="G461" s="347"/>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81" t="str">
        <f>_xlfn.CONCAT(_xlfn.XLOOKUP("[S05_DefaultValues][260][InstallationCategory]",Submission!$O:$O,Submission!$H:$N,""))</f>
        <v/>
      </c>
      <c r="D462" s="350"/>
      <c r="E462" s="350"/>
      <c r="F462" s="350"/>
      <c r="G462" s="347"/>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81" t="str">
        <f>_xlfn.CONCAT(_xlfn.XLOOKUP("[S05_DefaultValues][261][InstallationCategory]",Submission!$O:$O,Submission!$H:$N,""))</f>
        <v/>
      </c>
      <c r="D463" s="350"/>
      <c r="E463" s="350"/>
      <c r="F463" s="350"/>
      <c r="G463" s="347"/>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81" t="str">
        <f>_xlfn.CONCAT(_xlfn.XLOOKUP("[S05_DefaultValues][262][InstallationCategory]",Submission!$O:$O,Submission!$H:$N,""))</f>
        <v/>
      </c>
      <c r="D464" s="350"/>
      <c r="E464" s="350"/>
      <c r="F464" s="350"/>
      <c r="G464" s="347"/>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81" t="str">
        <f>_xlfn.CONCAT(_xlfn.XLOOKUP("[S05_DefaultValues][263][InstallationCategory]",Submission!$O:$O,Submission!$H:$N,""))</f>
        <v/>
      </c>
      <c r="D465" s="350"/>
      <c r="E465" s="350"/>
      <c r="F465" s="350"/>
      <c r="G465" s="347"/>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81" t="str">
        <f>_xlfn.CONCAT(_xlfn.XLOOKUP("[S05_DefaultValues][264][InstallationCategory]",Submission!$O:$O,Submission!$H:$N,""))</f>
        <v/>
      </c>
      <c r="D466" s="350"/>
      <c r="E466" s="350"/>
      <c r="F466" s="350"/>
      <c r="G466" s="347"/>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81" t="str">
        <f>_xlfn.CONCAT(_xlfn.XLOOKUP("[S05_DefaultValues][265][InstallationCategory]",Submission!$O:$O,Submission!$H:$N,""))</f>
        <v/>
      </c>
      <c r="D467" s="350"/>
      <c r="E467" s="350"/>
      <c r="F467" s="350"/>
      <c r="G467" s="347"/>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81" t="str">
        <f>_xlfn.CONCAT(_xlfn.XLOOKUP("[S05_DefaultValues][266][InstallationCategory]",Submission!$O:$O,Submission!$H:$N,""))</f>
        <v/>
      </c>
      <c r="D468" s="350"/>
      <c r="E468" s="350"/>
      <c r="F468" s="350"/>
      <c r="G468" s="347"/>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81" t="str">
        <f>_xlfn.CONCAT(_xlfn.XLOOKUP("[S05_DefaultValues][267][InstallationCategory]",Submission!$O:$O,Submission!$H:$N,""))</f>
        <v/>
      </c>
      <c r="D469" s="350"/>
      <c r="E469" s="350"/>
      <c r="F469" s="350"/>
      <c r="G469" s="347"/>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81" t="str">
        <f>_xlfn.CONCAT(_xlfn.XLOOKUP("[S05_DefaultValues][268][InstallationCategory]",Submission!$O:$O,Submission!$H:$N,""))</f>
        <v/>
      </c>
      <c r="D470" s="350"/>
      <c r="E470" s="350"/>
      <c r="F470" s="350"/>
      <c r="G470" s="347"/>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81" t="str">
        <f>_xlfn.CONCAT(_xlfn.XLOOKUP("[S05_DefaultValues][269][InstallationCategory]",Submission!$O:$O,Submission!$H:$N,""))</f>
        <v/>
      </c>
      <c r="D471" s="350"/>
      <c r="E471" s="350"/>
      <c r="F471" s="350"/>
      <c r="G471" s="347"/>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81" t="str">
        <f>_xlfn.CONCAT(_xlfn.XLOOKUP("[S05_DefaultValues][270][InstallationCategory]",Submission!$O:$O,Submission!$H:$N,""))</f>
        <v/>
      </c>
      <c r="D472" s="350"/>
      <c r="E472" s="350"/>
      <c r="F472" s="350"/>
      <c r="G472" s="347"/>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81" t="str">
        <f>_xlfn.CONCAT(_xlfn.XLOOKUP("[S05_DefaultValues][271][InstallationCategory]",Submission!$O:$O,Submission!$H:$N,""))</f>
        <v/>
      </c>
      <c r="D473" s="350"/>
      <c r="E473" s="350"/>
      <c r="F473" s="350"/>
      <c r="G473" s="347"/>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81" t="str">
        <f>_xlfn.CONCAT(_xlfn.XLOOKUP("[S05_DefaultValues][272][InstallationCategory]",Submission!$O:$O,Submission!$H:$N,""))</f>
        <v/>
      </c>
      <c r="D474" s="350"/>
      <c r="E474" s="350"/>
      <c r="F474" s="350"/>
      <c r="G474" s="347"/>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81" t="str">
        <f>_xlfn.CONCAT(_xlfn.XLOOKUP("[S05_DefaultValues][273][InstallationCategory]",Submission!$O:$O,Submission!$H:$N,""))</f>
        <v/>
      </c>
      <c r="D475" s="350"/>
      <c r="E475" s="350"/>
      <c r="F475" s="350"/>
      <c r="G475" s="347"/>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81" t="str">
        <f>_xlfn.CONCAT(_xlfn.XLOOKUP("[S05_DefaultValues][274][InstallationCategory]",Submission!$O:$O,Submission!$H:$N,""))</f>
        <v/>
      </c>
      <c r="D476" s="350"/>
      <c r="E476" s="350"/>
      <c r="F476" s="350"/>
      <c r="G476" s="347"/>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81" t="str">
        <f>_xlfn.CONCAT(_xlfn.XLOOKUP("[S05_DefaultValues][275][InstallationCategory]",Submission!$O:$O,Submission!$H:$N,""))</f>
        <v/>
      </c>
      <c r="D477" s="350"/>
      <c r="E477" s="350"/>
      <c r="F477" s="350"/>
      <c r="G477" s="347"/>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81" t="str">
        <f>_xlfn.CONCAT(_xlfn.XLOOKUP("[S05_DefaultValues][276][InstallationCategory]",Submission!$O:$O,Submission!$H:$N,""))</f>
        <v/>
      </c>
      <c r="D478" s="350"/>
      <c r="E478" s="350"/>
      <c r="F478" s="350"/>
      <c r="G478" s="347"/>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81" t="str">
        <f>_xlfn.CONCAT(_xlfn.XLOOKUP("[S05_DefaultValues][277][InstallationCategory]",Submission!$O:$O,Submission!$H:$N,""))</f>
        <v/>
      </c>
      <c r="D479" s="350"/>
      <c r="E479" s="350"/>
      <c r="F479" s="350"/>
      <c r="G479" s="347"/>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81" t="str">
        <f>_xlfn.CONCAT(_xlfn.XLOOKUP("[S05_DefaultValues][278][InstallationCategory]",Submission!$O:$O,Submission!$H:$N,""))</f>
        <v/>
      </c>
      <c r="D480" s="350"/>
      <c r="E480" s="350"/>
      <c r="F480" s="350"/>
      <c r="G480" s="347"/>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81" t="str">
        <f>_xlfn.CONCAT(_xlfn.XLOOKUP("[S05_DefaultValues][279][InstallationCategory]",Submission!$O:$O,Submission!$H:$N,""))</f>
        <v/>
      </c>
      <c r="D481" s="350"/>
      <c r="E481" s="350"/>
      <c r="F481" s="350"/>
      <c r="G481" s="347"/>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81" t="str">
        <f>_xlfn.CONCAT(_xlfn.XLOOKUP("[S05_DefaultValues][280][InstallationCategory]",Submission!$O:$O,Submission!$H:$N,""))</f>
        <v/>
      </c>
      <c r="D482" s="350"/>
      <c r="E482" s="350"/>
      <c r="F482" s="350"/>
      <c r="G482" s="347"/>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81" t="str">
        <f>_xlfn.CONCAT(_xlfn.XLOOKUP("[S05_DefaultValues][281][InstallationCategory]",Submission!$O:$O,Submission!$H:$N,""))</f>
        <v/>
      </c>
      <c r="D483" s="350"/>
      <c r="E483" s="350"/>
      <c r="F483" s="350"/>
      <c r="G483" s="347"/>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81" t="str">
        <f>_xlfn.CONCAT(_xlfn.XLOOKUP("[S05_DefaultValues][282][InstallationCategory]",Submission!$O:$O,Submission!$H:$N,""))</f>
        <v/>
      </c>
      <c r="D484" s="350"/>
      <c r="E484" s="350"/>
      <c r="F484" s="350"/>
      <c r="G484" s="347"/>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81" t="str">
        <f>_xlfn.CONCAT(_xlfn.XLOOKUP("[S05_DefaultValues][283][InstallationCategory]",Submission!$O:$O,Submission!$H:$N,""))</f>
        <v/>
      </c>
      <c r="D485" s="350"/>
      <c r="E485" s="350"/>
      <c r="F485" s="350"/>
      <c r="G485" s="347"/>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81" t="str">
        <f>_xlfn.CONCAT(_xlfn.XLOOKUP("[S05_DefaultValues][284][InstallationCategory]",Submission!$O:$O,Submission!$H:$N,""))</f>
        <v/>
      </c>
      <c r="D486" s="350"/>
      <c r="E486" s="350"/>
      <c r="F486" s="350"/>
      <c r="G486" s="347"/>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81" t="str">
        <f>_xlfn.CONCAT(_xlfn.XLOOKUP("[S05_DefaultValues][285][InstallationCategory]",Submission!$O:$O,Submission!$H:$N,""))</f>
        <v/>
      </c>
      <c r="D487" s="350"/>
      <c r="E487" s="350"/>
      <c r="F487" s="350"/>
      <c r="G487" s="347"/>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81" t="str">
        <f>_xlfn.CONCAT(_xlfn.XLOOKUP("[S05_DefaultValues][286][InstallationCategory]",Submission!$O:$O,Submission!$H:$N,""))</f>
        <v/>
      </c>
      <c r="D488" s="350"/>
      <c r="E488" s="350"/>
      <c r="F488" s="350"/>
      <c r="G488" s="347"/>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81" t="str">
        <f>_xlfn.CONCAT(_xlfn.XLOOKUP("[S05_DefaultValues][287][InstallationCategory]",Submission!$O:$O,Submission!$H:$N,""))</f>
        <v/>
      </c>
      <c r="D489" s="350"/>
      <c r="E489" s="350"/>
      <c r="F489" s="350"/>
      <c r="G489" s="347"/>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81" t="str">
        <f>_xlfn.CONCAT(_xlfn.XLOOKUP("[S05_DefaultValues][288][InstallationCategory]",Submission!$O:$O,Submission!$H:$N,""))</f>
        <v/>
      </c>
      <c r="D490" s="350"/>
      <c r="E490" s="350"/>
      <c r="F490" s="350"/>
      <c r="G490" s="347"/>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81" t="str">
        <f>_xlfn.CONCAT(_xlfn.XLOOKUP("[S05_DefaultValues][289][InstallationCategory]",Submission!$O:$O,Submission!$H:$N,""))</f>
        <v/>
      </c>
      <c r="D491" s="350"/>
      <c r="E491" s="350"/>
      <c r="F491" s="350"/>
      <c r="G491" s="347"/>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81" t="str">
        <f>_xlfn.CONCAT(_xlfn.XLOOKUP("[S05_DefaultValues][290][InstallationCategory]",Submission!$O:$O,Submission!$H:$N,""))</f>
        <v/>
      </c>
      <c r="D492" s="350"/>
      <c r="E492" s="350"/>
      <c r="F492" s="350"/>
      <c r="G492" s="347"/>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81" t="str">
        <f>_xlfn.CONCAT(_xlfn.XLOOKUP("[S05_DefaultValues][291][InstallationCategory]",Submission!$O:$O,Submission!$H:$N,""))</f>
        <v/>
      </c>
      <c r="D493" s="350"/>
      <c r="E493" s="350"/>
      <c r="F493" s="350"/>
      <c r="G493" s="347"/>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81" t="str">
        <f>_xlfn.CONCAT(_xlfn.XLOOKUP("[S05_DefaultValues][292][InstallationCategory]",Submission!$O:$O,Submission!$H:$N,""))</f>
        <v/>
      </c>
      <c r="D494" s="350"/>
      <c r="E494" s="350"/>
      <c r="F494" s="350"/>
      <c r="G494" s="347"/>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81" t="str">
        <f>_xlfn.CONCAT(_xlfn.XLOOKUP("[S05_DefaultValues][293][InstallationCategory]",Submission!$O:$O,Submission!$H:$N,""))</f>
        <v/>
      </c>
      <c r="D495" s="350"/>
      <c r="E495" s="350"/>
      <c r="F495" s="350"/>
      <c r="G495" s="347"/>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81" t="str">
        <f>_xlfn.CONCAT(_xlfn.XLOOKUP("[S05_DefaultValues][294][InstallationCategory]",Submission!$O:$O,Submission!$H:$N,""))</f>
        <v/>
      </c>
      <c r="D496" s="350"/>
      <c r="E496" s="350"/>
      <c r="F496" s="350"/>
      <c r="G496" s="347"/>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81" t="str">
        <f>_xlfn.CONCAT(_xlfn.XLOOKUP("[S05_DefaultValues][295][InstallationCategory]",Submission!$O:$O,Submission!$H:$N,""))</f>
        <v/>
      </c>
      <c r="D497" s="350"/>
      <c r="E497" s="350"/>
      <c r="F497" s="350"/>
      <c r="G497" s="347"/>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81" t="str">
        <f>_xlfn.CONCAT(_xlfn.XLOOKUP("[S05_DefaultValues][296][InstallationCategory]",Submission!$O:$O,Submission!$H:$N,""))</f>
        <v/>
      </c>
      <c r="D498" s="350"/>
      <c r="E498" s="350"/>
      <c r="F498" s="350"/>
      <c r="G498" s="347"/>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81" t="str">
        <f>_xlfn.CONCAT(_xlfn.XLOOKUP("[S05_DefaultValues][297][InstallationCategory]",Submission!$O:$O,Submission!$H:$N,""))</f>
        <v/>
      </c>
      <c r="D499" s="350"/>
      <c r="E499" s="350"/>
      <c r="F499" s="350"/>
      <c r="G499" s="347"/>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81" t="str">
        <f>_xlfn.CONCAT(_xlfn.XLOOKUP("[S05_DefaultValues][298][InstallationCategory]",Submission!$O:$O,Submission!$H:$N,""))</f>
        <v/>
      </c>
      <c r="D500" s="350"/>
      <c r="E500" s="350"/>
      <c r="F500" s="350"/>
      <c r="G500" s="347"/>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81" t="str">
        <f>_xlfn.CONCAT(_xlfn.XLOOKUP("[S05_DefaultValues][299][InstallationCategory]",Submission!$O:$O,Submission!$H:$N,""))</f>
        <v/>
      </c>
      <c r="D501" s="350"/>
      <c r="E501" s="350"/>
      <c r="F501" s="350"/>
      <c r="G501" s="347"/>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81" t="str">
        <f>_xlfn.CONCAT(_xlfn.XLOOKUP("[S05_DefaultValues][300][InstallationCategory]",Submission!$O:$O,Submission!$H:$N,""))</f>
        <v/>
      </c>
      <c r="D502" s="350"/>
      <c r="E502" s="350"/>
      <c r="F502" s="350"/>
      <c r="G502" s="347"/>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81" t="str">
        <f>_xlfn.CONCAT(_xlfn.XLOOKUP("[S05_DefaultValues][301][InstallationCategory]",Submission!$O:$O,Submission!$H:$N,""))</f>
        <v/>
      </c>
      <c r="D503" s="350"/>
      <c r="E503" s="350"/>
      <c r="F503" s="350"/>
      <c r="G503" s="347"/>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81" t="str">
        <f>_xlfn.CONCAT(_xlfn.XLOOKUP("[S05_DefaultValues][302][InstallationCategory]",Submission!$O:$O,Submission!$H:$N,""))</f>
        <v/>
      </c>
      <c r="D504" s="350"/>
      <c r="E504" s="350"/>
      <c r="F504" s="350"/>
      <c r="G504" s="347"/>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81" t="str">
        <f>_xlfn.CONCAT(_xlfn.XLOOKUP("[S05_DefaultValues][303][InstallationCategory]",Submission!$O:$O,Submission!$H:$N,""))</f>
        <v/>
      </c>
      <c r="D505" s="350"/>
      <c r="E505" s="350"/>
      <c r="F505" s="350"/>
      <c r="G505" s="347"/>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81" t="str">
        <f>_xlfn.CONCAT(_xlfn.XLOOKUP("[S05_DefaultValues][304][InstallationCategory]",Submission!$O:$O,Submission!$H:$N,""))</f>
        <v/>
      </c>
      <c r="D506" s="350"/>
      <c r="E506" s="350"/>
      <c r="F506" s="350"/>
      <c r="G506" s="347"/>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81" t="str">
        <f>_xlfn.CONCAT(_xlfn.XLOOKUP("[S05_DefaultValues][305][InstallationCategory]",Submission!$O:$O,Submission!$H:$N,""))</f>
        <v/>
      </c>
      <c r="D507" s="350"/>
      <c r="E507" s="350"/>
      <c r="F507" s="350"/>
      <c r="G507" s="347"/>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81" t="str">
        <f>_xlfn.CONCAT(_xlfn.XLOOKUP("[S05_DefaultValues][306][InstallationCategory]",Submission!$O:$O,Submission!$H:$N,""))</f>
        <v/>
      </c>
      <c r="D508" s="350"/>
      <c r="E508" s="350"/>
      <c r="F508" s="350"/>
      <c r="G508" s="347"/>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81" t="str">
        <f>_xlfn.CONCAT(_xlfn.XLOOKUP("[S05_DefaultValues][307][InstallationCategory]",Submission!$O:$O,Submission!$H:$N,""))</f>
        <v/>
      </c>
      <c r="D509" s="350"/>
      <c r="E509" s="350"/>
      <c r="F509" s="350"/>
      <c r="G509" s="347"/>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81" t="str">
        <f>_xlfn.CONCAT(_xlfn.XLOOKUP("[S05_DefaultValues][308][InstallationCategory]",Submission!$O:$O,Submission!$H:$N,""))</f>
        <v/>
      </c>
      <c r="D510" s="350"/>
      <c r="E510" s="350"/>
      <c r="F510" s="350"/>
      <c r="G510" s="347"/>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81" t="str">
        <f>_xlfn.CONCAT(_xlfn.XLOOKUP("[S05_DefaultValues][309][InstallationCategory]",Submission!$O:$O,Submission!$H:$N,""))</f>
        <v/>
      </c>
      <c r="D511" s="350"/>
      <c r="E511" s="350"/>
      <c r="F511" s="350"/>
      <c r="G511" s="347"/>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81" t="str">
        <f>_xlfn.CONCAT(_xlfn.XLOOKUP("[S05_DefaultValues][310][InstallationCategory]",Submission!$O:$O,Submission!$H:$N,""))</f>
        <v/>
      </c>
      <c r="D512" s="350"/>
      <c r="E512" s="350"/>
      <c r="F512" s="350"/>
      <c r="G512" s="347"/>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81" t="str">
        <f>_xlfn.CONCAT(_xlfn.XLOOKUP("[S05_DefaultValues][311][InstallationCategory]",Submission!$O:$O,Submission!$H:$N,""))</f>
        <v/>
      </c>
      <c r="D513" s="350"/>
      <c r="E513" s="350"/>
      <c r="F513" s="350"/>
      <c r="G513" s="347"/>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81" t="str">
        <f>_xlfn.CONCAT(_xlfn.XLOOKUP("[S05_DefaultValues][312][InstallationCategory]",Submission!$O:$O,Submission!$H:$N,""))</f>
        <v/>
      </c>
      <c r="D514" s="350"/>
      <c r="E514" s="350"/>
      <c r="F514" s="350"/>
      <c r="G514" s="347"/>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81" t="str">
        <f>_xlfn.CONCAT(_xlfn.XLOOKUP("[S05_DefaultValues][313][InstallationCategory]",Submission!$O:$O,Submission!$H:$N,""))</f>
        <v/>
      </c>
      <c r="D515" s="350"/>
      <c r="E515" s="350"/>
      <c r="F515" s="350"/>
      <c r="G515" s="347"/>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81" t="str">
        <f>_xlfn.CONCAT(_xlfn.XLOOKUP("[S05_DefaultValues][314][InstallationCategory]",Submission!$O:$O,Submission!$H:$N,""))</f>
        <v/>
      </c>
      <c r="D516" s="350"/>
      <c r="E516" s="350"/>
      <c r="F516" s="350"/>
      <c r="G516" s="347"/>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81" t="str">
        <f>_xlfn.CONCAT(_xlfn.XLOOKUP("[S05_DefaultValues][315][InstallationCategory]",Submission!$O:$O,Submission!$H:$N,""))</f>
        <v/>
      </c>
      <c r="D517" s="350"/>
      <c r="E517" s="350"/>
      <c r="F517" s="350"/>
      <c r="G517" s="347"/>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81" t="str">
        <f>_xlfn.CONCAT(_xlfn.XLOOKUP("[S05_DefaultValues][316][InstallationCategory]",Submission!$O:$O,Submission!$H:$N,""))</f>
        <v/>
      </c>
      <c r="D518" s="350"/>
      <c r="E518" s="350"/>
      <c r="F518" s="350"/>
      <c r="G518" s="347"/>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81" t="str">
        <f>_xlfn.CONCAT(_xlfn.XLOOKUP("[S05_DefaultValues][317][InstallationCategory]",Submission!$O:$O,Submission!$H:$N,""))</f>
        <v/>
      </c>
      <c r="D519" s="350"/>
      <c r="E519" s="350"/>
      <c r="F519" s="350"/>
      <c r="G519" s="347"/>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81" t="str">
        <f>_xlfn.CONCAT(_xlfn.XLOOKUP("[S05_DefaultValues][318][InstallationCategory]",Submission!$O:$O,Submission!$H:$N,""))</f>
        <v/>
      </c>
      <c r="D520" s="350"/>
      <c r="E520" s="350"/>
      <c r="F520" s="350"/>
      <c r="G520" s="347"/>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81" t="str">
        <f>_xlfn.CONCAT(_xlfn.XLOOKUP("[S05_DefaultValues][319][InstallationCategory]",Submission!$O:$O,Submission!$H:$N,""))</f>
        <v/>
      </c>
      <c r="D521" s="350"/>
      <c r="E521" s="350"/>
      <c r="F521" s="350"/>
      <c r="G521" s="347"/>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81" t="str">
        <f>_xlfn.CONCAT(_xlfn.XLOOKUP("[S05_DefaultValues][320][InstallationCategory]",Submission!$O:$O,Submission!$H:$N,""))</f>
        <v/>
      </c>
      <c r="D522" s="350"/>
      <c r="E522" s="350"/>
      <c r="F522" s="350"/>
      <c r="G522" s="347"/>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81" t="str">
        <f>_xlfn.CONCAT(_xlfn.XLOOKUP("[S05_DefaultValues][321][InstallationCategory]",Submission!$O:$O,Submission!$H:$N,""))</f>
        <v/>
      </c>
      <c r="D523" s="350"/>
      <c r="E523" s="350"/>
      <c r="F523" s="350"/>
      <c r="G523" s="347"/>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81" t="str">
        <f>_xlfn.CONCAT(_xlfn.XLOOKUP("[S05_DefaultValues][322][InstallationCategory]",Submission!$O:$O,Submission!$H:$N,""))</f>
        <v/>
      </c>
      <c r="D524" s="350"/>
      <c r="E524" s="350"/>
      <c r="F524" s="350"/>
      <c r="G524" s="347"/>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81" t="str">
        <f>_xlfn.CONCAT(_xlfn.XLOOKUP("[S05_DefaultValues][323][InstallationCategory]",Submission!$O:$O,Submission!$H:$N,""))</f>
        <v/>
      </c>
      <c r="D525" s="350"/>
      <c r="E525" s="350"/>
      <c r="F525" s="350"/>
      <c r="G525" s="347"/>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81" t="str">
        <f>_xlfn.CONCAT(_xlfn.XLOOKUP("[S05_DefaultValues][324][InstallationCategory]",Submission!$O:$O,Submission!$H:$N,""))</f>
        <v/>
      </c>
      <c r="D526" s="350"/>
      <c r="E526" s="350"/>
      <c r="F526" s="350"/>
      <c r="G526" s="347"/>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81" t="str">
        <f>_xlfn.CONCAT(_xlfn.XLOOKUP("[S05_DefaultValues][325][InstallationCategory]",Submission!$O:$O,Submission!$H:$N,""))</f>
        <v/>
      </c>
      <c r="D527" s="350"/>
      <c r="E527" s="350"/>
      <c r="F527" s="350"/>
      <c r="G527" s="347"/>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81" t="str">
        <f>_xlfn.CONCAT(_xlfn.XLOOKUP("[S05_DefaultValues][326][InstallationCategory]",Submission!$O:$O,Submission!$H:$N,""))</f>
        <v/>
      </c>
      <c r="D528" s="350"/>
      <c r="E528" s="350"/>
      <c r="F528" s="350"/>
      <c r="G528" s="347"/>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81" t="str">
        <f>_xlfn.CONCAT(_xlfn.XLOOKUP("[S05_DefaultValues][327][InstallationCategory]",Submission!$O:$O,Submission!$H:$N,""))</f>
        <v/>
      </c>
      <c r="D529" s="350"/>
      <c r="E529" s="350"/>
      <c r="F529" s="350"/>
      <c r="G529" s="347"/>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81" t="str">
        <f>_xlfn.CONCAT(_xlfn.XLOOKUP("[S05_DefaultValues][328][InstallationCategory]",Submission!$O:$O,Submission!$H:$N,""))</f>
        <v/>
      </c>
      <c r="D530" s="350"/>
      <c r="E530" s="350"/>
      <c r="F530" s="350"/>
      <c r="G530" s="347"/>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81" t="str">
        <f>_xlfn.CONCAT(_xlfn.XLOOKUP("[S05_DefaultValues][329][InstallationCategory]",Submission!$O:$O,Submission!$H:$N,""))</f>
        <v/>
      </c>
      <c r="D531" s="350"/>
      <c r="E531" s="350"/>
      <c r="F531" s="350"/>
      <c r="G531" s="347"/>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81" t="str">
        <f>_xlfn.CONCAT(_xlfn.XLOOKUP("[S05_DefaultValues][330][InstallationCategory]",Submission!$O:$O,Submission!$H:$N,""))</f>
        <v/>
      </c>
      <c r="D532" s="350"/>
      <c r="E532" s="350"/>
      <c r="F532" s="350"/>
      <c r="G532" s="347"/>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81" t="str">
        <f>_xlfn.CONCAT(_xlfn.XLOOKUP("[S05_DefaultValues][331][InstallationCategory]",Submission!$O:$O,Submission!$H:$N,""))</f>
        <v/>
      </c>
      <c r="D533" s="350"/>
      <c r="E533" s="350"/>
      <c r="F533" s="350"/>
      <c r="G533" s="347"/>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81" t="str">
        <f>_xlfn.CONCAT(_xlfn.XLOOKUP("[S05_DefaultValues][332][InstallationCategory]",Submission!$O:$O,Submission!$H:$N,""))</f>
        <v/>
      </c>
      <c r="D534" s="350"/>
      <c r="E534" s="350"/>
      <c r="F534" s="350"/>
      <c r="G534" s="347"/>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81" t="str">
        <f>_xlfn.CONCAT(_xlfn.XLOOKUP("[S05_DefaultValues][333][InstallationCategory]",Submission!$O:$O,Submission!$H:$N,""))</f>
        <v/>
      </c>
      <c r="D535" s="350"/>
      <c r="E535" s="350"/>
      <c r="F535" s="350"/>
      <c r="G535" s="347"/>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81" t="str">
        <f>_xlfn.CONCAT(_xlfn.XLOOKUP("[S05_DefaultValues][334][InstallationCategory]",Submission!$O:$O,Submission!$H:$N,""))</f>
        <v/>
      </c>
      <c r="D536" s="350"/>
      <c r="E536" s="350"/>
      <c r="F536" s="350"/>
      <c r="G536" s="347"/>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81" t="str">
        <f>_xlfn.CONCAT(_xlfn.XLOOKUP("[S05_DefaultValues][335][InstallationCategory]",Submission!$O:$O,Submission!$H:$N,""))</f>
        <v/>
      </c>
      <c r="D537" s="350"/>
      <c r="E537" s="350"/>
      <c r="F537" s="350"/>
      <c r="G537" s="347"/>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81" t="str">
        <f>_xlfn.CONCAT(_xlfn.XLOOKUP("[S05_DefaultValues][336][InstallationCategory]",Submission!$O:$O,Submission!$H:$N,""))</f>
        <v/>
      </c>
      <c r="D538" s="350"/>
      <c r="E538" s="350"/>
      <c r="F538" s="350"/>
      <c r="G538" s="347"/>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81" t="str">
        <f>_xlfn.CONCAT(_xlfn.XLOOKUP("[S05_DefaultValues][337][InstallationCategory]",Submission!$O:$O,Submission!$H:$N,""))</f>
        <v/>
      </c>
      <c r="D539" s="350"/>
      <c r="E539" s="350"/>
      <c r="F539" s="350"/>
      <c r="G539" s="347"/>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81" t="str">
        <f>_xlfn.CONCAT(_xlfn.XLOOKUP("[S05_DefaultValues][338][InstallationCategory]",Submission!$O:$O,Submission!$H:$N,""))</f>
        <v/>
      </c>
      <c r="D540" s="350"/>
      <c r="E540" s="350"/>
      <c r="F540" s="350"/>
      <c r="G540" s="347"/>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81" t="str">
        <f>_xlfn.CONCAT(_xlfn.XLOOKUP("[S05_DefaultValues][339][InstallationCategory]",Submission!$O:$O,Submission!$H:$N,""))</f>
        <v/>
      </c>
      <c r="D541" s="350"/>
      <c r="E541" s="350"/>
      <c r="F541" s="350"/>
      <c r="G541" s="347"/>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81" t="str">
        <f>_xlfn.CONCAT(_xlfn.XLOOKUP("[S05_DefaultValues][340][InstallationCategory]",Submission!$O:$O,Submission!$H:$N,""))</f>
        <v/>
      </c>
      <c r="D542" s="350"/>
      <c r="E542" s="350"/>
      <c r="F542" s="350"/>
      <c r="G542" s="347"/>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81" t="str">
        <f>_xlfn.CONCAT(_xlfn.XLOOKUP("[S05_DefaultValues][341][InstallationCategory]",Submission!$O:$O,Submission!$H:$N,""))</f>
        <v/>
      </c>
      <c r="D543" s="350"/>
      <c r="E543" s="350"/>
      <c r="F543" s="350"/>
      <c r="G543" s="347"/>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81" t="str">
        <f>_xlfn.CONCAT(_xlfn.XLOOKUP("[S05_DefaultValues][342][InstallationCategory]",Submission!$O:$O,Submission!$H:$N,""))</f>
        <v/>
      </c>
      <c r="D544" s="350"/>
      <c r="E544" s="350"/>
      <c r="F544" s="350"/>
      <c r="G544" s="347"/>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81" t="str">
        <f>_xlfn.CONCAT(_xlfn.XLOOKUP("[S05_DefaultValues][343][InstallationCategory]",Submission!$O:$O,Submission!$H:$N,""))</f>
        <v/>
      </c>
      <c r="D545" s="350"/>
      <c r="E545" s="350"/>
      <c r="F545" s="350"/>
      <c r="G545" s="347"/>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81" t="str">
        <f>_xlfn.CONCAT(_xlfn.XLOOKUP("[S05_DefaultValues][344][InstallationCategory]",Submission!$O:$O,Submission!$H:$N,""))</f>
        <v/>
      </c>
      <c r="D546" s="350"/>
      <c r="E546" s="350"/>
      <c r="F546" s="350"/>
      <c r="G546" s="347"/>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81" t="str">
        <f>_xlfn.CONCAT(_xlfn.XLOOKUP("[S05_DefaultValues][345][InstallationCategory]",Submission!$O:$O,Submission!$H:$N,""))</f>
        <v/>
      </c>
      <c r="D547" s="350"/>
      <c r="E547" s="350"/>
      <c r="F547" s="350"/>
      <c r="G547" s="347"/>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81" t="str">
        <f>_xlfn.CONCAT(_xlfn.XLOOKUP("[S05_DefaultValues][346][InstallationCategory]",Submission!$O:$O,Submission!$H:$N,""))</f>
        <v/>
      </c>
      <c r="D548" s="350"/>
      <c r="E548" s="350"/>
      <c r="F548" s="350"/>
      <c r="G548" s="347"/>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81" t="str">
        <f>_xlfn.CONCAT(_xlfn.XLOOKUP("[S05_DefaultValues][347][InstallationCategory]",Submission!$O:$O,Submission!$H:$N,""))</f>
        <v/>
      </c>
      <c r="D549" s="350"/>
      <c r="E549" s="350"/>
      <c r="F549" s="350"/>
      <c r="G549" s="347"/>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81" t="str">
        <f>_xlfn.CONCAT(_xlfn.XLOOKUP("[S05_DefaultValues][348][InstallationCategory]",Submission!$O:$O,Submission!$H:$N,""))</f>
        <v/>
      </c>
      <c r="D550" s="350"/>
      <c r="E550" s="350"/>
      <c r="F550" s="350"/>
      <c r="G550" s="347"/>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81" t="str">
        <f>_xlfn.CONCAT(_xlfn.XLOOKUP("[S05_DefaultValues][349][InstallationCategory]",Submission!$O:$O,Submission!$H:$N,""))</f>
        <v/>
      </c>
      <c r="D551" s="350"/>
      <c r="E551" s="350"/>
      <c r="F551" s="350"/>
      <c r="G551" s="347"/>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81" t="str">
        <f>_xlfn.CONCAT(_xlfn.XLOOKUP("[S05_DefaultValues][350][InstallationCategory]",Submission!$O:$O,Submission!$H:$N,""))</f>
        <v/>
      </c>
      <c r="D552" s="350"/>
      <c r="E552" s="350"/>
      <c r="F552" s="350"/>
      <c r="G552" s="347"/>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81" t="str">
        <f>_xlfn.CONCAT(_xlfn.XLOOKUP("[S05_DefaultValues][351][InstallationCategory]",Submission!$O:$O,Submission!$H:$N,""))</f>
        <v/>
      </c>
      <c r="D553" s="350"/>
      <c r="E553" s="350"/>
      <c r="F553" s="350"/>
      <c r="G553" s="347"/>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81" t="str">
        <f>_xlfn.CONCAT(_xlfn.XLOOKUP("[S05_DefaultValues][352][InstallationCategory]",Submission!$O:$O,Submission!$H:$N,""))</f>
        <v/>
      </c>
      <c r="D554" s="350"/>
      <c r="E554" s="350"/>
      <c r="F554" s="350"/>
      <c r="G554" s="347"/>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81" t="str">
        <f>_xlfn.CONCAT(_xlfn.XLOOKUP("[S05_DefaultValues][353][InstallationCategory]",Submission!$O:$O,Submission!$H:$N,""))</f>
        <v/>
      </c>
      <c r="D555" s="350"/>
      <c r="E555" s="350"/>
      <c r="F555" s="350"/>
      <c r="G555" s="347"/>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81" t="str">
        <f>_xlfn.CONCAT(_xlfn.XLOOKUP("[S05_DefaultValues][354][InstallationCategory]",Submission!$O:$O,Submission!$H:$N,""))</f>
        <v/>
      </c>
      <c r="D556" s="350"/>
      <c r="E556" s="350"/>
      <c r="F556" s="350"/>
      <c r="G556" s="347"/>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81" t="str">
        <f>_xlfn.CONCAT(_xlfn.XLOOKUP("[S05_DefaultValues][355][InstallationCategory]",Submission!$O:$O,Submission!$H:$N,""))</f>
        <v/>
      </c>
      <c r="D557" s="350"/>
      <c r="E557" s="350"/>
      <c r="F557" s="350"/>
      <c r="G557" s="347"/>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81" t="str">
        <f>_xlfn.CONCAT(_xlfn.XLOOKUP("[S05_DefaultValues][356][InstallationCategory]",Submission!$O:$O,Submission!$H:$N,""))</f>
        <v/>
      </c>
      <c r="D558" s="350"/>
      <c r="E558" s="350"/>
      <c r="F558" s="350"/>
      <c r="G558" s="347"/>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81" t="str">
        <f>_xlfn.CONCAT(_xlfn.XLOOKUP("[S05_DefaultValues][357][InstallationCategory]",Submission!$O:$O,Submission!$H:$N,""))</f>
        <v/>
      </c>
      <c r="D559" s="350"/>
      <c r="E559" s="350"/>
      <c r="F559" s="350"/>
      <c r="G559" s="347"/>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81" t="str">
        <f>_xlfn.CONCAT(_xlfn.XLOOKUP("[S05_DefaultValues][358][InstallationCategory]",Submission!$O:$O,Submission!$H:$N,""))</f>
        <v/>
      </c>
      <c r="D560" s="350"/>
      <c r="E560" s="350"/>
      <c r="F560" s="350"/>
      <c r="G560" s="347"/>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81" t="str">
        <f>_xlfn.CONCAT(_xlfn.XLOOKUP("[S05_DefaultValues][359][InstallationCategory]",Submission!$O:$O,Submission!$H:$N,""))</f>
        <v/>
      </c>
      <c r="D561" s="350"/>
      <c r="E561" s="350"/>
      <c r="F561" s="350"/>
      <c r="G561" s="347"/>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81" t="str">
        <f>_xlfn.CONCAT(_xlfn.XLOOKUP("[S05_DefaultValues][360][InstallationCategory]",Submission!$O:$O,Submission!$H:$N,""))</f>
        <v/>
      </c>
      <c r="D562" s="350"/>
      <c r="E562" s="350"/>
      <c r="F562" s="350"/>
      <c r="G562" s="347"/>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81" t="str">
        <f>_xlfn.CONCAT(_xlfn.XLOOKUP("[S05_DefaultValues][361][InstallationCategory]",Submission!$O:$O,Submission!$H:$N,""))</f>
        <v/>
      </c>
      <c r="D563" s="350"/>
      <c r="E563" s="350"/>
      <c r="F563" s="350"/>
      <c r="G563" s="347"/>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81" t="str">
        <f>_xlfn.CONCAT(_xlfn.XLOOKUP("[S05_DefaultValues][362][InstallationCategory]",Submission!$O:$O,Submission!$H:$N,""))</f>
        <v/>
      </c>
      <c r="D564" s="350"/>
      <c r="E564" s="350"/>
      <c r="F564" s="350"/>
      <c r="G564" s="347"/>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81" t="str">
        <f>_xlfn.CONCAT(_xlfn.XLOOKUP("[S05_DefaultValues][363][InstallationCategory]",Submission!$O:$O,Submission!$H:$N,""))</f>
        <v/>
      </c>
      <c r="D565" s="350"/>
      <c r="E565" s="350"/>
      <c r="F565" s="350"/>
      <c r="G565" s="347"/>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81" t="str">
        <f>_xlfn.CONCAT(_xlfn.XLOOKUP("[S05_DefaultValues][364][InstallationCategory]",Submission!$O:$O,Submission!$H:$N,""))</f>
        <v/>
      </c>
      <c r="D566" s="350"/>
      <c r="E566" s="350"/>
      <c r="F566" s="350"/>
      <c r="G566" s="347"/>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81" t="str">
        <f>_xlfn.CONCAT(_xlfn.XLOOKUP("[S05_DefaultValues][365][InstallationCategory]",Submission!$O:$O,Submission!$H:$N,""))</f>
        <v/>
      </c>
      <c r="D567" s="350"/>
      <c r="E567" s="350"/>
      <c r="F567" s="350"/>
      <c r="G567" s="347"/>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81" t="str">
        <f>_xlfn.CONCAT(_xlfn.XLOOKUP("[S05_DefaultValues][366][InstallationCategory]",Submission!$O:$O,Submission!$H:$N,""))</f>
        <v/>
      </c>
      <c r="D568" s="350"/>
      <c r="E568" s="350"/>
      <c r="F568" s="350"/>
      <c r="G568" s="347"/>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81" t="str">
        <f>_xlfn.CONCAT(_xlfn.XLOOKUP("[S05_DefaultValues][367][InstallationCategory]",Submission!$O:$O,Submission!$H:$N,""))</f>
        <v/>
      </c>
      <c r="D569" s="350"/>
      <c r="E569" s="350"/>
      <c r="F569" s="350"/>
      <c r="G569" s="347"/>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81" t="str">
        <f>_xlfn.CONCAT(_xlfn.XLOOKUP("[S05_DefaultValues][368][InstallationCategory]",Submission!$O:$O,Submission!$H:$N,""))</f>
        <v/>
      </c>
      <c r="D570" s="350"/>
      <c r="E570" s="350"/>
      <c r="F570" s="350"/>
      <c r="G570" s="347"/>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81" t="str">
        <f>_xlfn.CONCAT(_xlfn.XLOOKUP("[S05_DefaultValues][369][InstallationCategory]",Submission!$O:$O,Submission!$H:$N,""))</f>
        <v/>
      </c>
      <c r="D571" s="350"/>
      <c r="E571" s="350"/>
      <c r="F571" s="350"/>
      <c r="G571" s="347"/>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81" t="str">
        <f>_xlfn.CONCAT(_xlfn.XLOOKUP("[S05_DefaultValues][370][InstallationCategory]",Submission!$O:$O,Submission!$H:$N,""))</f>
        <v/>
      </c>
      <c r="D572" s="350"/>
      <c r="E572" s="350"/>
      <c r="F572" s="350"/>
      <c r="G572" s="347"/>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81" t="str">
        <f>_xlfn.CONCAT(_xlfn.XLOOKUP("[S05_DefaultValues][371][InstallationCategory]",Submission!$O:$O,Submission!$H:$N,""))</f>
        <v/>
      </c>
      <c r="D573" s="350"/>
      <c r="E573" s="350"/>
      <c r="F573" s="350"/>
      <c r="G573" s="347"/>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81" t="str">
        <f>_xlfn.CONCAT(_xlfn.XLOOKUP("[S05_DefaultValues][372][InstallationCategory]",Submission!$O:$O,Submission!$H:$N,""))</f>
        <v/>
      </c>
      <c r="D574" s="350"/>
      <c r="E574" s="350"/>
      <c r="F574" s="350"/>
      <c r="G574" s="347"/>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81" t="str">
        <f>_xlfn.CONCAT(_xlfn.XLOOKUP("[S05_DefaultValues][373][InstallationCategory]",Submission!$O:$O,Submission!$H:$N,""))</f>
        <v/>
      </c>
      <c r="D575" s="350"/>
      <c r="E575" s="350"/>
      <c r="F575" s="350"/>
      <c r="G575" s="347"/>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81" t="str">
        <f>_xlfn.CONCAT(_xlfn.XLOOKUP("[S05_DefaultValues][374][InstallationCategory]",Submission!$O:$O,Submission!$H:$N,""))</f>
        <v/>
      </c>
      <c r="D576" s="350"/>
      <c r="E576" s="350"/>
      <c r="F576" s="350"/>
      <c r="G576" s="347"/>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81" t="str">
        <f>_xlfn.CONCAT(_xlfn.XLOOKUP("[S05_DefaultValues][375][InstallationCategory]",Submission!$O:$O,Submission!$H:$N,""))</f>
        <v/>
      </c>
      <c r="D577" s="350"/>
      <c r="E577" s="350"/>
      <c r="F577" s="350"/>
      <c r="G577" s="347"/>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81" t="str">
        <f>_xlfn.CONCAT(_xlfn.XLOOKUP("[S05_DefaultValues][376][InstallationCategory]",Submission!$O:$O,Submission!$H:$N,""))</f>
        <v/>
      </c>
      <c r="D578" s="350"/>
      <c r="E578" s="350"/>
      <c r="F578" s="350"/>
      <c r="G578" s="347"/>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81" t="str">
        <f>_xlfn.CONCAT(_xlfn.XLOOKUP("[S05_DefaultValues][377][InstallationCategory]",Submission!$O:$O,Submission!$H:$N,""))</f>
        <v/>
      </c>
      <c r="D579" s="350"/>
      <c r="E579" s="350"/>
      <c r="F579" s="350"/>
      <c r="G579" s="347"/>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81" t="str">
        <f>_xlfn.CONCAT(_xlfn.XLOOKUP("[S05_DefaultValues][378][InstallationCategory]",Submission!$O:$O,Submission!$H:$N,""))</f>
        <v/>
      </c>
      <c r="D580" s="350"/>
      <c r="E580" s="350"/>
      <c r="F580" s="350"/>
      <c r="G580" s="347"/>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81" t="str">
        <f>_xlfn.CONCAT(_xlfn.XLOOKUP("[S05_DefaultValues][379][InstallationCategory]",Submission!$O:$O,Submission!$H:$N,""))</f>
        <v/>
      </c>
      <c r="D581" s="350"/>
      <c r="E581" s="350"/>
      <c r="F581" s="350"/>
      <c r="G581" s="347"/>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81" t="str">
        <f>_xlfn.CONCAT(_xlfn.XLOOKUP("[S05_DefaultValues][380][InstallationCategory]",Submission!$O:$O,Submission!$H:$N,""))</f>
        <v/>
      </c>
      <c r="D582" s="350"/>
      <c r="E582" s="350"/>
      <c r="F582" s="350"/>
      <c r="G582" s="347"/>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81" t="str">
        <f>_xlfn.CONCAT(_xlfn.XLOOKUP("[S05_DefaultValues][381][InstallationCategory]",Submission!$O:$O,Submission!$H:$N,""))</f>
        <v/>
      </c>
      <c r="D583" s="350"/>
      <c r="E583" s="350"/>
      <c r="F583" s="350"/>
      <c r="G583" s="347"/>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81" t="str">
        <f>_xlfn.CONCAT(_xlfn.XLOOKUP("[S05_DefaultValues][382][InstallationCategory]",Submission!$O:$O,Submission!$H:$N,""))</f>
        <v/>
      </c>
      <c r="D584" s="350"/>
      <c r="E584" s="350"/>
      <c r="F584" s="350"/>
      <c r="G584" s="347"/>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81" t="str">
        <f>_xlfn.CONCAT(_xlfn.XLOOKUP("[S05_DefaultValues][383][InstallationCategory]",Submission!$O:$O,Submission!$H:$N,""))</f>
        <v/>
      </c>
      <c r="D585" s="350"/>
      <c r="E585" s="350"/>
      <c r="F585" s="350"/>
      <c r="G585" s="347"/>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81" t="str">
        <f>_xlfn.CONCAT(_xlfn.XLOOKUP("[S05_DefaultValues][384][InstallationCategory]",Submission!$O:$O,Submission!$H:$N,""))</f>
        <v/>
      </c>
      <c r="D586" s="350"/>
      <c r="E586" s="350"/>
      <c r="F586" s="350"/>
      <c r="G586" s="347"/>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81" t="str">
        <f>_xlfn.CONCAT(_xlfn.XLOOKUP("[S05_DefaultValues][385][InstallationCategory]",Submission!$O:$O,Submission!$H:$N,""))</f>
        <v/>
      </c>
      <c r="D587" s="350"/>
      <c r="E587" s="350"/>
      <c r="F587" s="350"/>
      <c r="G587" s="347"/>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81" t="str">
        <f>_xlfn.CONCAT(_xlfn.XLOOKUP("[S05_DefaultValues][386][InstallationCategory]",Submission!$O:$O,Submission!$H:$N,""))</f>
        <v/>
      </c>
      <c r="D588" s="350"/>
      <c r="E588" s="350"/>
      <c r="F588" s="350"/>
      <c r="G588" s="347"/>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81" t="str">
        <f>_xlfn.CONCAT(_xlfn.XLOOKUP("[S05_DefaultValues][387][InstallationCategory]",Submission!$O:$O,Submission!$H:$N,""))</f>
        <v/>
      </c>
      <c r="D589" s="350"/>
      <c r="E589" s="350"/>
      <c r="F589" s="350"/>
      <c r="G589" s="347"/>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81" t="str">
        <f>_xlfn.CONCAT(_xlfn.XLOOKUP("[S05_DefaultValues][388][InstallationCategory]",Submission!$O:$O,Submission!$H:$N,""))</f>
        <v/>
      </c>
      <c r="D590" s="350"/>
      <c r="E590" s="350"/>
      <c r="F590" s="350"/>
      <c r="G590" s="347"/>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81" t="str">
        <f>_xlfn.CONCAT(_xlfn.XLOOKUP("[S05_DefaultValues][389][InstallationCategory]",Submission!$O:$O,Submission!$H:$N,""))</f>
        <v/>
      </c>
      <c r="D591" s="350"/>
      <c r="E591" s="350"/>
      <c r="F591" s="350"/>
      <c r="G591" s="347"/>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81" t="str">
        <f>_xlfn.CONCAT(_xlfn.XLOOKUP("[S05_DefaultValues][390][InstallationCategory]",Submission!$O:$O,Submission!$H:$N,""))</f>
        <v/>
      </c>
      <c r="D592" s="350"/>
      <c r="E592" s="350"/>
      <c r="F592" s="350"/>
      <c r="G592" s="347"/>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81" t="str">
        <f>_xlfn.CONCAT(_xlfn.XLOOKUP("[S05_DefaultValues][391][InstallationCategory]",Submission!$O:$O,Submission!$H:$N,""))</f>
        <v/>
      </c>
      <c r="D593" s="350"/>
      <c r="E593" s="350"/>
      <c r="F593" s="350"/>
      <c r="G593" s="347"/>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81" t="str">
        <f>_xlfn.CONCAT(_xlfn.XLOOKUP("[S05_DefaultValues][392][InstallationCategory]",Submission!$O:$O,Submission!$H:$N,""))</f>
        <v/>
      </c>
      <c r="D594" s="350"/>
      <c r="E594" s="350"/>
      <c r="F594" s="350"/>
      <c r="G594" s="347"/>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81" t="str">
        <f>_xlfn.CONCAT(_xlfn.XLOOKUP("[S05_DefaultValues][393][InstallationCategory]",Submission!$O:$O,Submission!$H:$N,""))</f>
        <v/>
      </c>
      <c r="D595" s="350"/>
      <c r="E595" s="350"/>
      <c r="F595" s="350"/>
      <c r="G595" s="347"/>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81" t="str">
        <f>_xlfn.CONCAT(_xlfn.XLOOKUP("[S05_DefaultValues][394][InstallationCategory]",Submission!$O:$O,Submission!$H:$N,""))</f>
        <v/>
      </c>
      <c r="D596" s="350"/>
      <c r="E596" s="350"/>
      <c r="F596" s="350"/>
      <c r="G596" s="347"/>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81" t="str">
        <f>_xlfn.CONCAT(_xlfn.XLOOKUP("[S05_DefaultValues][395][InstallationCategory]",Submission!$O:$O,Submission!$H:$N,""))</f>
        <v/>
      </c>
      <c r="D597" s="350"/>
      <c r="E597" s="350"/>
      <c r="F597" s="350"/>
      <c r="G597" s="347"/>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81" t="str">
        <f>_xlfn.CONCAT(_xlfn.XLOOKUP("[S05_DefaultValues][396][InstallationCategory]",Submission!$O:$O,Submission!$H:$N,""))</f>
        <v/>
      </c>
      <c r="D598" s="350"/>
      <c r="E598" s="350"/>
      <c r="F598" s="350"/>
      <c r="G598" s="347"/>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81" t="str">
        <f>_xlfn.CONCAT(_xlfn.XLOOKUP("[S05_DefaultValues][397][InstallationCategory]",Submission!$O:$O,Submission!$H:$N,""))</f>
        <v/>
      </c>
      <c r="D599" s="350"/>
      <c r="E599" s="350"/>
      <c r="F599" s="350"/>
      <c r="G599" s="347"/>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81" t="str">
        <f>_xlfn.CONCAT(_xlfn.XLOOKUP("[S05_DefaultValues][398][InstallationCategory]",Submission!$O:$O,Submission!$H:$N,""))</f>
        <v/>
      </c>
      <c r="D600" s="350"/>
      <c r="E600" s="350"/>
      <c r="F600" s="350"/>
      <c r="G600" s="347"/>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81" t="str">
        <f>_xlfn.CONCAT(_xlfn.XLOOKUP("[S05_DefaultValues][399][InstallationCategory]",Submission!$O:$O,Submission!$H:$N,""))</f>
        <v/>
      </c>
      <c r="D601" s="350"/>
      <c r="E601" s="350"/>
      <c r="F601" s="350"/>
      <c r="G601" s="347"/>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81" t="str">
        <f>_xlfn.CONCAT(_xlfn.XLOOKUP("[S05_DefaultValues][400][InstallationCategory]",Submission!$O:$O,Submission!$H:$N,""))</f>
        <v/>
      </c>
      <c r="D602" s="350"/>
      <c r="E602" s="350"/>
      <c r="F602" s="350"/>
      <c r="G602" s="347"/>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81" t="str">
        <f>_xlfn.CONCAT(_xlfn.XLOOKUP("[S05_DefaultValues][401][InstallationCategory]",Submission!$O:$O,Submission!$H:$N,""))</f>
        <v/>
      </c>
      <c r="D603" s="350"/>
      <c r="E603" s="350"/>
      <c r="F603" s="350"/>
      <c r="G603" s="347"/>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81" t="str">
        <f>_xlfn.CONCAT(_xlfn.XLOOKUP("[S05_DefaultValues][402][InstallationCategory]",Submission!$O:$O,Submission!$H:$N,""))</f>
        <v/>
      </c>
      <c r="D604" s="350"/>
      <c r="E604" s="350"/>
      <c r="F604" s="350"/>
      <c r="G604" s="347"/>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81" t="str">
        <f>_xlfn.CONCAT(_xlfn.XLOOKUP("[S05_DefaultValues][403][InstallationCategory]",Submission!$O:$O,Submission!$H:$N,""))</f>
        <v/>
      </c>
      <c r="D605" s="350"/>
      <c r="E605" s="350"/>
      <c r="F605" s="350"/>
      <c r="G605" s="347"/>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81" t="str">
        <f>_xlfn.CONCAT(_xlfn.XLOOKUP("[S05_DefaultValues][404][InstallationCategory]",Submission!$O:$O,Submission!$H:$N,""))</f>
        <v/>
      </c>
      <c r="D606" s="350"/>
      <c r="E606" s="350"/>
      <c r="F606" s="350"/>
      <c r="G606" s="347"/>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81" t="str">
        <f>_xlfn.CONCAT(_xlfn.XLOOKUP("[S05_DefaultValues][405][InstallationCategory]",Submission!$O:$O,Submission!$H:$N,""))</f>
        <v/>
      </c>
      <c r="D607" s="350"/>
      <c r="E607" s="350"/>
      <c r="F607" s="350"/>
      <c r="G607" s="347"/>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81" t="str">
        <f>_xlfn.CONCAT(_xlfn.XLOOKUP("[S05_DefaultValues][406][InstallationCategory]",Submission!$O:$O,Submission!$H:$N,""))</f>
        <v/>
      </c>
      <c r="D608" s="350"/>
      <c r="E608" s="350"/>
      <c r="F608" s="350"/>
      <c r="G608" s="347"/>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81" t="str">
        <f>_xlfn.CONCAT(_xlfn.XLOOKUP("[S05_DefaultValues][407][InstallationCategory]",Submission!$O:$O,Submission!$H:$N,""))</f>
        <v/>
      </c>
      <c r="D609" s="350"/>
      <c r="E609" s="350"/>
      <c r="F609" s="350"/>
      <c r="G609" s="347"/>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81" t="str">
        <f>_xlfn.CONCAT(_xlfn.XLOOKUP("[S05_DefaultValues][408][InstallationCategory]",Submission!$O:$O,Submission!$H:$N,""))</f>
        <v/>
      </c>
      <c r="D610" s="350"/>
      <c r="E610" s="350"/>
      <c r="F610" s="350"/>
      <c r="G610" s="347"/>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81" t="str">
        <f>_xlfn.CONCAT(_xlfn.XLOOKUP("[S05_DefaultValues][409][InstallationCategory]",Submission!$O:$O,Submission!$H:$N,""))</f>
        <v/>
      </c>
      <c r="D611" s="350"/>
      <c r="E611" s="350"/>
      <c r="F611" s="350"/>
      <c r="G611" s="347"/>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81" t="str">
        <f>_xlfn.CONCAT(_xlfn.XLOOKUP("[S05_DefaultValues][410][InstallationCategory]",Submission!$O:$O,Submission!$H:$N,""))</f>
        <v/>
      </c>
      <c r="D612" s="350"/>
      <c r="E612" s="350"/>
      <c r="F612" s="350"/>
      <c r="G612" s="347"/>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81" t="str">
        <f>_xlfn.CONCAT(_xlfn.XLOOKUP("[S05_DefaultValues][411][InstallationCategory]",Submission!$O:$O,Submission!$H:$N,""))</f>
        <v/>
      </c>
      <c r="D613" s="350"/>
      <c r="E613" s="350"/>
      <c r="F613" s="350"/>
      <c r="G613" s="347"/>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81" t="str">
        <f>_xlfn.CONCAT(_xlfn.XLOOKUP("[S05_DefaultValues][412][InstallationCategory]",Submission!$O:$O,Submission!$H:$N,""))</f>
        <v/>
      </c>
      <c r="D614" s="350"/>
      <c r="E614" s="350"/>
      <c r="F614" s="350"/>
      <c r="G614" s="347"/>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81" t="str">
        <f>_xlfn.CONCAT(_xlfn.XLOOKUP("[S05_DefaultValues][413][InstallationCategory]",Submission!$O:$O,Submission!$H:$N,""))</f>
        <v/>
      </c>
      <c r="D615" s="350"/>
      <c r="E615" s="350"/>
      <c r="F615" s="350"/>
      <c r="G615" s="347"/>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81" t="str">
        <f>_xlfn.CONCAT(_xlfn.XLOOKUP("[S05_DefaultValues][414][InstallationCategory]",Submission!$O:$O,Submission!$H:$N,""))</f>
        <v/>
      </c>
      <c r="D616" s="350"/>
      <c r="E616" s="350"/>
      <c r="F616" s="350"/>
      <c r="G616" s="347"/>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81" t="str">
        <f>_xlfn.CONCAT(_xlfn.XLOOKUP("[S05_DefaultValues][415][InstallationCategory]",Submission!$O:$O,Submission!$H:$N,""))</f>
        <v/>
      </c>
      <c r="D617" s="350"/>
      <c r="E617" s="350"/>
      <c r="F617" s="350"/>
      <c r="G617" s="347"/>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81" t="str">
        <f>_xlfn.CONCAT(_xlfn.XLOOKUP("[S05_DefaultValues][416][InstallationCategory]",Submission!$O:$O,Submission!$H:$N,""))</f>
        <v/>
      </c>
      <c r="D618" s="350"/>
      <c r="E618" s="350"/>
      <c r="F618" s="350"/>
      <c r="G618" s="347"/>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81" t="str">
        <f>_xlfn.CONCAT(_xlfn.XLOOKUP("[S05_DefaultValues][417][InstallationCategory]",Submission!$O:$O,Submission!$H:$N,""))</f>
        <v/>
      </c>
      <c r="D619" s="350"/>
      <c r="E619" s="350"/>
      <c r="F619" s="350"/>
      <c r="G619" s="347"/>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81" t="str">
        <f>_xlfn.CONCAT(_xlfn.XLOOKUP("[S05_DefaultValues][418][InstallationCategory]",Submission!$O:$O,Submission!$H:$N,""))</f>
        <v/>
      </c>
      <c r="D620" s="350"/>
      <c r="E620" s="350"/>
      <c r="F620" s="350"/>
      <c r="G620" s="347"/>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81" t="str">
        <f>_xlfn.CONCAT(_xlfn.XLOOKUP("[S05_DefaultValues][419][InstallationCategory]",Submission!$O:$O,Submission!$H:$N,""))</f>
        <v/>
      </c>
      <c r="D621" s="350"/>
      <c r="E621" s="350"/>
      <c r="F621" s="350"/>
      <c r="G621" s="347"/>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81" t="str">
        <f>_xlfn.CONCAT(_xlfn.XLOOKUP("[S05_DefaultValues][420][InstallationCategory]",Submission!$O:$O,Submission!$H:$N,""))</f>
        <v/>
      </c>
      <c r="D622" s="350"/>
      <c r="E622" s="350"/>
      <c r="F622" s="350"/>
      <c r="G622" s="347"/>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81" t="str">
        <f>_xlfn.CONCAT(_xlfn.XLOOKUP("[S05_DefaultValues][421][InstallationCategory]",Submission!$O:$O,Submission!$H:$N,""))</f>
        <v/>
      </c>
      <c r="D623" s="350"/>
      <c r="E623" s="350"/>
      <c r="F623" s="350"/>
      <c r="G623" s="347"/>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81" t="str">
        <f>_xlfn.CONCAT(_xlfn.XLOOKUP("[S05_DefaultValues][422][InstallationCategory]",Submission!$O:$O,Submission!$H:$N,""))</f>
        <v/>
      </c>
      <c r="D624" s="350"/>
      <c r="E624" s="350"/>
      <c r="F624" s="350"/>
      <c r="G624" s="347"/>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81" t="str">
        <f>_xlfn.CONCAT(_xlfn.XLOOKUP("[S05_DefaultValues][423][InstallationCategory]",Submission!$O:$O,Submission!$H:$N,""))</f>
        <v/>
      </c>
      <c r="D625" s="350"/>
      <c r="E625" s="350"/>
      <c r="F625" s="350"/>
      <c r="G625" s="347"/>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81" t="str">
        <f>_xlfn.CONCAT(_xlfn.XLOOKUP("[S05_DefaultValues][424][InstallationCategory]",Submission!$O:$O,Submission!$H:$N,""))</f>
        <v/>
      </c>
      <c r="D626" s="350"/>
      <c r="E626" s="350"/>
      <c r="F626" s="350"/>
      <c r="G626" s="347"/>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81" t="str">
        <f>_xlfn.CONCAT(_xlfn.XLOOKUP("[S05_DefaultValues][425][InstallationCategory]",Submission!$O:$O,Submission!$H:$N,""))</f>
        <v/>
      </c>
      <c r="D627" s="350"/>
      <c r="E627" s="350"/>
      <c r="F627" s="350"/>
      <c r="G627" s="347"/>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81" t="str">
        <f>_xlfn.CONCAT(_xlfn.XLOOKUP("[S05_DefaultValues][426][InstallationCategory]",Submission!$O:$O,Submission!$H:$N,""))</f>
        <v/>
      </c>
      <c r="D628" s="350"/>
      <c r="E628" s="350"/>
      <c r="F628" s="350"/>
      <c r="G628" s="347"/>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81" t="str">
        <f>_xlfn.CONCAT(_xlfn.XLOOKUP("[S05_DefaultValues][427][InstallationCategory]",Submission!$O:$O,Submission!$H:$N,""))</f>
        <v/>
      </c>
      <c r="D629" s="350"/>
      <c r="E629" s="350"/>
      <c r="F629" s="350"/>
      <c r="G629" s="347"/>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81" t="str">
        <f>_xlfn.CONCAT(_xlfn.XLOOKUP("[S05_DefaultValues][428][InstallationCategory]",Submission!$O:$O,Submission!$H:$N,""))</f>
        <v/>
      </c>
      <c r="D630" s="350"/>
      <c r="E630" s="350"/>
      <c r="F630" s="350"/>
      <c r="G630" s="347"/>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81" t="str">
        <f>_xlfn.CONCAT(_xlfn.XLOOKUP("[S05_DefaultValues][429][InstallationCategory]",Submission!$O:$O,Submission!$H:$N,""))</f>
        <v/>
      </c>
      <c r="D631" s="350"/>
      <c r="E631" s="350"/>
      <c r="F631" s="350"/>
      <c r="G631" s="347"/>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81" t="str">
        <f>_xlfn.CONCAT(_xlfn.XLOOKUP("[S05_DefaultValues][430][InstallationCategory]",Submission!$O:$O,Submission!$H:$N,""))</f>
        <v/>
      </c>
      <c r="D632" s="350"/>
      <c r="E632" s="350"/>
      <c r="F632" s="350"/>
      <c r="G632" s="347"/>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81" t="str">
        <f>_xlfn.CONCAT(_xlfn.XLOOKUP("[S05_DefaultValues][431][InstallationCategory]",Submission!$O:$O,Submission!$H:$N,""))</f>
        <v/>
      </c>
      <c r="D633" s="350"/>
      <c r="E633" s="350"/>
      <c r="F633" s="350"/>
      <c r="G633" s="347"/>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81" t="str">
        <f>_xlfn.CONCAT(_xlfn.XLOOKUP("[S05_DefaultValues][432][InstallationCategory]",Submission!$O:$O,Submission!$H:$N,""))</f>
        <v/>
      </c>
      <c r="D634" s="350"/>
      <c r="E634" s="350"/>
      <c r="F634" s="350"/>
      <c r="G634" s="347"/>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81" t="str">
        <f>_xlfn.CONCAT(_xlfn.XLOOKUP("[S05_DefaultValues][433][InstallationCategory]",Submission!$O:$O,Submission!$H:$N,""))</f>
        <v/>
      </c>
      <c r="D635" s="350"/>
      <c r="E635" s="350"/>
      <c r="F635" s="350"/>
      <c r="G635" s="347"/>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81" t="str">
        <f>_xlfn.CONCAT(_xlfn.XLOOKUP("[S05_DefaultValues][434][InstallationCategory]",Submission!$O:$O,Submission!$H:$N,""))</f>
        <v/>
      </c>
      <c r="D636" s="350"/>
      <c r="E636" s="350"/>
      <c r="F636" s="350"/>
      <c r="G636" s="347"/>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81" t="str">
        <f>_xlfn.CONCAT(_xlfn.XLOOKUP("[S05_DefaultValues][435][InstallationCategory]",Submission!$O:$O,Submission!$H:$N,""))</f>
        <v/>
      </c>
      <c r="D637" s="350"/>
      <c r="E637" s="350"/>
      <c r="F637" s="350"/>
      <c r="G637" s="347"/>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81" t="str">
        <f>_xlfn.CONCAT(_xlfn.XLOOKUP("[S05_DefaultValues][436][InstallationCategory]",Submission!$O:$O,Submission!$H:$N,""))</f>
        <v/>
      </c>
      <c r="D638" s="350"/>
      <c r="E638" s="350"/>
      <c r="F638" s="350"/>
      <c r="G638" s="347"/>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81" t="str">
        <f>_xlfn.CONCAT(_xlfn.XLOOKUP("[S05_DefaultValues][437][InstallationCategory]",Submission!$O:$O,Submission!$H:$N,""))</f>
        <v/>
      </c>
      <c r="D639" s="350"/>
      <c r="E639" s="350"/>
      <c r="F639" s="350"/>
      <c r="G639" s="347"/>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81" t="str">
        <f>_xlfn.CONCAT(_xlfn.XLOOKUP("[S05_DefaultValues][438][InstallationCategory]",Submission!$O:$O,Submission!$H:$N,""))</f>
        <v/>
      </c>
      <c r="D640" s="350"/>
      <c r="E640" s="350"/>
      <c r="F640" s="350"/>
      <c r="G640" s="347"/>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81" t="str">
        <f>_xlfn.CONCAT(_xlfn.XLOOKUP("[S05_DefaultValues][439][InstallationCategory]",Submission!$O:$O,Submission!$H:$N,""))</f>
        <v/>
      </c>
      <c r="D641" s="350"/>
      <c r="E641" s="350"/>
      <c r="F641" s="350"/>
      <c r="G641" s="347"/>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81" t="str">
        <f>_xlfn.CONCAT(_xlfn.XLOOKUP("[S05_DefaultValues][440][InstallationCategory]",Submission!$O:$O,Submission!$H:$N,""))</f>
        <v/>
      </c>
      <c r="D642" s="350"/>
      <c r="E642" s="350"/>
      <c r="F642" s="350"/>
      <c r="G642" s="347"/>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81" t="str">
        <f>_xlfn.CONCAT(_xlfn.XLOOKUP("[S05_DefaultValues][441][InstallationCategory]",Submission!$O:$O,Submission!$H:$N,""))</f>
        <v/>
      </c>
      <c r="D643" s="350"/>
      <c r="E643" s="350"/>
      <c r="F643" s="350"/>
      <c r="G643" s="347"/>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81" t="str">
        <f>_xlfn.CONCAT(_xlfn.XLOOKUP("[S05_DefaultValues][442][InstallationCategory]",Submission!$O:$O,Submission!$H:$N,""))</f>
        <v/>
      </c>
      <c r="D644" s="350"/>
      <c r="E644" s="350"/>
      <c r="F644" s="350"/>
      <c r="G644" s="347"/>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81" t="str">
        <f>_xlfn.CONCAT(_xlfn.XLOOKUP("[S05_DefaultValues][443][InstallationCategory]",Submission!$O:$O,Submission!$H:$N,""))</f>
        <v/>
      </c>
      <c r="D645" s="350"/>
      <c r="E645" s="350"/>
      <c r="F645" s="350"/>
      <c r="G645" s="347"/>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81" t="str">
        <f>_xlfn.CONCAT(_xlfn.XLOOKUP("[S05_DefaultValues][444][InstallationCategory]",Submission!$O:$O,Submission!$H:$N,""))</f>
        <v/>
      </c>
      <c r="D646" s="350"/>
      <c r="E646" s="350"/>
      <c r="F646" s="350"/>
      <c r="G646" s="347"/>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81" t="str">
        <f>_xlfn.CONCAT(_xlfn.XLOOKUP("[S05_DefaultValues][445][InstallationCategory]",Submission!$O:$O,Submission!$H:$N,""))</f>
        <v/>
      </c>
      <c r="D647" s="350"/>
      <c r="E647" s="350"/>
      <c r="F647" s="350"/>
      <c r="G647" s="347"/>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81" t="str">
        <f>_xlfn.CONCAT(_xlfn.XLOOKUP("[S05_DefaultValues][446][InstallationCategory]",Submission!$O:$O,Submission!$H:$N,""))</f>
        <v/>
      </c>
      <c r="D648" s="350"/>
      <c r="E648" s="350"/>
      <c r="F648" s="350"/>
      <c r="G648" s="347"/>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81" t="str">
        <f>_xlfn.CONCAT(_xlfn.XLOOKUP("[S05_DefaultValues][447][InstallationCategory]",Submission!$O:$O,Submission!$H:$N,""))</f>
        <v/>
      </c>
      <c r="D649" s="350"/>
      <c r="E649" s="350"/>
      <c r="F649" s="350"/>
      <c r="G649" s="347"/>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81" t="str">
        <f>_xlfn.CONCAT(_xlfn.XLOOKUP("[S05_DefaultValues][448][InstallationCategory]",Submission!$O:$O,Submission!$H:$N,""))</f>
        <v/>
      </c>
      <c r="D650" s="350"/>
      <c r="E650" s="350"/>
      <c r="F650" s="350"/>
      <c r="G650" s="347"/>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81" t="str">
        <f>_xlfn.CONCAT(_xlfn.XLOOKUP("[S05_DefaultValues][449][InstallationCategory]",Submission!$O:$O,Submission!$H:$N,""))</f>
        <v/>
      </c>
      <c r="D651" s="350"/>
      <c r="E651" s="350"/>
      <c r="F651" s="350"/>
      <c r="G651" s="347"/>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81" t="str">
        <f>_xlfn.CONCAT(_xlfn.XLOOKUP("[S05_DefaultValues][450][InstallationCategory]",Submission!$O:$O,Submission!$H:$N,""))</f>
        <v/>
      </c>
      <c r="D652" s="350"/>
      <c r="E652" s="350"/>
      <c r="F652" s="350"/>
      <c r="G652" s="347"/>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81" t="str">
        <f>_xlfn.CONCAT(_xlfn.XLOOKUP("[S05_DefaultValues][451][InstallationCategory]",Submission!$O:$O,Submission!$H:$N,""))</f>
        <v/>
      </c>
      <c r="D653" s="350"/>
      <c r="E653" s="350"/>
      <c r="F653" s="350"/>
      <c r="G653" s="347"/>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81" t="str">
        <f>_xlfn.CONCAT(_xlfn.XLOOKUP("[S05_DefaultValues][452][InstallationCategory]",Submission!$O:$O,Submission!$H:$N,""))</f>
        <v/>
      </c>
      <c r="D654" s="350"/>
      <c r="E654" s="350"/>
      <c r="F654" s="350"/>
      <c r="G654" s="347"/>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81" t="str">
        <f>_xlfn.CONCAT(_xlfn.XLOOKUP("[S05_DefaultValues][453][InstallationCategory]",Submission!$O:$O,Submission!$H:$N,""))</f>
        <v/>
      </c>
      <c r="D655" s="350"/>
      <c r="E655" s="350"/>
      <c r="F655" s="350"/>
      <c r="G655" s="347"/>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81" t="str">
        <f>_xlfn.CONCAT(_xlfn.XLOOKUP("[S05_DefaultValues][454][InstallationCategory]",Submission!$O:$O,Submission!$H:$N,""))</f>
        <v/>
      </c>
      <c r="D656" s="350"/>
      <c r="E656" s="350"/>
      <c r="F656" s="350"/>
      <c r="G656" s="347"/>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81" t="str">
        <f>_xlfn.CONCAT(_xlfn.XLOOKUP("[S05_DefaultValues][455][InstallationCategory]",Submission!$O:$O,Submission!$H:$N,""))</f>
        <v/>
      </c>
      <c r="D657" s="350"/>
      <c r="E657" s="350"/>
      <c r="F657" s="350"/>
      <c r="G657" s="347"/>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81" t="str">
        <f>_xlfn.CONCAT(_xlfn.XLOOKUP("[S05_DefaultValues][456][InstallationCategory]",Submission!$O:$O,Submission!$H:$N,""))</f>
        <v/>
      </c>
      <c r="D658" s="350"/>
      <c r="E658" s="350"/>
      <c r="F658" s="350"/>
      <c r="G658" s="347"/>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81" t="str">
        <f>_xlfn.CONCAT(_xlfn.XLOOKUP("[S05_DefaultValues][457][InstallationCategory]",Submission!$O:$O,Submission!$H:$N,""))</f>
        <v/>
      </c>
      <c r="D659" s="350"/>
      <c r="E659" s="350"/>
      <c r="F659" s="350"/>
      <c r="G659" s="347"/>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81" t="str">
        <f>_xlfn.CONCAT(_xlfn.XLOOKUP("[S05_DefaultValues][458][InstallationCategory]",Submission!$O:$O,Submission!$H:$N,""))</f>
        <v/>
      </c>
      <c r="D660" s="350"/>
      <c r="E660" s="350"/>
      <c r="F660" s="350"/>
      <c r="G660" s="347"/>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81" t="str">
        <f>_xlfn.CONCAT(_xlfn.XLOOKUP("[S05_DefaultValues][459][InstallationCategory]",Submission!$O:$O,Submission!$H:$N,""))</f>
        <v/>
      </c>
      <c r="D661" s="350"/>
      <c r="E661" s="350"/>
      <c r="F661" s="350"/>
      <c r="G661" s="347"/>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81" t="str">
        <f>_xlfn.CONCAT(_xlfn.XLOOKUP("[S05_DefaultValues][460][InstallationCategory]",Submission!$O:$O,Submission!$H:$N,""))</f>
        <v/>
      </c>
      <c r="D662" s="350"/>
      <c r="E662" s="350"/>
      <c r="F662" s="350"/>
      <c r="G662" s="347"/>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81" t="str">
        <f>_xlfn.CONCAT(_xlfn.XLOOKUP("[S05_DefaultValues][461][InstallationCategory]",Submission!$O:$O,Submission!$H:$N,""))</f>
        <v/>
      </c>
      <c r="D663" s="350"/>
      <c r="E663" s="350"/>
      <c r="F663" s="350"/>
      <c r="G663" s="347"/>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81" t="str">
        <f>_xlfn.CONCAT(_xlfn.XLOOKUP("[S05_DefaultValues][462][InstallationCategory]",Submission!$O:$O,Submission!$H:$N,""))</f>
        <v/>
      </c>
      <c r="D664" s="350"/>
      <c r="E664" s="350"/>
      <c r="F664" s="350"/>
      <c r="G664" s="347"/>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81" t="str">
        <f>_xlfn.CONCAT(_xlfn.XLOOKUP("[S05_DefaultValues][463][InstallationCategory]",Submission!$O:$O,Submission!$H:$N,""))</f>
        <v/>
      </c>
      <c r="D665" s="350"/>
      <c r="E665" s="350"/>
      <c r="F665" s="350"/>
      <c r="G665" s="347"/>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81" t="str">
        <f>_xlfn.CONCAT(_xlfn.XLOOKUP("[S05_DefaultValues][464][InstallationCategory]",Submission!$O:$O,Submission!$H:$N,""))</f>
        <v/>
      </c>
      <c r="D666" s="350"/>
      <c r="E666" s="350"/>
      <c r="F666" s="350"/>
      <c r="G666" s="347"/>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81" t="str">
        <f>_xlfn.CONCAT(_xlfn.XLOOKUP("[S05_DefaultValues][465][InstallationCategory]",Submission!$O:$O,Submission!$H:$N,""))</f>
        <v/>
      </c>
      <c r="D667" s="350"/>
      <c r="E667" s="350"/>
      <c r="F667" s="350"/>
      <c r="G667" s="347"/>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81" t="str">
        <f>_xlfn.CONCAT(_xlfn.XLOOKUP("[S05_DefaultValues][466][InstallationCategory]",Submission!$O:$O,Submission!$H:$N,""))</f>
        <v/>
      </c>
      <c r="D668" s="350"/>
      <c r="E668" s="350"/>
      <c r="F668" s="350"/>
      <c r="G668" s="347"/>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81" t="str">
        <f>_xlfn.CONCAT(_xlfn.XLOOKUP("[S05_DefaultValues][467][InstallationCategory]",Submission!$O:$O,Submission!$H:$N,""))</f>
        <v/>
      </c>
      <c r="D669" s="350"/>
      <c r="E669" s="350"/>
      <c r="F669" s="350"/>
      <c r="G669" s="347"/>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81" t="str">
        <f>_xlfn.CONCAT(_xlfn.XLOOKUP("[S05_DefaultValues][468][InstallationCategory]",Submission!$O:$O,Submission!$H:$N,""))</f>
        <v/>
      </c>
      <c r="D670" s="350"/>
      <c r="E670" s="350"/>
      <c r="F670" s="350"/>
      <c r="G670" s="347"/>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81" t="str">
        <f>_xlfn.CONCAT(_xlfn.XLOOKUP("[S05_DefaultValues][469][InstallationCategory]",Submission!$O:$O,Submission!$H:$N,""))</f>
        <v/>
      </c>
      <c r="D671" s="350"/>
      <c r="E671" s="350"/>
      <c r="F671" s="350"/>
      <c r="G671" s="347"/>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81" t="str">
        <f>_xlfn.CONCAT(_xlfn.XLOOKUP("[S05_DefaultValues][470][InstallationCategory]",Submission!$O:$O,Submission!$H:$N,""))</f>
        <v/>
      </c>
      <c r="D672" s="350"/>
      <c r="E672" s="350"/>
      <c r="F672" s="350"/>
      <c r="G672" s="347"/>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81" t="str">
        <f>_xlfn.CONCAT(_xlfn.XLOOKUP("[S05_DefaultValues][471][InstallationCategory]",Submission!$O:$O,Submission!$H:$N,""))</f>
        <v/>
      </c>
      <c r="D673" s="350"/>
      <c r="E673" s="350"/>
      <c r="F673" s="350"/>
      <c r="G673" s="347"/>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81" t="str">
        <f>_xlfn.CONCAT(_xlfn.XLOOKUP("[S05_DefaultValues][472][InstallationCategory]",Submission!$O:$O,Submission!$H:$N,""))</f>
        <v/>
      </c>
      <c r="D674" s="350"/>
      <c r="E674" s="350"/>
      <c r="F674" s="350"/>
      <c r="G674" s="347"/>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81" t="str">
        <f>_xlfn.CONCAT(_xlfn.XLOOKUP("[S05_DefaultValues][473][InstallationCategory]",Submission!$O:$O,Submission!$H:$N,""))</f>
        <v/>
      </c>
      <c r="D675" s="350"/>
      <c r="E675" s="350"/>
      <c r="F675" s="350"/>
      <c r="G675" s="347"/>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81" t="str">
        <f>_xlfn.CONCAT(_xlfn.XLOOKUP("[S05_DefaultValues][474][InstallationCategory]",Submission!$O:$O,Submission!$H:$N,""))</f>
        <v/>
      </c>
      <c r="D676" s="350"/>
      <c r="E676" s="350"/>
      <c r="F676" s="350"/>
      <c r="G676" s="347"/>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81" t="str">
        <f>_xlfn.CONCAT(_xlfn.XLOOKUP("[S05_DefaultValues][475][InstallationCategory]",Submission!$O:$O,Submission!$H:$N,""))</f>
        <v/>
      </c>
      <c r="D677" s="350"/>
      <c r="E677" s="350"/>
      <c r="F677" s="350"/>
      <c r="G677" s="347"/>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81" t="str">
        <f>_xlfn.CONCAT(_xlfn.XLOOKUP("[S05_DefaultValues][476][InstallationCategory]",Submission!$O:$O,Submission!$H:$N,""))</f>
        <v/>
      </c>
      <c r="D678" s="350"/>
      <c r="E678" s="350"/>
      <c r="F678" s="350"/>
      <c r="G678" s="347"/>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81" t="str">
        <f>_xlfn.CONCAT(_xlfn.XLOOKUP("[S05_DefaultValues][477][InstallationCategory]",Submission!$O:$O,Submission!$H:$N,""))</f>
        <v/>
      </c>
      <c r="D679" s="350"/>
      <c r="E679" s="350"/>
      <c r="F679" s="350"/>
      <c r="G679" s="347"/>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81" t="str">
        <f>_xlfn.CONCAT(_xlfn.XLOOKUP("[S05_DefaultValues][478][InstallationCategory]",Submission!$O:$O,Submission!$H:$N,""))</f>
        <v/>
      </c>
      <c r="D680" s="350"/>
      <c r="E680" s="350"/>
      <c r="F680" s="350"/>
      <c r="G680" s="347"/>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81" t="str">
        <f>_xlfn.CONCAT(_xlfn.XLOOKUP("[S05_DefaultValues][479][InstallationCategory]",Submission!$O:$O,Submission!$H:$N,""))</f>
        <v/>
      </c>
      <c r="D681" s="350"/>
      <c r="E681" s="350"/>
      <c r="F681" s="350"/>
      <c r="G681" s="347"/>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81" t="str">
        <f>_xlfn.CONCAT(_xlfn.XLOOKUP("[S05_DefaultValues][480][InstallationCategory]",Submission!$O:$O,Submission!$H:$N,""))</f>
        <v/>
      </c>
      <c r="D682" s="350"/>
      <c r="E682" s="350"/>
      <c r="F682" s="350"/>
      <c r="G682" s="347"/>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81" t="str">
        <f>_xlfn.CONCAT(_xlfn.XLOOKUP("[S05_DefaultValues][481][InstallationCategory]",Submission!$O:$O,Submission!$H:$N,""))</f>
        <v/>
      </c>
      <c r="D683" s="350"/>
      <c r="E683" s="350"/>
      <c r="F683" s="350"/>
      <c r="G683" s="347"/>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81" t="str">
        <f>_xlfn.CONCAT(_xlfn.XLOOKUP("[S05_DefaultValues][482][InstallationCategory]",Submission!$O:$O,Submission!$H:$N,""))</f>
        <v/>
      </c>
      <c r="D684" s="350"/>
      <c r="E684" s="350"/>
      <c r="F684" s="350"/>
      <c r="G684" s="347"/>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81" t="str">
        <f>_xlfn.CONCAT(_xlfn.XLOOKUP("[S05_DefaultValues][483][InstallationCategory]",Submission!$O:$O,Submission!$H:$N,""))</f>
        <v/>
      </c>
      <c r="D685" s="350"/>
      <c r="E685" s="350"/>
      <c r="F685" s="350"/>
      <c r="G685" s="347"/>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81" t="str">
        <f>_xlfn.CONCAT(_xlfn.XLOOKUP("[S05_DefaultValues][484][InstallationCategory]",Submission!$O:$O,Submission!$H:$N,""))</f>
        <v/>
      </c>
      <c r="D686" s="350"/>
      <c r="E686" s="350"/>
      <c r="F686" s="350"/>
      <c r="G686" s="347"/>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81" t="str">
        <f>_xlfn.CONCAT(_xlfn.XLOOKUP("[S05_DefaultValues][485][InstallationCategory]",Submission!$O:$O,Submission!$H:$N,""))</f>
        <v/>
      </c>
      <c r="D687" s="350"/>
      <c r="E687" s="350"/>
      <c r="F687" s="350"/>
      <c r="G687" s="347"/>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81" t="str">
        <f>_xlfn.CONCAT(_xlfn.XLOOKUP("[S05_DefaultValues][486][InstallationCategory]",Submission!$O:$O,Submission!$H:$N,""))</f>
        <v/>
      </c>
      <c r="D688" s="350"/>
      <c r="E688" s="350"/>
      <c r="F688" s="350"/>
      <c r="G688" s="347"/>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81" t="str">
        <f>_xlfn.CONCAT(_xlfn.XLOOKUP("[S05_DefaultValues][487][InstallationCategory]",Submission!$O:$O,Submission!$H:$N,""))</f>
        <v/>
      </c>
      <c r="D689" s="350"/>
      <c r="E689" s="350"/>
      <c r="F689" s="350"/>
      <c r="G689" s="347"/>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81" t="str">
        <f>_xlfn.CONCAT(_xlfn.XLOOKUP("[S05_DefaultValues][488][InstallationCategory]",Submission!$O:$O,Submission!$H:$N,""))</f>
        <v/>
      </c>
      <c r="D690" s="350"/>
      <c r="E690" s="350"/>
      <c r="F690" s="350"/>
      <c r="G690" s="347"/>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81" t="str">
        <f>_xlfn.CONCAT(_xlfn.XLOOKUP("[S05_DefaultValues][489][InstallationCategory]",Submission!$O:$O,Submission!$H:$N,""))</f>
        <v/>
      </c>
      <c r="D691" s="350"/>
      <c r="E691" s="350"/>
      <c r="F691" s="350"/>
      <c r="G691" s="347"/>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81" t="str">
        <f>_xlfn.CONCAT(_xlfn.XLOOKUP("[S05_DefaultValues][490][InstallationCategory]",Submission!$O:$O,Submission!$H:$N,""))</f>
        <v/>
      </c>
      <c r="D692" s="350"/>
      <c r="E692" s="350"/>
      <c r="F692" s="350"/>
      <c r="G692" s="347"/>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81" t="str">
        <f>_xlfn.CONCAT(_xlfn.XLOOKUP("[S05_DefaultValues][491][InstallationCategory]",Submission!$O:$O,Submission!$H:$N,""))</f>
        <v/>
      </c>
      <c r="D693" s="350"/>
      <c r="E693" s="350"/>
      <c r="F693" s="350"/>
      <c r="G693" s="347"/>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81" t="str">
        <f>_xlfn.CONCAT(_xlfn.XLOOKUP("[S05_DefaultValues][492][InstallationCategory]",Submission!$O:$O,Submission!$H:$N,""))</f>
        <v/>
      </c>
      <c r="D694" s="350"/>
      <c r="E694" s="350"/>
      <c r="F694" s="350"/>
      <c r="G694" s="347"/>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81" t="str">
        <f>_xlfn.CONCAT(_xlfn.XLOOKUP("[S05_DefaultValues][493][InstallationCategory]",Submission!$O:$O,Submission!$H:$N,""))</f>
        <v/>
      </c>
      <c r="D695" s="350"/>
      <c r="E695" s="350"/>
      <c r="F695" s="350"/>
      <c r="G695" s="347"/>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81" t="str">
        <f>_xlfn.CONCAT(_xlfn.XLOOKUP("[S05_DefaultValues][494][InstallationCategory]",Submission!$O:$O,Submission!$H:$N,""))</f>
        <v/>
      </c>
      <c r="D696" s="350"/>
      <c r="E696" s="350"/>
      <c r="F696" s="350"/>
      <c r="G696" s="347"/>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81" t="str">
        <f>_xlfn.CONCAT(_xlfn.XLOOKUP("[S05_DefaultValues][495][InstallationCategory]",Submission!$O:$O,Submission!$H:$N,""))</f>
        <v/>
      </c>
      <c r="D697" s="350"/>
      <c r="E697" s="350"/>
      <c r="F697" s="350"/>
      <c r="G697" s="347"/>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81" t="str">
        <f>_xlfn.CONCAT(_xlfn.XLOOKUP("[S05_DefaultValues][496][InstallationCategory]",Submission!$O:$O,Submission!$H:$N,""))</f>
        <v/>
      </c>
      <c r="D698" s="350"/>
      <c r="E698" s="350"/>
      <c r="F698" s="350"/>
      <c r="G698" s="347"/>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81" t="str">
        <f>_xlfn.CONCAT(_xlfn.XLOOKUP("[S05_DefaultValues][497][InstallationCategory]",Submission!$O:$O,Submission!$H:$N,""))</f>
        <v/>
      </c>
      <c r="D699" s="350"/>
      <c r="E699" s="350"/>
      <c r="F699" s="350"/>
      <c r="G699" s="347"/>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81" t="str">
        <f>_xlfn.CONCAT(_xlfn.XLOOKUP("[S05_DefaultValues][498][InstallationCategory]",Submission!$O:$O,Submission!$H:$N,""))</f>
        <v/>
      </c>
      <c r="D700" s="350"/>
      <c r="E700" s="350"/>
      <c r="F700" s="350"/>
      <c r="G700" s="347"/>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81" t="str">
        <f>_xlfn.CONCAT(_xlfn.XLOOKUP("[S05_DefaultValues][499][InstallationCategory]",Submission!$O:$O,Submission!$H:$N,""))</f>
        <v/>
      </c>
      <c r="D701" s="350"/>
      <c r="E701" s="350"/>
      <c r="F701" s="350"/>
      <c r="G701" s="347"/>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81" t="str">
        <f>_xlfn.CONCAT(_xlfn.XLOOKUP("[S05_DefaultValues][500][InstallationCategory]",Submission!$O:$O,Submission!$H:$N,""))</f>
        <v/>
      </c>
      <c r="D702" s="350"/>
      <c r="E702" s="350"/>
      <c r="F702" s="350"/>
      <c r="G702" s="347"/>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81" t="str">
        <f>_xlfn.CONCAT(_xlfn.XLOOKUP("[S05_DefaultValues][501][InstallationCategory]",Submission!$O:$O,Submission!$H:$N,""))</f>
        <v/>
      </c>
      <c r="D703" s="350"/>
      <c r="E703" s="350"/>
      <c r="F703" s="350"/>
      <c r="G703" s="347"/>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81" t="str">
        <f>_xlfn.CONCAT(_xlfn.XLOOKUP("[S05_DefaultValues][502][InstallationCategory]",Submission!$O:$O,Submission!$H:$N,""))</f>
        <v/>
      </c>
      <c r="D704" s="350"/>
      <c r="E704" s="350"/>
      <c r="F704" s="350"/>
      <c r="G704" s="347"/>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81" t="str">
        <f>_xlfn.CONCAT(_xlfn.XLOOKUP("[S05_DefaultValues][503][InstallationCategory]",Submission!$O:$O,Submission!$H:$N,""))</f>
        <v/>
      </c>
      <c r="D705" s="350"/>
      <c r="E705" s="350"/>
      <c r="F705" s="350"/>
      <c r="G705" s="347"/>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81" t="str">
        <f>_xlfn.CONCAT(_xlfn.XLOOKUP("[S05_DefaultValues][504][InstallationCategory]",Submission!$O:$O,Submission!$H:$N,""))</f>
        <v/>
      </c>
      <c r="D706" s="350"/>
      <c r="E706" s="350"/>
      <c r="F706" s="350"/>
      <c r="G706" s="347"/>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81" t="str">
        <f>_xlfn.CONCAT(_xlfn.XLOOKUP("[S05_DefaultValues][505][InstallationCategory]",Submission!$O:$O,Submission!$H:$N,""))</f>
        <v/>
      </c>
      <c r="D707" s="350"/>
      <c r="E707" s="350"/>
      <c r="F707" s="350"/>
      <c r="G707" s="347"/>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81" t="str">
        <f>_xlfn.CONCAT(_xlfn.XLOOKUP("[S05_DefaultValues][506][InstallationCategory]",Submission!$O:$O,Submission!$H:$N,""))</f>
        <v/>
      </c>
      <c r="D708" s="350"/>
      <c r="E708" s="350"/>
      <c r="F708" s="350"/>
      <c r="G708" s="347"/>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81" t="str">
        <f>_xlfn.CONCAT(_xlfn.XLOOKUP("[S05_DefaultValues][507][InstallationCategory]",Submission!$O:$O,Submission!$H:$N,""))</f>
        <v/>
      </c>
      <c r="D709" s="350"/>
      <c r="E709" s="350"/>
      <c r="F709" s="350"/>
      <c r="G709" s="347"/>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81" t="str">
        <f>_xlfn.CONCAT(_xlfn.XLOOKUP("[S05_DefaultValues][508][InstallationCategory]",Submission!$O:$O,Submission!$H:$N,""))</f>
        <v/>
      </c>
      <c r="D710" s="350"/>
      <c r="E710" s="350"/>
      <c r="F710" s="350"/>
      <c r="G710" s="347"/>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81" t="str">
        <f>_xlfn.CONCAT(_xlfn.XLOOKUP("[S05_DefaultValues][509][InstallationCategory]",Submission!$O:$O,Submission!$H:$N,""))</f>
        <v/>
      </c>
      <c r="D711" s="350"/>
      <c r="E711" s="350"/>
      <c r="F711" s="350"/>
      <c r="G711" s="347"/>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81" t="str">
        <f>_xlfn.CONCAT(_xlfn.XLOOKUP("[S05_DefaultValues][510][InstallationCategory]",Submission!$O:$O,Submission!$H:$N,""))</f>
        <v/>
      </c>
      <c r="D712" s="350"/>
      <c r="E712" s="350"/>
      <c r="F712" s="350"/>
      <c r="G712" s="347"/>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81" t="str">
        <f>_xlfn.CONCAT(_xlfn.XLOOKUP("[S05_DefaultValues][511][InstallationCategory]",Submission!$O:$O,Submission!$H:$N,""))</f>
        <v/>
      </c>
      <c r="D713" s="350"/>
      <c r="E713" s="350"/>
      <c r="F713" s="350"/>
      <c r="G713" s="347"/>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81" t="str">
        <f>_xlfn.CONCAT(_xlfn.XLOOKUP("[S05_DefaultValues][512][InstallationCategory]",Submission!$O:$O,Submission!$H:$N,""))</f>
        <v/>
      </c>
      <c r="D714" s="350"/>
      <c r="E714" s="350"/>
      <c r="F714" s="350"/>
      <c r="G714" s="347"/>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81" t="str">
        <f>_xlfn.CONCAT(_xlfn.XLOOKUP("[S05_DefaultValues][513][InstallationCategory]",Submission!$O:$O,Submission!$H:$N,""))</f>
        <v/>
      </c>
      <c r="D715" s="350"/>
      <c r="E715" s="350"/>
      <c r="F715" s="350"/>
      <c r="G715" s="347"/>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81" t="str">
        <f>_xlfn.CONCAT(_xlfn.XLOOKUP("[S05_DefaultValues][514][InstallationCategory]",Submission!$O:$O,Submission!$H:$N,""))</f>
        <v/>
      </c>
      <c r="D716" s="350"/>
      <c r="E716" s="350"/>
      <c r="F716" s="350"/>
      <c r="G716" s="347"/>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81" t="str">
        <f>_xlfn.CONCAT(_xlfn.XLOOKUP("[S05_DefaultValues][515][InstallationCategory]",Submission!$O:$O,Submission!$H:$N,""))</f>
        <v/>
      </c>
      <c r="D717" s="350"/>
      <c r="E717" s="350"/>
      <c r="F717" s="350"/>
      <c r="G717" s="347"/>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81" t="str">
        <f>_xlfn.CONCAT(_xlfn.XLOOKUP("[S05_DefaultValues][516][InstallationCategory]",Submission!$O:$O,Submission!$H:$N,""))</f>
        <v/>
      </c>
      <c r="D718" s="350"/>
      <c r="E718" s="350"/>
      <c r="F718" s="350"/>
      <c r="G718" s="347"/>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81" t="str">
        <f>_xlfn.CONCAT(_xlfn.XLOOKUP("[S05_DefaultValues][517][InstallationCategory]",Submission!$O:$O,Submission!$H:$N,""))</f>
        <v/>
      </c>
      <c r="D719" s="350"/>
      <c r="E719" s="350"/>
      <c r="F719" s="350"/>
      <c r="G719" s="347"/>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81" t="str">
        <f>_xlfn.CONCAT(_xlfn.XLOOKUP("[S05_DefaultValues][518][InstallationCategory]",Submission!$O:$O,Submission!$H:$N,""))</f>
        <v/>
      </c>
      <c r="D720" s="350"/>
      <c r="E720" s="350"/>
      <c r="F720" s="350"/>
      <c r="G720" s="347"/>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81" t="str">
        <f>_xlfn.CONCAT(_xlfn.XLOOKUP("[S05_DefaultValues][519][InstallationCategory]",Submission!$O:$O,Submission!$H:$N,""))</f>
        <v/>
      </c>
      <c r="D721" s="350"/>
      <c r="E721" s="350"/>
      <c r="F721" s="350"/>
      <c r="G721" s="347"/>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81" t="str">
        <f>_xlfn.CONCAT(_xlfn.XLOOKUP("[S05_DefaultValues][520][InstallationCategory]",Submission!$O:$O,Submission!$H:$N,""))</f>
        <v/>
      </c>
      <c r="D722" s="350"/>
      <c r="E722" s="350"/>
      <c r="F722" s="350"/>
      <c r="G722" s="347"/>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81" t="str">
        <f>_xlfn.CONCAT(_xlfn.XLOOKUP("[S05_DefaultValues][521][InstallationCategory]",Submission!$O:$O,Submission!$H:$N,""))</f>
        <v/>
      </c>
      <c r="D723" s="350"/>
      <c r="E723" s="350"/>
      <c r="F723" s="350"/>
      <c r="G723" s="347"/>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81" t="str">
        <f>_xlfn.CONCAT(_xlfn.XLOOKUP("[S05_DefaultValues][522][InstallationCategory]",Submission!$O:$O,Submission!$H:$N,""))</f>
        <v/>
      </c>
      <c r="D724" s="350"/>
      <c r="E724" s="350"/>
      <c r="F724" s="350"/>
      <c r="G724" s="347"/>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81" t="str">
        <f>_xlfn.CONCAT(_xlfn.XLOOKUP("[S05_DefaultValues][523][InstallationCategory]",Submission!$O:$O,Submission!$H:$N,""))</f>
        <v/>
      </c>
      <c r="D725" s="350"/>
      <c r="E725" s="350"/>
      <c r="F725" s="350"/>
      <c r="G725" s="347"/>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81" t="str">
        <f>_xlfn.CONCAT(_xlfn.XLOOKUP("[S05_DefaultValues][524][InstallationCategory]",Submission!$O:$O,Submission!$H:$N,""))</f>
        <v/>
      </c>
      <c r="D726" s="350"/>
      <c r="E726" s="350"/>
      <c r="F726" s="350"/>
      <c r="G726" s="347"/>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81" t="str">
        <f>_xlfn.CONCAT(_xlfn.XLOOKUP("[S05_DefaultValues][525][InstallationCategory]",Submission!$O:$O,Submission!$H:$N,""))</f>
        <v/>
      </c>
      <c r="D727" s="350"/>
      <c r="E727" s="350"/>
      <c r="F727" s="350"/>
      <c r="G727" s="347"/>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81" t="str">
        <f>_xlfn.CONCAT(_xlfn.XLOOKUP("[S05_DefaultValues][526][InstallationCategory]",Submission!$O:$O,Submission!$H:$N,""))</f>
        <v/>
      </c>
      <c r="D728" s="350"/>
      <c r="E728" s="350"/>
      <c r="F728" s="350"/>
      <c r="G728" s="347"/>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81" t="str">
        <f>_xlfn.CONCAT(_xlfn.XLOOKUP("[S05_DefaultValues][527][InstallationCategory]",Submission!$O:$O,Submission!$H:$N,""))</f>
        <v/>
      </c>
      <c r="D729" s="350"/>
      <c r="E729" s="350"/>
      <c r="F729" s="350"/>
      <c r="G729" s="347"/>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81" t="str">
        <f>_xlfn.CONCAT(_xlfn.XLOOKUP("[S05_DefaultValues][528][InstallationCategory]",Submission!$O:$O,Submission!$H:$N,""))</f>
        <v/>
      </c>
      <c r="D730" s="350"/>
      <c r="E730" s="350"/>
      <c r="F730" s="350"/>
      <c r="G730" s="347"/>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81" t="str">
        <f>_xlfn.CONCAT(_xlfn.XLOOKUP("[S05_DefaultValues][529][InstallationCategory]",Submission!$O:$O,Submission!$H:$N,""))</f>
        <v/>
      </c>
      <c r="D731" s="350"/>
      <c r="E731" s="350"/>
      <c r="F731" s="350"/>
      <c r="G731" s="347"/>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81" t="str">
        <f>_xlfn.CONCAT(_xlfn.XLOOKUP("[S05_DefaultValues][530][InstallationCategory]",Submission!$O:$O,Submission!$H:$N,""))</f>
        <v/>
      </c>
      <c r="D732" s="350"/>
      <c r="E732" s="350"/>
      <c r="F732" s="350"/>
      <c r="G732" s="347"/>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81" t="str">
        <f>_xlfn.CONCAT(_xlfn.XLOOKUP("[S05_DefaultValues][531][InstallationCategory]",Submission!$O:$O,Submission!$H:$N,""))</f>
        <v/>
      </c>
      <c r="D733" s="350"/>
      <c r="E733" s="350"/>
      <c r="F733" s="350"/>
      <c r="G733" s="347"/>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81" t="str">
        <f>_xlfn.CONCAT(_xlfn.XLOOKUP("[S05_DefaultValues][532][InstallationCategory]",Submission!$O:$O,Submission!$H:$N,""))</f>
        <v/>
      </c>
      <c r="D734" s="350"/>
      <c r="E734" s="350"/>
      <c r="F734" s="350"/>
      <c r="G734" s="347"/>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81" t="str">
        <f>_xlfn.CONCAT(_xlfn.XLOOKUP("[S05_DefaultValues][533][InstallationCategory]",Submission!$O:$O,Submission!$H:$N,""))</f>
        <v/>
      </c>
      <c r="D735" s="350"/>
      <c r="E735" s="350"/>
      <c r="F735" s="350"/>
      <c r="G735" s="347"/>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81" t="str">
        <f>_xlfn.CONCAT(_xlfn.XLOOKUP("[S05_DefaultValues][534][InstallationCategory]",Submission!$O:$O,Submission!$H:$N,""))</f>
        <v/>
      </c>
      <c r="D736" s="350"/>
      <c r="E736" s="350"/>
      <c r="F736" s="350"/>
      <c r="G736" s="347"/>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81" t="str">
        <f>_xlfn.CONCAT(_xlfn.XLOOKUP("[S05_DefaultValues][535][InstallationCategory]",Submission!$O:$O,Submission!$H:$N,""))</f>
        <v/>
      </c>
      <c r="D737" s="350"/>
      <c r="E737" s="350"/>
      <c r="F737" s="350"/>
      <c r="G737" s="347"/>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81" t="str">
        <f>_xlfn.CONCAT(_xlfn.XLOOKUP("[S05_DefaultValues][536][InstallationCategory]",Submission!$O:$O,Submission!$H:$N,""))</f>
        <v/>
      </c>
      <c r="D738" s="350"/>
      <c r="E738" s="350"/>
      <c r="F738" s="350"/>
      <c r="G738" s="347"/>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81" t="str">
        <f>_xlfn.CONCAT(_xlfn.XLOOKUP("[S05_DefaultValues][537][InstallationCategory]",Submission!$O:$O,Submission!$H:$N,""))</f>
        <v/>
      </c>
      <c r="D739" s="350"/>
      <c r="E739" s="350"/>
      <c r="F739" s="350"/>
      <c r="G739" s="347"/>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81" t="str">
        <f>_xlfn.CONCAT(_xlfn.XLOOKUP("[S05_DefaultValues][538][InstallationCategory]",Submission!$O:$O,Submission!$H:$N,""))</f>
        <v/>
      </c>
      <c r="D740" s="350"/>
      <c r="E740" s="350"/>
      <c r="F740" s="350"/>
      <c r="G740" s="347"/>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81" t="str">
        <f>_xlfn.CONCAT(_xlfn.XLOOKUP("[S05_DefaultValues][539][InstallationCategory]",Submission!$O:$O,Submission!$H:$N,""))</f>
        <v/>
      </c>
      <c r="D741" s="350"/>
      <c r="E741" s="350"/>
      <c r="F741" s="350"/>
      <c r="G741" s="347"/>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81" t="str">
        <f>_xlfn.CONCAT(_xlfn.XLOOKUP("[S05_DefaultValues][540][InstallationCategory]",Submission!$O:$O,Submission!$H:$N,""))</f>
        <v/>
      </c>
      <c r="D742" s="350"/>
      <c r="E742" s="350"/>
      <c r="F742" s="350"/>
      <c r="G742" s="347"/>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81" t="str">
        <f>_xlfn.CONCAT(_xlfn.XLOOKUP("[S05_DefaultValues][541][InstallationCategory]",Submission!$O:$O,Submission!$H:$N,""))</f>
        <v/>
      </c>
      <c r="D743" s="350"/>
      <c r="E743" s="350"/>
      <c r="F743" s="350"/>
      <c r="G743" s="347"/>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81" t="str">
        <f>_xlfn.CONCAT(_xlfn.XLOOKUP("[S05_DefaultValues][542][InstallationCategory]",Submission!$O:$O,Submission!$H:$N,""))</f>
        <v/>
      </c>
      <c r="D744" s="350"/>
      <c r="E744" s="350"/>
      <c r="F744" s="350"/>
      <c r="G744" s="347"/>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81" t="str">
        <f>_xlfn.CONCAT(_xlfn.XLOOKUP("[S05_DefaultValues][543][InstallationCategory]",Submission!$O:$O,Submission!$H:$N,""))</f>
        <v/>
      </c>
      <c r="D745" s="350"/>
      <c r="E745" s="350"/>
      <c r="F745" s="350"/>
      <c r="G745" s="347"/>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81" t="str">
        <f>_xlfn.CONCAT(_xlfn.XLOOKUP("[S05_DefaultValues][544][InstallationCategory]",Submission!$O:$O,Submission!$H:$N,""))</f>
        <v/>
      </c>
      <c r="D746" s="350"/>
      <c r="E746" s="350"/>
      <c r="F746" s="350"/>
      <c r="G746" s="347"/>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81" t="str">
        <f>_xlfn.CONCAT(_xlfn.XLOOKUP("[S05_DefaultValues][545][InstallationCategory]",Submission!$O:$O,Submission!$H:$N,""))</f>
        <v/>
      </c>
      <c r="D747" s="350"/>
      <c r="E747" s="350"/>
      <c r="F747" s="350"/>
      <c r="G747" s="347"/>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81" t="str">
        <f>_xlfn.CONCAT(_xlfn.XLOOKUP("[S05_DefaultValues][546][InstallationCategory]",Submission!$O:$O,Submission!$H:$N,""))</f>
        <v/>
      </c>
      <c r="D748" s="350"/>
      <c r="E748" s="350"/>
      <c r="F748" s="350"/>
      <c r="G748" s="347"/>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81" t="str">
        <f>_xlfn.CONCAT(_xlfn.XLOOKUP("[S05_DefaultValues][547][InstallationCategory]",Submission!$O:$O,Submission!$H:$N,""))</f>
        <v/>
      </c>
      <c r="D749" s="350"/>
      <c r="E749" s="350"/>
      <c r="F749" s="350"/>
      <c r="G749" s="347"/>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81" t="str">
        <f>_xlfn.CONCAT(_xlfn.XLOOKUP("[S05_DefaultValues][548][InstallationCategory]",Submission!$O:$O,Submission!$H:$N,""))</f>
        <v/>
      </c>
      <c r="D750" s="350"/>
      <c r="E750" s="350"/>
      <c r="F750" s="350"/>
      <c r="G750" s="347"/>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81" t="str">
        <f>_xlfn.CONCAT(_xlfn.XLOOKUP("[S05_DefaultValues][549][InstallationCategory]",Submission!$O:$O,Submission!$H:$N,""))</f>
        <v/>
      </c>
      <c r="D751" s="350"/>
      <c r="E751" s="350"/>
      <c r="F751" s="350"/>
      <c r="G751" s="347"/>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81" t="str">
        <f>_xlfn.CONCAT(_xlfn.XLOOKUP("[S05_DefaultValues][550][InstallationCategory]",Submission!$O:$O,Submission!$H:$N,""))</f>
        <v/>
      </c>
      <c r="D752" s="350"/>
      <c r="E752" s="350"/>
      <c r="F752" s="350"/>
      <c r="G752" s="347"/>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81" t="str">
        <f>_xlfn.CONCAT(_xlfn.XLOOKUP("[S05_DefaultValues][551][InstallationCategory]",Submission!$O:$O,Submission!$H:$N,""))</f>
        <v/>
      </c>
      <c r="D753" s="350"/>
      <c r="E753" s="350"/>
      <c r="F753" s="350"/>
      <c r="G753" s="347"/>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81" t="str">
        <f>_xlfn.CONCAT(_xlfn.XLOOKUP("[S05_DefaultValues][552][InstallationCategory]",Submission!$O:$O,Submission!$H:$N,""))</f>
        <v/>
      </c>
      <c r="D754" s="350"/>
      <c r="E754" s="350"/>
      <c r="F754" s="350"/>
      <c r="G754" s="347"/>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81" t="str">
        <f>_xlfn.CONCAT(_xlfn.XLOOKUP("[S05_DefaultValues][553][InstallationCategory]",Submission!$O:$O,Submission!$H:$N,""))</f>
        <v/>
      </c>
      <c r="D755" s="350"/>
      <c r="E755" s="350"/>
      <c r="F755" s="350"/>
      <c r="G755" s="347"/>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81" t="str">
        <f>_xlfn.CONCAT(_xlfn.XLOOKUP("[S05_DefaultValues][554][InstallationCategory]",Submission!$O:$O,Submission!$H:$N,""))</f>
        <v/>
      </c>
      <c r="D756" s="350"/>
      <c r="E756" s="350"/>
      <c r="F756" s="350"/>
      <c r="G756" s="347"/>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81" t="str">
        <f>_xlfn.CONCAT(_xlfn.XLOOKUP("[S05_DefaultValues][555][InstallationCategory]",Submission!$O:$O,Submission!$H:$N,""))</f>
        <v/>
      </c>
      <c r="D757" s="350"/>
      <c r="E757" s="350"/>
      <c r="F757" s="350"/>
      <c r="G757" s="347"/>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81" t="str">
        <f>_xlfn.CONCAT(_xlfn.XLOOKUP("[S05_DefaultValues][556][InstallationCategory]",Submission!$O:$O,Submission!$H:$N,""))</f>
        <v/>
      </c>
      <c r="D758" s="350"/>
      <c r="E758" s="350"/>
      <c r="F758" s="350"/>
      <c r="G758" s="347"/>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81" t="str">
        <f>_xlfn.CONCAT(_xlfn.XLOOKUP("[S05_DefaultValues][557][InstallationCategory]",Submission!$O:$O,Submission!$H:$N,""))</f>
        <v/>
      </c>
      <c r="D759" s="350"/>
      <c r="E759" s="350"/>
      <c r="F759" s="350"/>
      <c r="G759" s="347"/>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81" t="str">
        <f>_xlfn.CONCAT(_xlfn.XLOOKUP("[S05_DefaultValues][558][InstallationCategory]",Submission!$O:$O,Submission!$H:$N,""))</f>
        <v/>
      </c>
      <c r="D760" s="350"/>
      <c r="E760" s="350"/>
      <c r="F760" s="350"/>
      <c r="G760" s="347"/>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81" t="str">
        <f>_xlfn.CONCAT(_xlfn.XLOOKUP("[S05_DefaultValues][559][InstallationCategory]",Submission!$O:$O,Submission!$H:$N,""))</f>
        <v/>
      </c>
      <c r="D761" s="350"/>
      <c r="E761" s="350"/>
      <c r="F761" s="350"/>
      <c r="G761" s="347"/>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81" t="str">
        <f>_xlfn.CONCAT(_xlfn.XLOOKUP("[S05_DefaultValues][560][InstallationCategory]",Submission!$O:$O,Submission!$H:$N,""))</f>
        <v/>
      </c>
      <c r="D762" s="350"/>
      <c r="E762" s="350"/>
      <c r="F762" s="350"/>
      <c r="G762" s="347"/>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81" t="str">
        <f>_xlfn.CONCAT(_xlfn.XLOOKUP("[S05_DefaultValues][561][InstallationCategory]",Submission!$O:$O,Submission!$H:$N,""))</f>
        <v/>
      </c>
      <c r="D763" s="350"/>
      <c r="E763" s="350"/>
      <c r="F763" s="350"/>
      <c r="G763" s="347"/>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81" t="str">
        <f>_xlfn.CONCAT(_xlfn.XLOOKUP("[S05_DefaultValues][562][InstallationCategory]",Submission!$O:$O,Submission!$H:$N,""))</f>
        <v/>
      </c>
      <c r="D764" s="350"/>
      <c r="E764" s="350"/>
      <c r="F764" s="350"/>
      <c r="G764" s="347"/>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81" t="str">
        <f>_xlfn.CONCAT(_xlfn.XLOOKUP("[S05_DefaultValues][563][InstallationCategory]",Submission!$O:$O,Submission!$H:$N,""))</f>
        <v/>
      </c>
      <c r="D765" s="350"/>
      <c r="E765" s="350"/>
      <c r="F765" s="350"/>
      <c r="G765" s="347"/>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81" t="str">
        <f>_xlfn.CONCAT(_xlfn.XLOOKUP("[S05_DefaultValues][564][InstallationCategory]",Submission!$O:$O,Submission!$H:$N,""))</f>
        <v/>
      </c>
      <c r="D766" s="350"/>
      <c r="E766" s="350"/>
      <c r="F766" s="350"/>
      <c r="G766" s="347"/>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81" t="str">
        <f>_xlfn.CONCAT(_xlfn.XLOOKUP("[S05_DefaultValues][565][InstallationCategory]",Submission!$O:$O,Submission!$H:$N,""))</f>
        <v/>
      </c>
      <c r="D767" s="350"/>
      <c r="E767" s="350"/>
      <c r="F767" s="350"/>
      <c r="G767" s="347"/>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81" t="str">
        <f>_xlfn.CONCAT(_xlfn.XLOOKUP("[S05_DefaultValues][566][InstallationCategory]",Submission!$O:$O,Submission!$H:$N,""))</f>
        <v/>
      </c>
      <c r="D768" s="350"/>
      <c r="E768" s="350"/>
      <c r="F768" s="350"/>
      <c r="G768" s="347"/>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81" t="str">
        <f>_xlfn.CONCAT(_xlfn.XLOOKUP("[S05_DefaultValues][567][InstallationCategory]",Submission!$O:$O,Submission!$H:$N,""))</f>
        <v/>
      </c>
      <c r="D769" s="350"/>
      <c r="E769" s="350"/>
      <c r="F769" s="350"/>
      <c r="G769" s="347"/>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81" t="str">
        <f>_xlfn.CONCAT(_xlfn.XLOOKUP("[S05_DefaultValues][568][InstallationCategory]",Submission!$O:$O,Submission!$H:$N,""))</f>
        <v/>
      </c>
      <c r="D770" s="350"/>
      <c r="E770" s="350"/>
      <c r="F770" s="350"/>
      <c r="G770" s="347"/>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81" t="str">
        <f>_xlfn.CONCAT(_xlfn.XLOOKUP("[S05_DefaultValues][569][InstallationCategory]",Submission!$O:$O,Submission!$H:$N,""))</f>
        <v/>
      </c>
      <c r="D771" s="350"/>
      <c r="E771" s="350"/>
      <c r="F771" s="350"/>
      <c r="G771" s="347"/>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81" t="str">
        <f>_xlfn.CONCAT(_xlfn.XLOOKUP("[S05_DefaultValues][570][InstallationCategory]",Submission!$O:$O,Submission!$H:$N,""))</f>
        <v/>
      </c>
      <c r="D772" s="350"/>
      <c r="E772" s="350"/>
      <c r="F772" s="350"/>
      <c r="G772" s="347"/>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81" t="str">
        <f>_xlfn.CONCAT(_xlfn.XLOOKUP("[S05_DefaultValues][571][InstallationCategory]",Submission!$O:$O,Submission!$H:$N,""))</f>
        <v/>
      </c>
      <c r="D773" s="350"/>
      <c r="E773" s="350"/>
      <c r="F773" s="350"/>
      <c r="G773" s="347"/>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81" t="str">
        <f>_xlfn.CONCAT(_xlfn.XLOOKUP("[S05_DefaultValues][572][InstallationCategory]",Submission!$O:$O,Submission!$H:$N,""))</f>
        <v/>
      </c>
      <c r="D774" s="350"/>
      <c r="E774" s="350"/>
      <c r="F774" s="350"/>
      <c r="G774" s="347"/>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81" t="str">
        <f>_xlfn.CONCAT(_xlfn.XLOOKUP("[S05_DefaultValues][573][InstallationCategory]",Submission!$O:$O,Submission!$H:$N,""))</f>
        <v/>
      </c>
      <c r="D775" s="350"/>
      <c r="E775" s="350"/>
      <c r="F775" s="350"/>
      <c r="G775" s="347"/>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81" t="str">
        <f>_xlfn.CONCAT(_xlfn.XLOOKUP("[S05_DefaultValues][574][InstallationCategory]",Submission!$O:$O,Submission!$H:$N,""))</f>
        <v/>
      </c>
      <c r="D776" s="350"/>
      <c r="E776" s="350"/>
      <c r="F776" s="350"/>
      <c r="G776" s="347"/>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81" t="str">
        <f>_xlfn.CONCAT(_xlfn.XLOOKUP("[S05_DefaultValues][575][InstallationCategory]",Submission!$O:$O,Submission!$H:$N,""))</f>
        <v/>
      </c>
      <c r="D777" s="350"/>
      <c r="E777" s="350"/>
      <c r="F777" s="350"/>
      <c r="G777" s="347"/>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81" t="str">
        <f>_xlfn.CONCAT(_xlfn.XLOOKUP("[S05_DefaultValues][576][InstallationCategory]",Submission!$O:$O,Submission!$H:$N,""))</f>
        <v/>
      </c>
      <c r="D778" s="350"/>
      <c r="E778" s="350"/>
      <c r="F778" s="350"/>
      <c r="G778" s="347"/>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81" t="str">
        <f>_xlfn.CONCAT(_xlfn.XLOOKUP("[S05_DefaultValues][577][InstallationCategory]",Submission!$O:$O,Submission!$H:$N,""))</f>
        <v/>
      </c>
      <c r="D779" s="350"/>
      <c r="E779" s="350"/>
      <c r="F779" s="350"/>
      <c r="G779" s="347"/>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81" t="str">
        <f>_xlfn.CONCAT(_xlfn.XLOOKUP("[S05_DefaultValues][578][InstallationCategory]",Submission!$O:$O,Submission!$H:$N,""))</f>
        <v/>
      </c>
      <c r="D780" s="350"/>
      <c r="E780" s="350"/>
      <c r="F780" s="350"/>
      <c r="G780" s="347"/>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81" t="str">
        <f>_xlfn.CONCAT(_xlfn.XLOOKUP("[S05_DefaultValues][579][InstallationCategory]",Submission!$O:$O,Submission!$H:$N,""))</f>
        <v/>
      </c>
      <c r="D781" s="350"/>
      <c r="E781" s="350"/>
      <c r="F781" s="350"/>
      <c r="G781" s="347"/>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81" t="str">
        <f>_xlfn.CONCAT(_xlfn.XLOOKUP("[S05_DefaultValues][580][InstallationCategory]",Submission!$O:$O,Submission!$H:$N,""))</f>
        <v/>
      </c>
      <c r="D782" s="350"/>
      <c r="E782" s="350"/>
      <c r="F782" s="350"/>
      <c r="G782" s="347"/>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81" t="str">
        <f>_xlfn.CONCAT(_xlfn.XLOOKUP("[S05_DefaultValues][581][InstallationCategory]",Submission!$O:$O,Submission!$H:$N,""))</f>
        <v/>
      </c>
      <c r="D783" s="350"/>
      <c r="E783" s="350"/>
      <c r="F783" s="350"/>
      <c r="G783" s="347"/>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81" t="str">
        <f>_xlfn.CONCAT(_xlfn.XLOOKUP("[S05_DefaultValues][582][InstallationCategory]",Submission!$O:$O,Submission!$H:$N,""))</f>
        <v/>
      </c>
      <c r="D784" s="350"/>
      <c r="E784" s="350"/>
      <c r="F784" s="350"/>
      <c r="G784" s="347"/>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81" t="str">
        <f>_xlfn.CONCAT(_xlfn.XLOOKUP("[S05_DefaultValues][583][InstallationCategory]",Submission!$O:$O,Submission!$H:$N,""))</f>
        <v/>
      </c>
      <c r="D785" s="350"/>
      <c r="E785" s="350"/>
      <c r="F785" s="350"/>
      <c r="G785" s="347"/>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81" t="str">
        <f>_xlfn.CONCAT(_xlfn.XLOOKUP("[S05_DefaultValues][584][InstallationCategory]",Submission!$O:$O,Submission!$H:$N,""))</f>
        <v/>
      </c>
      <c r="D786" s="350"/>
      <c r="E786" s="350"/>
      <c r="F786" s="350"/>
      <c r="G786" s="347"/>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81" t="str">
        <f>_xlfn.CONCAT(_xlfn.XLOOKUP("[S05_DefaultValues][585][InstallationCategory]",Submission!$O:$O,Submission!$H:$N,""))</f>
        <v/>
      </c>
      <c r="D787" s="350"/>
      <c r="E787" s="350"/>
      <c r="F787" s="350"/>
      <c r="G787" s="347"/>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81" t="str">
        <f>_xlfn.CONCAT(_xlfn.XLOOKUP("[S05_DefaultValues][586][InstallationCategory]",Submission!$O:$O,Submission!$H:$N,""))</f>
        <v/>
      </c>
      <c r="D788" s="350"/>
      <c r="E788" s="350"/>
      <c r="F788" s="350"/>
      <c r="G788" s="347"/>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81" t="str">
        <f>_xlfn.CONCAT(_xlfn.XLOOKUP("[S05_DefaultValues][587][InstallationCategory]",Submission!$O:$O,Submission!$H:$N,""))</f>
        <v/>
      </c>
      <c r="D789" s="350"/>
      <c r="E789" s="350"/>
      <c r="F789" s="350"/>
      <c r="G789" s="347"/>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81" t="str">
        <f>_xlfn.CONCAT(_xlfn.XLOOKUP("[S05_DefaultValues][588][InstallationCategory]",Submission!$O:$O,Submission!$H:$N,""))</f>
        <v/>
      </c>
      <c r="D790" s="350"/>
      <c r="E790" s="350"/>
      <c r="F790" s="350"/>
      <c r="G790" s="347"/>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81" t="str">
        <f>_xlfn.CONCAT(_xlfn.XLOOKUP("[S05_DefaultValues][589][InstallationCategory]",Submission!$O:$O,Submission!$H:$N,""))</f>
        <v/>
      </c>
      <c r="D791" s="350"/>
      <c r="E791" s="350"/>
      <c r="F791" s="350"/>
      <c r="G791" s="347"/>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81" t="str">
        <f>_xlfn.CONCAT(_xlfn.XLOOKUP("[S05_DefaultValues][590][InstallationCategory]",Submission!$O:$O,Submission!$H:$N,""))</f>
        <v/>
      </c>
      <c r="D792" s="350"/>
      <c r="E792" s="350"/>
      <c r="F792" s="350"/>
      <c r="G792" s="347"/>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81" t="str">
        <f>_xlfn.CONCAT(_xlfn.XLOOKUP("[S05_DefaultValues][591][InstallationCategory]",Submission!$O:$O,Submission!$H:$N,""))</f>
        <v/>
      </c>
      <c r="D793" s="350"/>
      <c r="E793" s="350"/>
      <c r="F793" s="350"/>
      <c r="G793" s="347"/>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81" t="str">
        <f>_xlfn.CONCAT(_xlfn.XLOOKUP("[S05_DefaultValues][592][InstallationCategory]",Submission!$O:$O,Submission!$H:$N,""))</f>
        <v/>
      </c>
      <c r="D794" s="350"/>
      <c r="E794" s="350"/>
      <c r="F794" s="350"/>
      <c r="G794" s="347"/>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81" t="str">
        <f>_xlfn.CONCAT(_xlfn.XLOOKUP("[S05_DefaultValues][593][InstallationCategory]",Submission!$O:$O,Submission!$H:$N,""))</f>
        <v/>
      </c>
      <c r="D795" s="350"/>
      <c r="E795" s="350"/>
      <c r="F795" s="350"/>
      <c r="G795" s="347"/>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81" t="str">
        <f>_xlfn.CONCAT(_xlfn.XLOOKUP("[S05_DefaultValues][594][InstallationCategory]",Submission!$O:$O,Submission!$H:$N,""))</f>
        <v/>
      </c>
      <c r="D796" s="350"/>
      <c r="E796" s="350"/>
      <c r="F796" s="350"/>
      <c r="G796" s="347"/>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81" t="str">
        <f>_xlfn.CONCAT(_xlfn.XLOOKUP("[S05_DefaultValues][595][InstallationCategory]",Submission!$O:$O,Submission!$H:$N,""))</f>
        <v/>
      </c>
      <c r="D797" s="350"/>
      <c r="E797" s="350"/>
      <c r="F797" s="350"/>
      <c r="G797" s="347"/>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81" t="str">
        <f>_xlfn.CONCAT(_xlfn.XLOOKUP("[S05_DefaultValues][596][InstallationCategory]",Submission!$O:$O,Submission!$H:$N,""))</f>
        <v/>
      </c>
      <c r="D798" s="350"/>
      <c r="E798" s="350"/>
      <c r="F798" s="350"/>
      <c r="G798" s="347"/>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81" t="str">
        <f>_xlfn.CONCAT(_xlfn.XLOOKUP("[S05_DefaultValues][597][InstallationCategory]",Submission!$O:$O,Submission!$H:$N,""))</f>
        <v/>
      </c>
      <c r="D799" s="350"/>
      <c r="E799" s="350"/>
      <c r="F799" s="350"/>
      <c r="G799" s="347"/>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81" t="str">
        <f>_xlfn.CONCAT(_xlfn.XLOOKUP("[S05_DefaultValues][598][InstallationCategory]",Submission!$O:$O,Submission!$H:$N,""))</f>
        <v/>
      </c>
      <c r="D800" s="350"/>
      <c r="E800" s="350"/>
      <c r="F800" s="350"/>
      <c r="G800" s="347"/>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81" t="str">
        <f>_xlfn.CONCAT(_xlfn.XLOOKUP("[S05_DefaultValues][599][InstallationCategory]",Submission!$O:$O,Submission!$H:$N,""))</f>
        <v/>
      </c>
      <c r="D801" s="350"/>
      <c r="E801" s="350"/>
      <c r="F801" s="350"/>
      <c r="G801" s="347"/>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81" t="str">
        <f>_xlfn.CONCAT(_xlfn.XLOOKUP("[S05_DefaultValues][600][InstallationCategory]",Submission!$O:$O,Submission!$H:$N,""))</f>
        <v/>
      </c>
      <c r="D802" s="350"/>
      <c r="E802" s="350"/>
      <c r="F802" s="350"/>
      <c r="G802" s="347"/>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81" t="str">
        <f>_xlfn.CONCAT(_xlfn.XLOOKUP("[S05_DefaultValues][601][InstallationCategory]",Submission!$O:$O,Submission!$H:$N,""))</f>
        <v/>
      </c>
      <c r="D803" s="350"/>
      <c r="E803" s="350"/>
      <c r="F803" s="350"/>
      <c r="G803" s="347"/>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81" t="str">
        <f>_xlfn.CONCAT(_xlfn.XLOOKUP("[S05_DefaultValues][602][InstallationCategory]",Submission!$O:$O,Submission!$H:$N,""))</f>
        <v/>
      </c>
      <c r="D804" s="350"/>
      <c r="E804" s="350"/>
      <c r="F804" s="350"/>
      <c r="G804" s="347"/>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81" t="str">
        <f>_xlfn.CONCAT(_xlfn.XLOOKUP("[S05_DefaultValues][603][InstallationCategory]",Submission!$O:$O,Submission!$H:$N,""))</f>
        <v/>
      </c>
      <c r="D805" s="350"/>
      <c r="E805" s="350"/>
      <c r="F805" s="350"/>
      <c r="G805" s="347"/>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81" t="str">
        <f>_xlfn.CONCAT(_xlfn.XLOOKUP("[S05_DefaultValues][604][InstallationCategory]",Submission!$O:$O,Submission!$H:$N,""))</f>
        <v/>
      </c>
      <c r="D806" s="350"/>
      <c r="E806" s="350"/>
      <c r="F806" s="350"/>
      <c r="G806" s="347"/>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81" t="str">
        <f>_xlfn.CONCAT(_xlfn.XLOOKUP("[S05_DefaultValues][605][InstallationCategory]",Submission!$O:$O,Submission!$H:$N,""))</f>
        <v/>
      </c>
      <c r="D807" s="350"/>
      <c r="E807" s="350"/>
      <c r="F807" s="350"/>
      <c r="G807" s="347"/>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81" t="str">
        <f>_xlfn.CONCAT(_xlfn.XLOOKUP("[S05_DefaultValues][606][InstallationCategory]",Submission!$O:$O,Submission!$H:$N,""))</f>
        <v/>
      </c>
      <c r="D808" s="350"/>
      <c r="E808" s="350"/>
      <c r="F808" s="350"/>
      <c r="G808" s="347"/>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81" t="str">
        <f>_xlfn.CONCAT(_xlfn.XLOOKUP("[S05_DefaultValues][607][InstallationCategory]",Submission!$O:$O,Submission!$H:$N,""))</f>
        <v/>
      </c>
      <c r="D809" s="350"/>
      <c r="E809" s="350"/>
      <c r="F809" s="350"/>
      <c r="G809" s="347"/>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81" t="str">
        <f>_xlfn.CONCAT(_xlfn.XLOOKUP("[S05_DefaultValues][608][InstallationCategory]",Submission!$O:$O,Submission!$H:$N,""))</f>
        <v/>
      </c>
      <c r="D810" s="350"/>
      <c r="E810" s="350"/>
      <c r="F810" s="350"/>
      <c r="G810" s="347"/>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81" t="str">
        <f>_xlfn.CONCAT(_xlfn.XLOOKUP("[S05_DefaultValues][609][InstallationCategory]",Submission!$O:$O,Submission!$H:$N,""))</f>
        <v/>
      </c>
      <c r="D811" s="350"/>
      <c r="E811" s="350"/>
      <c r="F811" s="350"/>
      <c r="G811" s="347"/>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81" t="str">
        <f>_xlfn.CONCAT(_xlfn.XLOOKUP("[S05_DefaultValues][610][InstallationCategory]",Submission!$O:$O,Submission!$H:$N,""))</f>
        <v/>
      </c>
      <c r="D812" s="350"/>
      <c r="E812" s="350"/>
      <c r="F812" s="350"/>
      <c r="G812" s="347"/>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81" t="str">
        <f>_xlfn.CONCAT(_xlfn.XLOOKUP("[S05_DefaultValues][611][InstallationCategory]",Submission!$O:$O,Submission!$H:$N,""))</f>
        <v/>
      </c>
      <c r="D813" s="350"/>
      <c r="E813" s="350"/>
      <c r="F813" s="350"/>
      <c r="G813" s="347"/>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81" t="str">
        <f>_xlfn.CONCAT(_xlfn.XLOOKUP("[S05_DefaultValues][612][InstallationCategory]",Submission!$O:$O,Submission!$H:$N,""))</f>
        <v/>
      </c>
      <c r="D814" s="350"/>
      <c r="E814" s="350"/>
      <c r="F814" s="350"/>
      <c r="G814" s="347"/>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81" t="str">
        <f>_xlfn.CONCAT(_xlfn.XLOOKUP("[S05_DefaultValues][613][InstallationCategory]",Submission!$O:$O,Submission!$H:$N,""))</f>
        <v/>
      </c>
      <c r="D815" s="350"/>
      <c r="E815" s="350"/>
      <c r="F815" s="350"/>
      <c r="G815" s="347"/>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81" t="str">
        <f>_xlfn.CONCAT(_xlfn.XLOOKUP("[S05_DefaultValues][614][InstallationCategory]",Submission!$O:$O,Submission!$H:$N,""))</f>
        <v/>
      </c>
      <c r="D816" s="350"/>
      <c r="E816" s="350"/>
      <c r="F816" s="350"/>
      <c r="G816" s="347"/>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81" t="str">
        <f>_xlfn.CONCAT(_xlfn.XLOOKUP("[S05_DefaultValues][615][InstallationCategory]",Submission!$O:$O,Submission!$H:$N,""))</f>
        <v/>
      </c>
      <c r="D817" s="350"/>
      <c r="E817" s="350"/>
      <c r="F817" s="350"/>
      <c r="G817" s="347"/>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81" t="str">
        <f>_xlfn.CONCAT(_xlfn.XLOOKUP("[S05_DefaultValues][616][InstallationCategory]",Submission!$O:$O,Submission!$H:$N,""))</f>
        <v/>
      </c>
      <c r="D818" s="350"/>
      <c r="E818" s="350"/>
      <c r="F818" s="350"/>
      <c r="G818" s="347"/>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81" t="str">
        <f>_xlfn.CONCAT(_xlfn.XLOOKUP("[S05_DefaultValues][617][InstallationCategory]",Submission!$O:$O,Submission!$H:$N,""))</f>
        <v/>
      </c>
      <c r="D819" s="350"/>
      <c r="E819" s="350"/>
      <c r="F819" s="350"/>
      <c r="G819" s="347"/>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81" t="str">
        <f>_xlfn.CONCAT(_xlfn.XLOOKUP("[S05_DefaultValues][618][InstallationCategory]",Submission!$O:$O,Submission!$H:$N,""))</f>
        <v/>
      </c>
      <c r="D820" s="350"/>
      <c r="E820" s="350"/>
      <c r="F820" s="350"/>
      <c r="G820" s="347"/>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81" t="str">
        <f>_xlfn.CONCAT(_xlfn.XLOOKUP("[S05_DefaultValues][619][InstallationCategory]",Submission!$O:$O,Submission!$H:$N,""))</f>
        <v/>
      </c>
      <c r="D821" s="350"/>
      <c r="E821" s="350"/>
      <c r="F821" s="350"/>
      <c r="G821" s="347"/>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81" t="str">
        <f>_xlfn.CONCAT(_xlfn.XLOOKUP("[S05_DefaultValues][620][InstallationCategory]",Submission!$O:$O,Submission!$H:$N,""))</f>
        <v/>
      </c>
      <c r="D822" s="350"/>
      <c r="E822" s="350"/>
      <c r="F822" s="350"/>
      <c r="G822" s="347"/>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81" t="str">
        <f>_xlfn.CONCAT(_xlfn.XLOOKUP("[S05_DefaultValues][621][InstallationCategory]",Submission!$O:$O,Submission!$H:$N,""))</f>
        <v/>
      </c>
      <c r="D823" s="350"/>
      <c r="E823" s="350"/>
      <c r="F823" s="350"/>
      <c r="G823" s="347"/>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81" t="str">
        <f>_xlfn.CONCAT(_xlfn.XLOOKUP("[S05_DefaultValues][622][InstallationCategory]",Submission!$O:$O,Submission!$H:$N,""))</f>
        <v/>
      </c>
      <c r="D824" s="350"/>
      <c r="E824" s="350"/>
      <c r="F824" s="350"/>
      <c r="G824" s="347"/>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81" t="str">
        <f>_xlfn.CONCAT(_xlfn.XLOOKUP("[S05_DefaultValues][623][InstallationCategory]",Submission!$O:$O,Submission!$H:$N,""))</f>
        <v/>
      </c>
      <c r="D825" s="350"/>
      <c r="E825" s="350"/>
      <c r="F825" s="350"/>
      <c r="G825" s="347"/>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81" t="str">
        <f>_xlfn.CONCAT(_xlfn.XLOOKUP("[S05_DefaultValues][624][InstallationCategory]",Submission!$O:$O,Submission!$H:$N,""))</f>
        <v/>
      </c>
      <c r="D826" s="350"/>
      <c r="E826" s="350"/>
      <c r="F826" s="350"/>
      <c r="G826" s="347"/>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81" t="str">
        <f>_xlfn.CONCAT(_xlfn.XLOOKUP("[S05_DefaultValues][625][InstallationCategory]",Submission!$O:$O,Submission!$H:$N,""))</f>
        <v/>
      </c>
      <c r="D827" s="350"/>
      <c r="E827" s="350"/>
      <c r="F827" s="350"/>
      <c r="G827" s="347"/>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81" t="str">
        <f>_xlfn.CONCAT(_xlfn.XLOOKUP("[S05_DefaultValues][626][InstallationCategory]",Submission!$O:$O,Submission!$H:$N,""))</f>
        <v/>
      </c>
      <c r="D828" s="350"/>
      <c r="E828" s="350"/>
      <c r="F828" s="350"/>
      <c r="G828" s="347"/>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81" t="str">
        <f>_xlfn.CONCAT(_xlfn.XLOOKUP("[S05_DefaultValues][627][InstallationCategory]",Submission!$O:$O,Submission!$H:$N,""))</f>
        <v/>
      </c>
      <c r="D829" s="350"/>
      <c r="E829" s="350"/>
      <c r="F829" s="350"/>
      <c r="G829" s="347"/>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81" t="str">
        <f>_xlfn.CONCAT(_xlfn.XLOOKUP("[S05_DefaultValues][628][InstallationCategory]",Submission!$O:$O,Submission!$H:$N,""))</f>
        <v/>
      </c>
      <c r="D830" s="350"/>
      <c r="E830" s="350"/>
      <c r="F830" s="350"/>
      <c r="G830" s="347"/>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81" t="str">
        <f>_xlfn.CONCAT(_xlfn.XLOOKUP("[S05_DefaultValues][629][InstallationCategory]",Submission!$O:$O,Submission!$H:$N,""))</f>
        <v/>
      </c>
      <c r="D831" s="350"/>
      <c r="E831" s="350"/>
      <c r="F831" s="350"/>
      <c r="G831" s="347"/>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81" t="str">
        <f>_xlfn.CONCAT(_xlfn.XLOOKUP("[S05_DefaultValues][630][InstallationCategory]",Submission!$O:$O,Submission!$H:$N,""))</f>
        <v/>
      </c>
      <c r="D832" s="350"/>
      <c r="E832" s="350"/>
      <c r="F832" s="350"/>
      <c r="G832" s="347"/>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81" t="str">
        <f>_xlfn.CONCAT(_xlfn.XLOOKUP("[S05_DefaultValues][631][InstallationCategory]",Submission!$O:$O,Submission!$H:$N,""))</f>
        <v/>
      </c>
      <c r="D833" s="350"/>
      <c r="E833" s="350"/>
      <c r="F833" s="350"/>
      <c r="G833" s="347"/>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81" t="str">
        <f>_xlfn.CONCAT(_xlfn.XLOOKUP("[S05_DefaultValues][632][InstallationCategory]",Submission!$O:$O,Submission!$H:$N,""))</f>
        <v/>
      </c>
      <c r="D834" s="350"/>
      <c r="E834" s="350"/>
      <c r="F834" s="350"/>
      <c r="G834" s="347"/>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81" t="str">
        <f>_xlfn.CONCAT(_xlfn.XLOOKUP("[S05_DefaultValues][633][InstallationCategory]",Submission!$O:$O,Submission!$H:$N,""))</f>
        <v/>
      </c>
      <c r="D835" s="350"/>
      <c r="E835" s="350"/>
      <c r="F835" s="350"/>
      <c r="G835" s="347"/>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81" t="str">
        <f>_xlfn.CONCAT(_xlfn.XLOOKUP("[S05_DefaultValues][634][InstallationCategory]",Submission!$O:$O,Submission!$H:$N,""))</f>
        <v/>
      </c>
      <c r="D836" s="350"/>
      <c r="E836" s="350"/>
      <c r="F836" s="350"/>
      <c r="G836" s="347"/>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81" t="str">
        <f>_xlfn.CONCAT(_xlfn.XLOOKUP("[S05_DefaultValues][635][InstallationCategory]",Submission!$O:$O,Submission!$H:$N,""))</f>
        <v/>
      </c>
      <c r="D837" s="350"/>
      <c r="E837" s="350"/>
      <c r="F837" s="350"/>
      <c r="G837" s="347"/>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81" t="str">
        <f>_xlfn.CONCAT(_xlfn.XLOOKUP("[S05_DefaultValues][636][InstallationCategory]",Submission!$O:$O,Submission!$H:$N,""))</f>
        <v/>
      </c>
      <c r="D838" s="350"/>
      <c r="E838" s="350"/>
      <c r="F838" s="350"/>
      <c r="G838" s="347"/>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81" t="str">
        <f>_xlfn.CONCAT(_xlfn.XLOOKUP("[S05_DefaultValues][637][InstallationCategory]",Submission!$O:$O,Submission!$H:$N,""))</f>
        <v/>
      </c>
      <c r="D839" s="350"/>
      <c r="E839" s="350"/>
      <c r="F839" s="350"/>
      <c r="G839" s="347"/>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81" t="str">
        <f>_xlfn.CONCAT(_xlfn.XLOOKUP("[S05_DefaultValues][638][InstallationCategory]",Submission!$O:$O,Submission!$H:$N,""))</f>
        <v/>
      </c>
      <c r="D840" s="350"/>
      <c r="E840" s="350"/>
      <c r="F840" s="350"/>
      <c r="G840" s="347"/>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81" t="str">
        <f>_xlfn.CONCAT(_xlfn.XLOOKUP("[S05_DefaultValues][639][InstallationCategory]",Submission!$O:$O,Submission!$H:$N,""))</f>
        <v/>
      </c>
      <c r="D841" s="350"/>
      <c r="E841" s="350"/>
      <c r="F841" s="350"/>
      <c r="G841" s="347"/>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81" t="str">
        <f>_xlfn.CONCAT(_xlfn.XLOOKUP("[S05_DefaultValues][640][InstallationCategory]",Submission!$O:$O,Submission!$H:$N,""))</f>
        <v/>
      </c>
      <c r="D842" s="350"/>
      <c r="E842" s="350"/>
      <c r="F842" s="350"/>
      <c r="G842" s="347"/>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81" t="str">
        <f>_xlfn.CONCAT(_xlfn.XLOOKUP("[S05_DefaultValues][641][InstallationCategory]",Submission!$O:$O,Submission!$H:$N,""))</f>
        <v/>
      </c>
      <c r="D843" s="350"/>
      <c r="E843" s="350"/>
      <c r="F843" s="350"/>
      <c r="G843" s="347"/>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81" t="str">
        <f>_xlfn.CONCAT(_xlfn.XLOOKUP("[S05_DefaultValues][642][InstallationCategory]",Submission!$O:$O,Submission!$H:$N,""))</f>
        <v/>
      </c>
      <c r="D844" s="350"/>
      <c r="E844" s="350"/>
      <c r="F844" s="350"/>
      <c r="G844" s="347"/>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81" t="str">
        <f>_xlfn.CONCAT(_xlfn.XLOOKUP("[S05_DefaultValues][643][InstallationCategory]",Submission!$O:$O,Submission!$H:$N,""))</f>
        <v/>
      </c>
      <c r="D845" s="350"/>
      <c r="E845" s="350"/>
      <c r="F845" s="350"/>
      <c r="G845" s="347"/>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81" t="str">
        <f>_xlfn.CONCAT(_xlfn.XLOOKUP("[S05_DefaultValues][644][InstallationCategory]",Submission!$O:$O,Submission!$H:$N,""))</f>
        <v/>
      </c>
      <c r="D846" s="350"/>
      <c r="E846" s="350"/>
      <c r="F846" s="350"/>
      <c r="G846" s="347"/>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81" t="str">
        <f>_xlfn.CONCAT(_xlfn.XLOOKUP("[S05_DefaultValues][645][InstallationCategory]",Submission!$O:$O,Submission!$H:$N,""))</f>
        <v/>
      </c>
      <c r="D847" s="350"/>
      <c r="E847" s="350"/>
      <c r="F847" s="350"/>
      <c r="G847" s="347"/>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81" t="str">
        <f>_xlfn.CONCAT(_xlfn.XLOOKUP("[S05_DefaultValues][646][InstallationCategory]",Submission!$O:$O,Submission!$H:$N,""))</f>
        <v/>
      </c>
      <c r="D848" s="350"/>
      <c r="E848" s="350"/>
      <c r="F848" s="350"/>
      <c r="G848" s="347"/>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81" t="str">
        <f>_xlfn.CONCAT(_xlfn.XLOOKUP("[S05_DefaultValues][647][InstallationCategory]",Submission!$O:$O,Submission!$H:$N,""))</f>
        <v/>
      </c>
      <c r="D849" s="350"/>
      <c r="E849" s="350"/>
      <c r="F849" s="350"/>
      <c r="G849" s="347"/>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81" t="str">
        <f>_xlfn.CONCAT(_xlfn.XLOOKUP("[S05_DefaultValues][648][InstallationCategory]",Submission!$O:$O,Submission!$H:$N,""))</f>
        <v/>
      </c>
      <c r="D850" s="350"/>
      <c r="E850" s="350"/>
      <c r="F850" s="350"/>
      <c r="G850" s="347"/>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81" t="str">
        <f>_xlfn.CONCAT(_xlfn.XLOOKUP("[S05_DefaultValues][649][InstallationCategory]",Submission!$O:$O,Submission!$H:$N,""))</f>
        <v/>
      </c>
      <c r="D851" s="350"/>
      <c r="E851" s="350"/>
      <c r="F851" s="350"/>
      <c r="G851" s="347"/>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81" t="str">
        <f>_xlfn.CONCAT(_xlfn.XLOOKUP("[S05_DefaultValues][650][InstallationCategory]",Submission!$O:$O,Submission!$H:$N,""))</f>
        <v/>
      </c>
      <c r="D852" s="350"/>
      <c r="E852" s="350"/>
      <c r="F852" s="350"/>
      <c r="G852" s="347"/>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81" t="str">
        <f>_xlfn.CONCAT(_xlfn.XLOOKUP("[S05_DefaultValues][651][InstallationCategory]",Submission!$O:$O,Submission!$H:$N,""))</f>
        <v/>
      </c>
      <c r="D853" s="350"/>
      <c r="E853" s="350"/>
      <c r="F853" s="350"/>
      <c r="G853" s="347"/>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81" t="str">
        <f>_xlfn.CONCAT(_xlfn.XLOOKUP("[S05_DefaultValues][652][InstallationCategory]",Submission!$O:$O,Submission!$H:$N,""))</f>
        <v/>
      </c>
      <c r="D854" s="350"/>
      <c r="E854" s="350"/>
      <c r="F854" s="350"/>
      <c r="G854" s="347"/>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81" t="str">
        <f>_xlfn.CONCAT(_xlfn.XLOOKUP("[S05_DefaultValues][653][InstallationCategory]",Submission!$O:$O,Submission!$H:$N,""))</f>
        <v/>
      </c>
      <c r="D855" s="350"/>
      <c r="E855" s="350"/>
      <c r="F855" s="350"/>
      <c r="G855" s="347"/>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81" t="str">
        <f>_xlfn.CONCAT(_xlfn.XLOOKUP("[S05_DefaultValues][654][InstallationCategory]",Submission!$O:$O,Submission!$H:$N,""))</f>
        <v/>
      </c>
      <c r="D856" s="350"/>
      <c r="E856" s="350"/>
      <c r="F856" s="350"/>
      <c r="G856" s="347"/>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81" t="str">
        <f>_xlfn.CONCAT(_xlfn.XLOOKUP("[S05_DefaultValues][655][InstallationCategory]",Submission!$O:$O,Submission!$H:$N,""))</f>
        <v/>
      </c>
      <c r="D857" s="350"/>
      <c r="E857" s="350"/>
      <c r="F857" s="350"/>
      <c r="G857" s="347"/>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81" t="str">
        <f>_xlfn.CONCAT(_xlfn.XLOOKUP("[S05_DefaultValues][656][InstallationCategory]",Submission!$O:$O,Submission!$H:$N,""))</f>
        <v/>
      </c>
      <c r="D858" s="350"/>
      <c r="E858" s="350"/>
      <c r="F858" s="350"/>
      <c r="G858" s="347"/>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81" t="str">
        <f>_xlfn.CONCAT(_xlfn.XLOOKUP("[S05_DefaultValues][657][InstallationCategory]",Submission!$O:$O,Submission!$H:$N,""))</f>
        <v/>
      </c>
      <c r="D859" s="350"/>
      <c r="E859" s="350"/>
      <c r="F859" s="350"/>
      <c r="G859" s="347"/>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81" t="str">
        <f>_xlfn.CONCAT(_xlfn.XLOOKUP("[S05_DefaultValues][658][InstallationCategory]",Submission!$O:$O,Submission!$H:$N,""))</f>
        <v/>
      </c>
      <c r="D860" s="350"/>
      <c r="E860" s="350"/>
      <c r="F860" s="350"/>
      <c r="G860" s="347"/>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81" t="str">
        <f>_xlfn.CONCAT(_xlfn.XLOOKUP("[S05_DefaultValues][659][InstallationCategory]",Submission!$O:$O,Submission!$H:$N,""))</f>
        <v/>
      </c>
      <c r="D861" s="350"/>
      <c r="E861" s="350"/>
      <c r="F861" s="350"/>
      <c r="G861" s="347"/>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81" t="str">
        <f>_xlfn.CONCAT(_xlfn.XLOOKUP("[S05_DefaultValues][660][InstallationCategory]",Submission!$O:$O,Submission!$H:$N,""))</f>
        <v/>
      </c>
      <c r="D862" s="350"/>
      <c r="E862" s="350"/>
      <c r="F862" s="350"/>
      <c r="G862" s="347"/>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81" t="str">
        <f>_xlfn.CONCAT(_xlfn.XLOOKUP("[S05_DefaultValues][661][InstallationCategory]",Submission!$O:$O,Submission!$H:$N,""))</f>
        <v/>
      </c>
      <c r="D863" s="350"/>
      <c r="E863" s="350"/>
      <c r="F863" s="350"/>
      <c r="G863" s="347"/>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81" t="str">
        <f>_xlfn.CONCAT(_xlfn.XLOOKUP("[S05_DefaultValues][662][InstallationCategory]",Submission!$O:$O,Submission!$H:$N,""))</f>
        <v/>
      </c>
      <c r="D864" s="350"/>
      <c r="E864" s="350"/>
      <c r="F864" s="350"/>
      <c r="G864" s="347"/>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81" t="str">
        <f>_xlfn.CONCAT(_xlfn.XLOOKUP("[S05_DefaultValues][663][InstallationCategory]",Submission!$O:$O,Submission!$H:$N,""))</f>
        <v/>
      </c>
      <c r="D865" s="350"/>
      <c r="E865" s="350"/>
      <c r="F865" s="350"/>
      <c r="G865" s="347"/>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81" t="str">
        <f>_xlfn.CONCAT(_xlfn.XLOOKUP("[S05_DefaultValues][664][InstallationCategory]",Submission!$O:$O,Submission!$H:$N,""))</f>
        <v/>
      </c>
      <c r="D866" s="350"/>
      <c r="E866" s="350"/>
      <c r="F866" s="350"/>
      <c r="G866" s="347"/>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81" t="str">
        <f>_xlfn.CONCAT(_xlfn.XLOOKUP("[S05_DefaultValues][665][InstallationCategory]",Submission!$O:$O,Submission!$H:$N,""))</f>
        <v/>
      </c>
      <c r="D867" s="350"/>
      <c r="E867" s="350"/>
      <c r="F867" s="350"/>
      <c r="G867" s="347"/>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81" t="str">
        <f>_xlfn.CONCAT(_xlfn.XLOOKUP("[S05_DefaultValues][666][InstallationCategory]",Submission!$O:$O,Submission!$H:$N,""))</f>
        <v/>
      </c>
      <c r="D868" s="350"/>
      <c r="E868" s="350"/>
      <c r="F868" s="350"/>
      <c r="G868" s="347"/>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81" t="str">
        <f>_xlfn.CONCAT(_xlfn.XLOOKUP("[S05_DefaultValues][667][InstallationCategory]",Submission!$O:$O,Submission!$H:$N,""))</f>
        <v/>
      </c>
      <c r="D869" s="350"/>
      <c r="E869" s="350"/>
      <c r="F869" s="350"/>
      <c r="G869" s="347"/>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81" t="str">
        <f>_xlfn.CONCAT(_xlfn.XLOOKUP("[S05_DefaultValues][668][InstallationCategory]",Submission!$O:$O,Submission!$H:$N,""))</f>
        <v/>
      </c>
      <c r="D870" s="350"/>
      <c r="E870" s="350"/>
      <c r="F870" s="350"/>
      <c r="G870" s="347"/>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81" t="str">
        <f>_xlfn.CONCAT(_xlfn.XLOOKUP("[S05_DefaultValues][669][InstallationCategory]",Submission!$O:$O,Submission!$H:$N,""))</f>
        <v/>
      </c>
      <c r="D871" s="350"/>
      <c r="E871" s="350"/>
      <c r="F871" s="350"/>
      <c r="G871" s="347"/>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81" t="str">
        <f>_xlfn.CONCAT(_xlfn.XLOOKUP("[S05_DefaultValues][670][InstallationCategory]",Submission!$O:$O,Submission!$H:$N,""))</f>
        <v/>
      </c>
      <c r="D872" s="350"/>
      <c r="E872" s="350"/>
      <c r="F872" s="350"/>
      <c r="G872" s="347"/>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81" t="str">
        <f>_xlfn.CONCAT(_xlfn.XLOOKUP("[S05_DefaultValues][671][InstallationCategory]",Submission!$O:$O,Submission!$H:$N,""))</f>
        <v/>
      </c>
      <c r="D873" s="350"/>
      <c r="E873" s="350"/>
      <c r="F873" s="350"/>
      <c r="G873" s="347"/>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81" t="str">
        <f>_xlfn.CONCAT(_xlfn.XLOOKUP("[S05_DefaultValues][672][InstallationCategory]",Submission!$O:$O,Submission!$H:$N,""))</f>
        <v/>
      </c>
      <c r="D874" s="350"/>
      <c r="E874" s="350"/>
      <c r="F874" s="350"/>
      <c r="G874" s="347"/>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81" t="str">
        <f>_xlfn.CONCAT(_xlfn.XLOOKUP("[S05_DefaultValues][673][InstallationCategory]",Submission!$O:$O,Submission!$H:$N,""))</f>
        <v/>
      </c>
      <c r="D875" s="350"/>
      <c r="E875" s="350"/>
      <c r="F875" s="350"/>
      <c r="G875" s="347"/>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81" t="str">
        <f>_xlfn.CONCAT(_xlfn.XLOOKUP("[S05_DefaultValues][674][InstallationCategory]",Submission!$O:$O,Submission!$H:$N,""))</f>
        <v/>
      </c>
      <c r="D876" s="350"/>
      <c r="E876" s="350"/>
      <c r="F876" s="350"/>
      <c r="G876" s="347"/>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81" t="str">
        <f>_xlfn.CONCAT(_xlfn.XLOOKUP("[S05_DefaultValues][675][InstallationCategory]",Submission!$O:$O,Submission!$H:$N,""))</f>
        <v/>
      </c>
      <c r="D877" s="350"/>
      <c r="E877" s="350"/>
      <c r="F877" s="350"/>
      <c r="G877" s="347"/>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81" t="str">
        <f>_xlfn.CONCAT(_xlfn.XLOOKUP("[S05_DefaultValues][676][InstallationCategory]",Submission!$O:$O,Submission!$H:$N,""))</f>
        <v/>
      </c>
      <c r="D878" s="350"/>
      <c r="E878" s="350"/>
      <c r="F878" s="350"/>
      <c r="G878" s="347"/>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81" t="str">
        <f>_xlfn.CONCAT(_xlfn.XLOOKUP("[S05_DefaultValues][677][InstallationCategory]",Submission!$O:$O,Submission!$H:$N,""))</f>
        <v/>
      </c>
      <c r="D879" s="350"/>
      <c r="E879" s="350"/>
      <c r="F879" s="350"/>
      <c r="G879" s="347"/>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81" t="str">
        <f>_xlfn.CONCAT(_xlfn.XLOOKUP("[S05_DefaultValues][678][InstallationCategory]",Submission!$O:$O,Submission!$H:$N,""))</f>
        <v/>
      </c>
      <c r="D880" s="350"/>
      <c r="E880" s="350"/>
      <c r="F880" s="350"/>
      <c r="G880" s="347"/>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81" t="str">
        <f>_xlfn.CONCAT(_xlfn.XLOOKUP("[S05_DefaultValues][679][InstallationCategory]",Submission!$O:$O,Submission!$H:$N,""))</f>
        <v/>
      </c>
      <c r="D881" s="350"/>
      <c r="E881" s="350"/>
      <c r="F881" s="350"/>
      <c r="G881" s="347"/>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81" t="str">
        <f>_xlfn.CONCAT(_xlfn.XLOOKUP("[S05_DefaultValues][680][InstallationCategory]",Submission!$O:$O,Submission!$H:$N,""))</f>
        <v/>
      </c>
      <c r="D882" s="350"/>
      <c r="E882" s="350"/>
      <c r="F882" s="350"/>
      <c r="G882" s="347"/>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81" t="str">
        <f>_xlfn.CONCAT(_xlfn.XLOOKUP("[S05_DefaultValues][681][InstallationCategory]",Submission!$O:$O,Submission!$H:$N,""))</f>
        <v/>
      </c>
      <c r="D883" s="350"/>
      <c r="E883" s="350"/>
      <c r="F883" s="350"/>
      <c r="G883" s="347"/>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81" t="str">
        <f>_xlfn.CONCAT(_xlfn.XLOOKUP("[S05_DefaultValues][682][InstallationCategory]",Submission!$O:$O,Submission!$H:$N,""))</f>
        <v/>
      </c>
      <c r="D884" s="350"/>
      <c r="E884" s="350"/>
      <c r="F884" s="350"/>
      <c r="G884" s="347"/>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81" t="str">
        <f>_xlfn.CONCAT(_xlfn.XLOOKUP("[S05_DefaultValues][683][InstallationCategory]",Submission!$O:$O,Submission!$H:$N,""))</f>
        <v/>
      </c>
      <c r="D885" s="350"/>
      <c r="E885" s="350"/>
      <c r="F885" s="350"/>
      <c r="G885" s="347"/>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81" t="str">
        <f>_xlfn.CONCAT(_xlfn.XLOOKUP("[S05_DefaultValues][684][InstallationCategory]",Submission!$O:$O,Submission!$H:$N,""))</f>
        <v/>
      </c>
      <c r="D886" s="350"/>
      <c r="E886" s="350"/>
      <c r="F886" s="350"/>
      <c r="G886" s="347"/>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81" t="str">
        <f>_xlfn.CONCAT(_xlfn.XLOOKUP("[S05_DefaultValues][685][InstallationCategory]",Submission!$O:$O,Submission!$H:$N,""))</f>
        <v/>
      </c>
      <c r="D887" s="350"/>
      <c r="E887" s="350"/>
      <c r="F887" s="350"/>
      <c r="G887" s="347"/>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81" t="str">
        <f>_xlfn.CONCAT(_xlfn.XLOOKUP("[S05_DefaultValues][686][InstallationCategory]",Submission!$O:$O,Submission!$H:$N,""))</f>
        <v/>
      </c>
      <c r="D888" s="350"/>
      <c r="E888" s="350"/>
      <c r="F888" s="350"/>
      <c r="G888" s="347"/>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81" t="str">
        <f>_xlfn.CONCAT(_xlfn.XLOOKUP("[S05_DefaultValues][687][InstallationCategory]",Submission!$O:$O,Submission!$H:$N,""))</f>
        <v/>
      </c>
      <c r="D889" s="350"/>
      <c r="E889" s="350"/>
      <c r="F889" s="350"/>
      <c r="G889" s="347"/>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81" t="str">
        <f>_xlfn.CONCAT(_xlfn.XLOOKUP("[S05_DefaultValues][688][InstallationCategory]",Submission!$O:$O,Submission!$H:$N,""))</f>
        <v/>
      </c>
      <c r="D890" s="350"/>
      <c r="E890" s="350"/>
      <c r="F890" s="350"/>
      <c r="G890" s="347"/>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81" t="str">
        <f>_xlfn.CONCAT(_xlfn.XLOOKUP("[S05_DefaultValues][689][InstallationCategory]",Submission!$O:$O,Submission!$H:$N,""))</f>
        <v/>
      </c>
      <c r="D891" s="350"/>
      <c r="E891" s="350"/>
      <c r="F891" s="350"/>
      <c r="G891" s="347"/>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81" t="str">
        <f>_xlfn.CONCAT(_xlfn.XLOOKUP("[S05_DefaultValues][690][InstallationCategory]",Submission!$O:$O,Submission!$H:$N,""))</f>
        <v/>
      </c>
      <c r="D892" s="350"/>
      <c r="E892" s="350"/>
      <c r="F892" s="350"/>
      <c r="G892" s="347"/>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81" t="str">
        <f>_xlfn.CONCAT(_xlfn.XLOOKUP("[S05_DefaultValues][691][InstallationCategory]",Submission!$O:$O,Submission!$H:$N,""))</f>
        <v/>
      </c>
      <c r="D893" s="350"/>
      <c r="E893" s="350"/>
      <c r="F893" s="350"/>
      <c r="G893" s="347"/>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81" t="str">
        <f>_xlfn.CONCAT(_xlfn.XLOOKUP("[S05_DefaultValues][692][InstallationCategory]",Submission!$O:$O,Submission!$H:$N,""))</f>
        <v/>
      </c>
      <c r="D894" s="350"/>
      <c r="E894" s="350"/>
      <c r="F894" s="350"/>
      <c r="G894" s="347"/>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81" t="str">
        <f>_xlfn.CONCAT(_xlfn.XLOOKUP("[S05_DefaultValues][693][InstallationCategory]",Submission!$O:$O,Submission!$H:$N,""))</f>
        <v/>
      </c>
      <c r="D895" s="350"/>
      <c r="E895" s="350"/>
      <c r="F895" s="350"/>
      <c r="G895" s="347"/>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81" t="str">
        <f>_xlfn.CONCAT(_xlfn.XLOOKUP("[S05_DefaultValues][694][InstallationCategory]",Submission!$O:$O,Submission!$H:$N,""))</f>
        <v/>
      </c>
      <c r="D896" s="350"/>
      <c r="E896" s="350"/>
      <c r="F896" s="350"/>
      <c r="G896" s="347"/>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81" t="str">
        <f>_xlfn.CONCAT(_xlfn.XLOOKUP("[S05_DefaultValues][695][InstallationCategory]",Submission!$O:$O,Submission!$H:$N,""))</f>
        <v/>
      </c>
      <c r="D897" s="350"/>
      <c r="E897" s="350"/>
      <c r="F897" s="350"/>
      <c r="G897" s="347"/>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81" t="str">
        <f>_xlfn.CONCAT(_xlfn.XLOOKUP("[S05_DefaultValues][696][InstallationCategory]",Submission!$O:$O,Submission!$H:$N,""))</f>
        <v/>
      </c>
      <c r="D898" s="350"/>
      <c r="E898" s="350"/>
      <c r="F898" s="350"/>
      <c r="G898" s="347"/>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81" t="str">
        <f>_xlfn.CONCAT(_xlfn.XLOOKUP("[S05_DefaultValues][697][InstallationCategory]",Submission!$O:$O,Submission!$H:$N,""))</f>
        <v/>
      </c>
      <c r="D899" s="350"/>
      <c r="E899" s="350"/>
      <c r="F899" s="350"/>
      <c r="G899" s="347"/>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81" t="str">
        <f>_xlfn.CONCAT(_xlfn.XLOOKUP("[S05_DefaultValues][698][InstallationCategory]",Submission!$O:$O,Submission!$H:$N,""))</f>
        <v/>
      </c>
      <c r="D900" s="350"/>
      <c r="E900" s="350"/>
      <c r="F900" s="350"/>
      <c r="G900" s="347"/>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81" t="str">
        <f>_xlfn.CONCAT(_xlfn.XLOOKUP("[S05_DefaultValues][699][InstallationCategory]",Submission!$O:$O,Submission!$H:$N,""))</f>
        <v/>
      </c>
      <c r="D901" s="350"/>
      <c r="E901" s="350"/>
      <c r="F901" s="350"/>
      <c r="G901" s="347"/>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81" t="str">
        <f>_xlfn.CONCAT(_xlfn.XLOOKUP("[S05_DefaultValues][700][InstallationCategory]",Submission!$O:$O,Submission!$H:$N,""))</f>
        <v/>
      </c>
      <c r="D902" s="350"/>
      <c r="E902" s="350"/>
      <c r="F902" s="350"/>
      <c r="G902" s="347"/>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81" t="str">
        <f>_xlfn.CONCAT(_xlfn.XLOOKUP("[S05_DefaultValues][701][InstallationCategory]",Submission!$O:$O,Submission!$H:$N,""))</f>
        <v/>
      </c>
      <c r="D903" s="350"/>
      <c r="E903" s="350"/>
      <c r="F903" s="350"/>
      <c r="G903" s="347"/>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81" t="str">
        <f>_xlfn.CONCAT(_xlfn.XLOOKUP("[S05_DefaultValues][702][InstallationCategory]",Submission!$O:$O,Submission!$H:$N,""))</f>
        <v/>
      </c>
      <c r="D904" s="350"/>
      <c r="E904" s="350"/>
      <c r="F904" s="350"/>
      <c r="G904" s="347"/>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81" t="str">
        <f>_xlfn.CONCAT(_xlfn.XLOOKUP("[S05_DefaultValues][703][InstallationCategory]",Submission!$O:$O,Submission!$H:$N,""))</f>
        <v/>
      </c>
      <c r="D905" s="350"/>
      <c r="E905" s="350"/>
      <c r="F905" s="350"/>
      <c r="G905" s="347"/>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81" t="str">
        <f>_xlfn.CONCAT(_xlfn.XLOOKUP("[S05_DefaultValues][704][InstallationCategory]",Submission!$O:$O,Submission!$H:$N,""))</f>
        <v/>
      </c>
      <c r="D906" s="350"/>
      <c r="E906" s="350"/>
      <c r="F906" s="350"/>
      <c r="G906" s="347"/>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81" t="str">
        <f>_xlfn.CONCAT(_xlfn.XLOOKUP("[S05_DefaultValues][705][InstallationCategory]",Submission!$O:$O,Submission!$H:$N,""))</f>
        <v/>
      </c>
      <c r="D907" s="350"/>
      <c r="E907" s="350"/>
      <c r="F907" s="350"/>
      <c r="G907" s="347"/>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81" t="str">
        <f>_xlfn.CONCAT(_xlfn.XLOOKUP("[S05_DefaultValues][706][InstallationCategory]",Submission!$O:$O,Submission!$H:$N,""))</f>
        <v/>
      </c>
      <c r="D908" s="350"/>
      <c r="E908" s="350"/>
      <c r="F908" s="350"/>
      <c r="G908" s="347"/>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81" t="str">
        <f>_xlfn.CONCAT(_xlfn.XLOOKUP("[S05_DefaultValues][707][InstallationCategory]",Submission!$O:$O,Submission!$H:$N,""))</f>
        <v/>
      </c>
      <c r="D909" s="350"/>
      <c r="E909" s="350"/>
      <c r="F909" s="350"/>
      <c r="G909" s="347"/>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81" t="str">
        <f>_xlfn.CONCAT(_xlfn.XLOOKUP("[S05_DefaultValues][708][InstallationCategory]",Submission!$O:$O,Submission!$H:$N,""))</f>
        <v/>
      </c>
      <c r="D910" s="350"/>
      <c r="E910" s="350"/>
      <c r="F910" s="350"/>
      <c r="G910" s="347"/>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81" t="str">
        <f>_xlfn.CONCAT(_xlfn.XLOOKUP("[S05_DefaultValues][709][InstallationCategory]",Submission!$O:$O,Submission!$H:$N,""))</f>
        <v/>
      </c>
      <c r="D911" s="350"/>
      <c r="E911" s="350"/>
      <c r="F911" s="350"/>
      <c r="G911" s="347"/>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81" t="str">
        <f>_xlfn.CONCAT(_xlfn.XLOOKUP("[S05_DefaultValues][710][InstallationCategory]",Submission!$O:$O,Submission!$H:$N,""))</f>
        <v/>
      </c>
      <c r="D912" s="350"/>
      <c r="E912" s="350"/>
      <c r="F912" s="350"/>
      <c r="G912" s="347"/>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81" t="str">
        <f>_xlfn.CONCAT(_xlfn.XLOOKUP("[S05_DefaultValues][711][InstallationCategory]",Submission!$O:$O,Submission!$H:$N,""))</f>
        <v/>
      </c>
      <c r="D913" s="350"/>
      <c r="E913" s="350"/>
      <c r="F913" s="350"/>
      <c r="G913" s="347"/>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81" t="str">
        <f>_xlfn.CONCAT(_xlfn.XLOOKUP("[S05_DefaultValues][712][InstallationCategory]",Submission!$O:$O,Submission!$H:$N,""))</f>
        <v/>
      </c>
      <c r="D914" s="350"/>
      <c r="E914" s="350"/>
      <c r="F914" s="350"/>
      <c r="G914" s="347"/>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81" t="str">
        <f>_xlfn.CONCAT(_xlfn.XLOOKUP("[S05_DefaultValues][713][InstallationCategory]",Submission!$O:$O,Submission!$H:$N,""))</f>
        <v/>
      </c>
      <c r="D915" s="350"/>
      <c r="E915" s="350"/>
      <c r="F915" s="350"/>
      <c r="G915" s="347"/>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81" t="str">
        <f>_xlfn.CONCAT(_xlfn.XLOOKUP("[S05_DefaultValues][714][InstallationCategory]",Submission!$O:$O,Submission!$H:$N,""))</f>
        <v/>
      </c>
      <c r="D916" s="350"/>
      <c r="E916" s="350"/>
      <c r="F916" s="350"/>
      <c r="G916" s="347"/>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81" t="str">
        <f>_xlfn.CONCAT(_xlfn.XLOOKUP("[S05_DefaultValues][715][InstallationCategory]",Submission!$O:$O,Submission!$H:$N,""))</f>
        <v/>
      </c>
      <c r="D917" s="350"/>
      <c r="E917" s="350"/>
      <c r="F917" s="350"/>
      <c r="G917" s="347"/>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81" t="str">
        <f>_xlfn.CONCAT(_xlfn.XLOOKUP("[S05_DefaultValues][716][InstallationCategory]",Submission!$O:$O,Submission!$H:$N,""))</f>
        <v/>
      </c>
      <c r="D918" s="350"/>
      <c r="E918" s="350"/>
      <c r="F918" s="350"/>
      <c r="G918" s="347"/>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81" t="str">
        <f>_xlfn.CONCAT(_xlfn.XLOOKUP("[S05_DefaultValues][717][InstallationCategory]",Submission!$O:$O,Submission!$H:$N,""))</f>
        <v/>
      </c>
      <c r="D919" s="350"/>
      <c r="E919" s="350"/>
      <c r="F919" s="350"/>
      <c r="G919" s="347"/>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81" t="str">
        <f>_xlfn.CONCAT(_xlfn.XLOOKUP("[S05_DefaultValues][718][InstallationCategory]",Submission!$O:$O,Submission!$H:$N,""))</f>
        <v/>
      </c>
      <c r="D920" s="350"/>
      <c r="E920" s="350"/>
      <c r="F920" s="350"/>
      <c r="G920" s="347"/>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81" t="str">
        <f>_xlfn.CONCAT(_xlfn.XLOOKUP("[S05_DefaultValues][719][InstallationCategory]",Submission!$O:$O,Submission!$H:$N,""))</f>
        <v/>
      </c>
      <c r="D921" s="350"/>
      <c r="E921" s="350"/>
      <c r="F921" s="350"/>
      <c r="G921" s="347"/>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81" t="str">
        <f>_xlfn.CONCAT(_xlfn.XLOOKUP("[S05_DefaultValues][720][InstallationCategory]",Submission!$O:$O,Submission!$H:$N,""))</f>
        <v/>
      </c>
      <c r="D922" s="350"/>
      <c r="E922" s="350"/>
      <c r="F922" s="350"/>
      <c r="G922" s="347"/>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81" t="str">
        <f>_xlfn.CONCAT(_xlfn.XLOOKUP("[S05_DefaultValues][721][InstallationCategory]",Submission!$O:$O,Submission!$H:$N,""))</f>
        <v/>
      </c>
      <c r="D923" s="350"/>
      <c r="E923" s="350"/>
      <c r="F923" s="350"/>
      <c r="G923" s="347"/>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81" t="str">
        <f>_xlfn.CONCAT(_xlfn.XLOOKUP("[S05_DefaultValues][722][InstallationCategory]",Submission!$O:$O,Submission!$H:$N,""))</f>
        <v/>
      </c>
      <c r="D924" s="350"/>
      <c r="E924" s="350"/>
      <c r="F924" s="350"/>
      <c r="G924" s="347"/>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81" t="str">
        <f>_xlfn.CONCAT(_xlfn.XLOOKUP("[S05_DefaultValues][723][InstallationCategory]",Submission!$O:$O,Submission!$H:$N,""))</f>
        <v/>
      </c>
      <c r="D925" s="350"/>
      <c r="E925" s="350"/>
      <c r="F925" s="350"/>
      <c r="G925" s="347"/>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81" t="str">
        <f>_xlfn.CONCAT(_xlfn.XLOOKUP("[S05_DefaultValues][724][InstallationCategory]",Submission!$O:$O,Submission!$H:$N,""))</f>
        <v/>
      </c>
      <c r="D926" s="350"/>
      <c r="E926" s="350"/>
      <c r="F926" s="350"/>
      <c r="G926" s="347"/>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81" t="str">
        <f>_xlfn.CONCAT(_xlfn.XLOOKUP("[S05_DefaultValues][725][InstallationCategory]",Submission!$O:$O,Submission!$H:$N,""))</f>
        <v/>
      </c>
      <c r="D927" s="350"/>
      <c r="E927" s="350"/>
      <c r="F927" s="350"/>
      <c r="G927" s="347"/>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81" t="str">
        <f>_xlfn.CONCAT(_xlfn.XLOOKUP("[S05_DefaultValues][726][InstallationCategory]",Submission!$O:$O,Submission!$H:$N,""))</f>
        <v/>
      </c>
      <c r="D928" s="350"/>
      <c r="E928" s="350"/>
      <c r="F928" s="350"/>
      <c r="G928" s="347"/>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81" t="str">
        <f>_xlfn.CONCAT(_xlfn.XLOOKUP("[S05_DefaultValues][727][InstallationCategory]",Submission!$O:$O,Submission!$H:$N,""))</f>
        <v/>
      </c>
      <c r="D929" s="350"/>
      <c r="E929" s="350"/>
      <c r="F929" s="350"/>
      <c r="G929" s="347"/>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81" t="str">
        <f>_xlfn.CONCAT(_xlfn.XLOOKUP("[S05_DefaultValues][728][InstallationCategory]",Submission!$O:$O,Submission!$H:$N,""))</f>
        <v/>
      </c>
      <c r="D930" s="350"/>
      <c r="E930" s="350"/>
      <c r="F930" s="350"/>
      <c r="G930" s="347"/>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81" t="str">
        <f>_xlfn.CONCAT(_xlfn.XLOOKUP("[S05_DefaultValues][729][InstallationCategory]",Submission!$O:$O,Submission!$H:$N,""))</f>
        <v/>
      </c>
      <c r="D931" s="350"/>
      <c r="E931" s="350"/>
      <c r="F931" s="350"/>
      <c r="G931" s="347"/>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81" t="str">
        <f>_xlfn.CONCAT(_xlfn.XLOOKUP("[S05_DefaultValues][730][InstallationCategory]",Submission!$O:$O,Submission!$H:$N,""))</f>
        <v/>
      </c>
      <c r="D932" s="350"/>
      <c r="E932" s="350"/>
      <c r="F932" s="350"/>
      <c r="G932" s="347"/>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81" t="str">
        <f>_xlfn.CONCAT(_xlfn.XLOOKUP("[S05_DefaultValues][731][InstallationCategory]",Submission!$O:$O,Submission!$H:$N,""))</f>
        <v/>
      </c>
      <c r="D933" s="350"/>
      <c r="E933" s="350"/>
      <c r="F933" s="350"/>
      <c r="G933" s="347"/>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81" t="str">
        <f>_xlfn.CONCAT(_xlfn.XLOOKUP("[S05_DefaultValues][732][InstallationCategory]",Submission!$O:$O,Submission!$H:$N,""))</f>
        <v/>
      </c>
      <c r="D934" s="350"/>
      <c r="E934" s="350"/>
      <c r="F934" s="350"/>
      <c r="G934" s="347"/>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81" t="str">
        <f>_xlfn.CONCAT(_xlfn.XLOOKUP("[S05_DefaultValues][733][InstallationCategory]",Submission!$O:$O,Submission!$H:$N,""))</f>
        <v/>
      </c>
      <c r="D935" s="350"/>
      <c r="E935" s="350"/>
      <c r="F935" s="350"/>
      <c r="G935" s="347"/>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81" t="str">
        <f>_xlfn.CONCAT(_xlfn.XLOOKUP("[S05_DefaultValues][734][InstallationCategory]",Submission!$O:$O,Submission!$H:$N,""))</f>
        <v/>
      </c>
      <c r="D936" s="350"/>
      <c r="E936" s="350"/>
      <c r="F936" s="350"/>
      <c r="G936" s="347"/>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81" t="str">
        <f>_xlfn.CONCAT(_xlfn.XLOOKUP("[S05_DefaultValues][735][InstallationCategory]",Submission!$O:$O,Submission!$H:$N,""))</f>
        <v/>
      </c>
      <c r="D937" s="350"/>
      <c r="E937" s="350"/>
      <c r="F937" s="350"/>
      <c r="G937" s="347"/>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81" t="str">
        <f>_xlfn.CONCAT(_xlfn.XLOOKUP("[S05_DefaultValues][736][InstallationCategory]",Submission!$O:$O,Submission!$H:$N,""))</f>
        <v/>
      </c>
      <c r="D938" s="350"/>
      <c r="E938" s="350"/>
      <c r="F938" s="350"/>
      <c r="G938" s="347"/>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81" t="str">
        <f>_xlfn.CONCAT(_xlfn.XLOOKUP("[S05_DefaultValues][737][InstallationCategory]",Submission!$O:$O,Submission!$H:$N,""))</f>
        <v/>
      </c>
      <c r="D939" s="350"/>
      <c r="E939" s="350"/>
      <c r="F939" s="350"/>
      <c r="G939" s="347"/>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81" t="str">
        <f>_xlfn.CONCAT(_xlfn.XLOOKUP("[S05_DefaultValues][738][InstallationCategory]",Submission!$O:$O,Submission!$H:$N,""))</f>
        <v/>
      </c>
      <c r="D940" s="350"/>
      <c r="E940" s="350"/>
      <c r="F940" s="350"/>
      <c r="G940" s="347"/>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81" t="str">
        <f>_xlfn.CONCAT(_xlfn.XLOOKUP("[S05_DefaultValues][739][InstallationCategory]",Submission!$O:$O,Submission!$H:$N,""))</f>
        <v/>
      </c>
      <c r="D941" s="350"/>
      <c r="E941" s="350"/>
      <c r="F941" s="350"/>
      <c r="G941" s="347"/>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81" t="str">
        <f>_xlfn.CONCAT(_xlfn.XLOOKUP("[S05_DefaultValues][740][InstallationCategory]",Submission!$O:$O,Submission!$H:$N,""))</f>
        <v/>
      </c>
      <c r="D942" s="350"/>
      <c r="E942" s="350"/>
      <c r="F942" s="350"/>
      <c r="G942" s="347"/>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81" t="str">
        <f>_xlfn.CONCAT(_xlfn.XLOOKUP("[S05_DefaultValues][741][InstallationCategory]",Submission!$O:$O,Submission!$H:$N,""))</f>
        <v/>
      </c>
      <c r="D943" s="350"/>
      <c r="E943" s="350"/>
      <c r="F943" s="350"/>
      <c r="G943" s="347"/>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81" t="str">
        <f>_xlfn.CONCAT(_xlfn.XLOOKUP("[S05_DefaultValues][742][InstallationCategory]",Submission!$O:$O,Submission!$H:$N,""))</f>
        <v/>
      </c>
      <c r="D944" s="350"/>
      <c r="E944" s="350"/>
      <c r="F944" s="350"/>
      <c r="G944" s="347"/>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81" t="str">
        <f>_xlfn.CONCAT(_xlfn.XLOOKUP("[S05_DefaultValues][743][InstallationCategory]",Submission!$O:$O,Submission!$H:$N,""))</f>
        <v/>
      </c>
      <c r="D945" s="350"/>
      <c r="E945" s="350"/>
      <c r="F945" s="350"/>
      <c r="G945" s="347"/>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81" t="str">
        <f>_xlfn.CONCAT(_xlfn.XLOOKUP("[S05_DefaultValues][744][InstallationCategory]",Submission!$O:$O,Submission!$H:$N,""))</f>
        <v/>
      </c>
      <c r="D946" s="350"/>
      <c r="E946" s="350"/>
      <c r="F946" s="350"/>
      <c r="G946" s="347"/>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81" t="str">
        <f>_xlfn.CONCAT(_xlfn.XLOOKUP("[S05_DefaultValues][745][InstallationCategory]",Submission!$O:$O,Submission!$H:$N,""))</f>
        <v/>
      </c>
      <c r="D947" s="350"/>
      <c r="E947" s="350"/>
      <c r="F947" s="350"/>
      <c r="G947" s="347"/>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81" t="str">
        <f>_xlfn.CONCAT(_xlfn.XLOOKUP("[S05_DefaultValues][746][InstallationCategory]",Submission!$O:$O,Submission!$H:$N,""))</f>
        <v/>
      </c>
      <c r="D948" s="350"/>
      <c r="E948" s="350"/>
      <c r="F948" s="350"/>
      <c r="G948" s="347"/>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81" t="str">
        <f>_xlfn.CONCAT(_xlfn.XLOOKUP("[S05_DefaultValues][747][InstallationCategory]",Submission!$O:$O,Submission!$H:$N,""))</f>
        <v/>
      </c>
      <c r="D949" s="350"/>
      <c r="E949" s="350"/>
      <c r="F949" s="350"/>
      <c r="G949" s="347"/>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81" t="str">
        <f>_xlfn.CONCAT(_xlfn.XLOOKUP("[S05_DefaultValues][748][InstallationCategory]",Submission!$O:$O,Submission!$H:$N,""))</f>
        <v/>
      </c>
      <c r="D950" s="350"/>
      <c r="E950" s="350"/>
      <c r="F950" s="350"/>
      <c r="G950" s="347"/>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81" t="str">
        <f>_xlfn.CONCAT(_xlfn.XLOOKUP("[S05_DefaultValues][749][InstallationCategory]",Submission!$O:$O,Submission!$H:$N,""))</f>
        <v/>
      </c>
      <c r="D951" s="350"/>
      <c r="E951" s="350"/>
      <c r="F951" s="350"/>
      <c r="G951" s="347"/>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81" t="str">
        <f>_xlfn.CONCAT(_xlfn.XLOOKUP("[S05_DefaultValues][750][InstallationCategory]",Submission!$O:$O,Submission!$H:$N,""))</f>
        <v/>
      </c>
      <c r="D952" s="350"/>
      <c r="E952" s="350"/>
      <c r="F952" s="350"/>
      <c r="G952" s="347"/>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81" t="str">
        <f>_xlfn.CONCAT(_xlfn.XLOOKUP("[S05_DefaultValues][751][InstallationCategory]",Submission!$O:$O,Submission!$H:$N,""))</f>
        <v/>
      </c>
      <c r="D953" s="350"/>
      <c r="E953" s="350"/>
      <c r="F953" s="350"/>
      <c r="G953" s="347"/>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81" t="str">
        <f>_xlfn.CONCAT(_xlfn.XLOOKUP("[S05_DefaultValues][752][InstallationCategory]",Submission!$O:$O,Submission!$H:$N,""))</f>
        <v/>
      </c>
      <c r="D954" s="350"/>
      <c r="E954" s="350"/>
      <c r="F954" s="350"/>
      <c r="G954" s="347"/>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81" t="str">
        <f>_xlfn.CONCAT(_xlfn.XLOOKUP("[S05_DefaultValues][753][InstallationCategory]",Submission!$O:$O,Submission!$H:$N,""))</f>
        <v/>
      </c>
      <c r="D955" s="350"/>
      <c r="E955" s="350"/>
      <c r="F955" s="350"/>
      <c r="G955" s="347"/>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81" t="str">
        <f>_xlfn.CONCAT(_xlfn.XLOOKUP("[S05_DefaultValues][754][InstallationCategory]",Submission!$O:$O,Submission!$H:$N,""))</f>
        <v/>
      </c>
      <c r="D956" s="350"/>
      <c r="E956" s="350"/>
      <c r="F956" s="350"/>
      <c r="G956" s="347"/>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81" t="str">
        <f>_xlfn.CONCAT(_xlfn.XLOOKUP("[S05_DefaultValues][755][InstallationCategory]",Submission!$O:$O,Submission!$H:$N,""))</f>
        <v/>
      </c>
      <c r="D957" s="350"/>
      <c r="E957" s="350"/>
      <c r="F957" s="350"/>
      <c r="G957" s="347"/>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81" t="str">
        <f>_xlfn.CONCAT(_xlfn.XLOOKUP("[S05_DefaultValues][756][InstallationCategory]",Submission!$O:$O,Submission!$H:$N,""))</f>
        <v/>
      </c>
      <c r="D958" s="350"/>
      <c r="E958" s="350"/>
      <c r="F958" s="350"/>
      <c r="G958" s="347"/>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81" t="str">
        <f>_xlfn.CONCAT(_xlfn.XLOOKUP("[S05_DefaultValues][757][InstallationCategory]",Submission!$O:$O,Submission!$H:$N,""))</f>
        <v/>
      </c>
      <c r="D959" s="350"/>
      <c r="E959" s="350"/>
      <c r="F959" s="350"/>
      <c r="G959" s="347"/>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81" t="str">
        <f>_xlfn.CONCAT(_xlfn.XLOOKUP("[S05_DefaultValues][758][InstallationCategory]",Submission!$O:$O,Submission!$H:$N,""))</f>
        <v/>
      </c>
      <c r="D960" s="350"/>
      <c r="E960" s="350"/>
      <c r="F960" s="350"/>
      <c r="G960" s="347"/>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81" t="str">
        <f>_xlfn.CONCAT(_xlfn.XLOOKUP("[S05_DefaultValues][759][InstallationCategory]",Submission!$O:$O,Submission!$H:$N,""))</f>
        <v/>
      </c>
      <c r="D961" s="350"/>
      <c r="E961" s="350"/>
      <c r="F961" s="350"/>
      <c r="G961" s="347"/>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81" t="str">
        <f>_xlfn.CONCAT(_xlfn.XLOOKUP("[S05_DefaultValues][760][InstallationCategory]",Submission!$O:$O,Submission!$H:$N,""))</f>
        <v/>
      </c>
      <c r="D962" s="350"/>
      <c r="E962" s="350"/>
      <c r="F962" s="350"/>
      <c r="G962" s="347"/>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81" t="str">
        <f>_xlfn.CONCAT(_xlfn.XLOOKUP("[S05_DefaultValues][761][InstallationCategory]",Submission!$O:$O,Submission!$H:$N,""))</f>
        <v/>
      </c>
      <c r="D963" s="350"/>
      <c r="E963" s="350"/>
      <c r="F963" s="350"/>
      <c r="G963" s="347"/>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81" t="str">
        <f>_xlfn.CONCAT(_xlfn.XLOOKUP("[S05_DefaultValues][762][InstallationCategory]",Submission!$O:$O,Submission!$H:$N,""))</f>
        <v/>
      </c>
      <c r="D964" s="350"/>
      <c r="E964" s="350"/>
      <c r="F964" s="350"/>
      <c r="G964" s="347"/>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81" t="str">
        <f>_xlfn.CONCAT(_xlfn.XLOOKUP("[S05_DefaultValues][763][InstallationCategory]",Submission!$O:$O,Submission!$H:$N,""))</f>
        <v/>
      </c>
      <c r="D965" s="350"/>
      <c r="E965" s="350"/>
      <c r="F965" s="350"/>
      <c r="G965" s="347"/>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81" t="str">
        <f>_xlfn.CONCAT(_xlfn.XLOOKUP("[S05_DefaultValues][764][InstallationCategory]",Submission!$O:$O,Submission!$H:$N,""))</f>
        <v/>
      </c>
      <c r="D966" s="350"/>
      <c r="E966" s="350"/>
      <c r="F966" s="350"/>
      <c r="G966" s="347"/>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81" t="str">
        <f>_xlfn.CONCAT(_xlfn.XLOOKUP("[S05_DefaultValues][765][InstallationCategory]",Submission!$O:$O,Submission!$H:$N,""))</f>
        <v/>
      </c>
      <c r="D967" s="350"/>
      <c r="E967" s="350"/>
      <c r="F967" s="350"/>
      <c r="G967" s="347"/>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81" t="str">
        <f>_xlfn.CONCAT(_xlfn.XLOOKUP("[S05_DefaultValues][766][InstallationCategory]",Submission!$O:$O,Submission!$H:$N,""))</f>
        <v/>
      </c>
      <c r="D968" s="350"/>
      <c r="E968" s="350"/>
      <c r="F968" s="350"/>
      <c r="G968" s="347"/>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81" t="str">
        <f>_xlfn.CONCAT(_xlfn.XLOOKUP("[S05_DefaultValues][767][InstallationCategory]",Submission!$O:$O,Submission!$H:$N,""))</f>
        <v/>
      </c>
      <c r="D969" s="350"/>
      <c r="E969" s="350"/>
      <c r="F969" s="350"/>
      <c r="G969" s="347"/>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81" t="str">
        <f>_xlfn.CONCAT(_xlfn.XLOOKUP("[S05_DefaultValues][768][InstallationCategory]",Submission!$O:$O,Submission!$H:$N,""))</f>
        <v/>
      </c>
      <c r="D970" s="350"/>
      <c r="E970" s="350"/>
      <c r="F970" s="350"/>
      <c r="G970" s="347"/>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81" t="str">
        <f>_xlfn.CONCAT(_xlfn.XLOOKUP("[S05_DefaultValues][769][InstallationCategory]",Submission!$O:$O,Submission!$H:$N,""))</f>
        <v/>
      </c>
      <c r="D971" s="350"/>
      <c r="E971" s="350"/>
      <c r="F971" s="350"/>
      <c r="G971" s="347"/>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81" t="str">
        <f>_xlfn.CONCAT(_xlfn.XLOOKUP("[S05_DefaultValues][770][InstallationCategory]",Submission!$O:$O,Submission!$H:$N,""))</f>
        <v/>
      </c>
      <c r="D972" s="350"/>
      <c r="E972" s="350"/>
      <c r="F972" s="350"/>
      <c r="G972" s="347"/>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81" t="str">
        <f>_xlfn.CONCAT(_xlfn.XLOOKUP("[S05_DefaultValues][771][InstallationCategory]",Submission!$O:$O,Submission!$H:$N,""))</f>
        <v/>
      </c>
      <c r="D973" s="350"/>
      <c r="E973" s="350"/>
      <c r="F973" s="350"/>
      <c r="G973" s="347"/>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81" t="str">
        <f>_xlfn.CONCAT(_xlfn.XLOOKUP("[S05_DefaultValues][772][InstallationCategory]",Submission!$O:$O,Submission!$H:$N,""))</f>
        <v/>
      </c>
      <c r="D974" s="350"/>
      <c r="E974" s="350"/>
      <c r="F974" s="350"/>
      <c r="G974" s="347"/>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81" t="str">
        <f>_xlfn.CONCAT(_xlfn.XLOOKUP("[S05_DefaultValues][773][InstallationCategory]",Submission!$O:$O,Submission!$H:$N,""))</f>
        <v/>
      </c>
      <c r="D975" s="350"/>
      <c r="E975" s="350"/>
      <c r="F975" s="350"/>
      <c r="G975" s="347"/>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81" t="str">
        <f>_xlfn.CONCAT(_xlfn.XLOOKUP("[S05_DefaultValues][774][InstallationCategory]",Submission!$O:$O,Submission!$H:$N,""))</f>
        <v/>
      </c>
      <c r="D976" s="350"/>
      <c r="E976" s="350"/>
      <c r="F976" s="350"/>
      <c r="G976" s="347"/>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81" t="str">
        <f>_xlfn.CONCAT(_xlfn.XLOOKUP("[S05_DefaultValues][775][InstallationCategory]",Submission!$O:$O,Submission!$H:$N,""))</f>
        <v/>
      </c>
      <c r="D977" s="350"/>
      <c r="E977" s="350"/>
      <c r="F977" s="350"/>
      <c r="G977" s="347"/>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81" t="str">
        <f>_xlfn.CONCAT(_xlfn.XLOOKUP("[S05_DefaultValues][776][InstallationCategory]",Submission!$O:$O,Submission!$H:$N,""))</f>
        <v/>
      </c>
      <c r="D978" s="350"/>
      <c r="E978" s="350"/>
      <c r="F978" s="350"/>
      <c r="G978" s="347"/>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81" t="str">
        <f>_xlfn.CONCAT(_xlfn.XLOOKUP("[S05_DefaultValues][777][InstallationCategory]",Submission!$O:$O,Submission!$H:$N,""))</f>
        <v/>
      </c>
      <c r="D979" s="350"/>
      <c r="E979" s="350"/>
      <c r="F979" s="350"/>
      <c r="G979" s="347"/>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81" t="str">
        <f>_xlfn.CONCAT(_xlfn.XLOOKUP("[S05_DefaultValues][778][InstallationCategory]",Submission!$O:$O,Submission!$H:$N,""))</f>
        <v/>
      </c>
      <c r="D980" s="350"/>
      <c r="E980" s="350"/>
      <c r="F980" s="350"/>
      <c r="G980" s="347"/>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81" t="str">
        <f>_xlfn.CONCAT(_xlfn.XLOOKUP("[S05_DefaultValues][779][InstallationCategory]",Submission!$O:$O,Submission!$H:$N,""))</f>
        <v/>
      </c>
      <c r="D981" s="350"/>
      <c r="E981" s="350"/>
      <c r="F981" s="350"/>
      <c r="G981" s="347"/>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81" t="str">
        <f>_xlfn.CONCAT(_xlfn.XLOOKUP("[S05_DefaultValues][780][InstallationCategory]",Submission!$O:$O,Submission!$H:$N,""))</f>
        <v/>
      </c>
      <c r="D982" s="350"/>
      <c r="E982" s="350"/>
      <c r="F982" s="350"/>
      <c r="G982" s="347"/>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81" t="str">
        <f>_xlfn.CONCAT(_xlfn.XLOOKUP("[S05_DefaultValues][781][InstallationCategory]",Submission!$O:$O,Submission!$H:$N,""))</f>
        <v/>
      </c>
      <c r="D983" s="350"/>
      <c r="E983" s="350"/>
      <c r="F983" s="350"/>
      <c r="G983" s="347"/>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81" t="str">
        <f>_xlfn.CONCAT(_xlfn.XLOOKUP("[S05_DefaultValues][782][InstallationCategory]",Submission!$O:$O,Submission!$H:$N,""))</f>
        <v/>
      </c>
      <c r="D984" s="350"/>
      <c r="E984" s="350"/>
      <c r="F984" s="350"/>
      <c r="G984" s="347"/>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81" t="str">
        <f>_xlfn.CONCAT(_xlfn.XLOOKUP("[S05_DefaultValues][783][InstallationCategory]",Submission!$O:$O,Submission!$H:$N,""))</f>
        <v/>
      </c>
      <c r="D985" s="350"/>
      <c r="E985" s="350"/>
      <c r="F985" s="350"/>
      <c r="G985" s="347"/>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81" t="str">
        <f>_xlfn.CONCAT(_xlfn.XLOOKUP("[S05_DefaultValues][784][InstallationCategory]",Submission!$O:$O,Submission!$H:$N,""))</f>
        <v/>
      </c>
      <c r="D986" s="350"/>
      <c r="E986" s="350"/>
      <c r="F986" s="350"/>
      <c r="G986" s="347"/>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81" t="str">
        <f>_xlfn.CONCAT(_xlfn.XLOOKUP("[S05_DefaultValues][785][InstallationCategory]",Submission!$O:$O,Submission!$H:$N,""))</f>
        <v/>
      </c>
      <c r="D987" s="350"/>
      <c r="E987" s="350"/>
      <c r="F987" s="350"/>
      <c r="G987" s="347"/>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81" t="str">
        <f>_xlfn.CONCAT(_xlfn.XLOOKUP("[S05_DefaultValues][786][InstallationCategory]",Submission!$O:$O,Submission!$H:$N,""))</f>
        <v/>
      </c>
      <c r="D988" s="350"/>
      <c r="E988" s="350"/>
      <c r="F988" s="350"/>
      <c r="G988" s="347"/>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81" t="str">
        <f>_xlfn.CONCAT(_xlfn.XLOOKUP("[S05_DefaultValues][787][InstallationCategory]",Submission!$O:$O,Submission!$H:$N,""))</f>
        <v/>
      </c>
      <c r="D989" s="350"/>
      <c r="E989" s="350"/>
      <c r="F989" s="350"/>
      <c r="G989" s="347"/>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81" t="str">
        <f>_xlfn.CONCAT(_xlfn.XLOOKUP("[S05_DefaultValues][788][InstallationCategory]",Submission!$O:$O,Submission!$H:$N,""))</f>
        <v/>
      </c>
      <c r="D990" s="350"/>
      <c r="E990" s="350"/>
      <c r="F990" s="350"/>
      <c r="G990" s="347"/>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81" t="str">
        <f>_xlfn.CONCAT(_xlfn.XLOOKUP("[S05_DefaultValues][789][InstallationCategory]",Submission!$O:$O,Submission!$H:$N,""))</f>
        <v/>
      </c>
      <c r="D991" s="350"/>
      <c r="E991" s="350"/>
      <c r="F991" s="350"/>
      <c r="G991" s="347"/>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81" t="str">
        <f>_xlfn.CONCAT(_xlfn.XLOOKUP("[S05_DefaultValues][790][InstallationCategory]",Submission!$O:$O,Submission!$H:$N,""))</f>
        <v/>
      </c>
      <c r="D992" s="350"/>
      <c r="E992" s="350"/>
      <c r="F992" s="350"/>
      <c r="G992" s="347"/>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81" t="str">
        <f>_xlfn.CONCAT(_xlfn.XLOOKUP("[S05_DefaultValues][791][InstallationCategory]",Submission!$O:$O,Submission!$H:$N,""))</f>
        <v/>
      </c>
      <c r="D993" s="350"/>
      <c r="E993" s="350"/>
      <c r="F993" s="350"/>
      <c r="G993" s="347"/>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81" t="str">
        <f>_xlfn.CONCAT(_xlfn.XLOOKUP("[S05_DefaultValues][792][InstallationCategory]",Submission!$O:$O,Submission!$H:$N,""))</f>
        <v/>
      </c>
      <c r="D994" s="350"/>
      <c r="E994" s="350"/>
      <c r="F994" s="350"/>
      <c r="G994" s="347"/>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81" t="str">
        <f>_xlfn.CONCAT(_xlfn.XLOOKUP("[S05_DefaultValues][793][InstallationCategory]",Submission!$O:$O,Submission!$H:$N,""))</f>
        <v/>
      </c>
      <c r="D995" s="350"/>
      <c r="E995" s="350"/>
      <c r="F995" s="350"/>
      <c r="G995" s="347"/>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81" t="str">
        <f>_xlfn.CONCAT(_xlfn.XLOOKUP("[S05_DefaultValues][794][InstallationCategory]",Submission!$O:$O,Submission!$H:$N,""))</f>
        <v/>
      </c>
      <c r="D996" s="350"/>
      <c r="E996" s="350"/>
      <c r="F996" s="350"/>
      <c r="G996" s="347"/>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81" t="str">
        <f>_xlfn.CONCAT(_xlfn.XLOOKUP("[S05_DefaultValues][795][InstallationCategory]",Submission!$O:$O,Submission!$H:$N,""))</f>
        <v/>
      </c>
      <c r="D997" s="350"/>
      <c r="E997" s="350"/>
      <c r="F997" s="350"/>
      <c r="G997" s="347"/>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81" t="str">
        <f>_xlfn.CONCAT(_xlfn.XLOOKUP("[S05_DefaultValues][796][InstallationCategory]",Submission!$O:$O,Submission!$H:$N,""))</f>
        <v/>
      </c>
      <c r="D998" s="350"/>
      <c r="E998" s="350"/>
      <c r="F998" s="350"/>
      <c r="G998" s="347"/>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81" t="str">
        <f>_xlfn.CONCAT(_xlfn.XLOOKUP("[S05_DefaultValues][797][InstallationCategory]",Submission!$O:$O,Submission!$H:$N,""))</f>
        <v/>
      </c>
      <c r="D999" s="350"/>
      <c r="E999" s="350"/>
      <c r="F999" s="350"/>
      <c r="G999" s="347"/>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81" t="str">
        <f>_xlfn.CONCAT(_xlfn.XLOOKUP("[S05_DefaultValues][798][InstallationCategory]",Submission!$O:$O,Submission!$H:$N,""))</f>
        <v/>
      </c>
      <c r="D1000" s="350"/>
      <c r="E1000" s="350"/>
      <c r="F1000" s="350"/>
      <c r="G1000" s="347"/>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81" t="str">
        <f>_xlfn.CONCAT(_xlfn.XLOOKUP("[S05_DefaultValues][799][InstallationCategory]",Submission!$O:$O,Submission!$H:$N,""))</f>
        <v/>
      </c>
      <c r="D1001" s="350"/>
      <c r="E1001" s="350"/>
      <c r="F1001" s="350"/>
      <c r="G1001" s="347"/>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81" t="str">
        <f>_xlfn.CONCAT(_xlfn.XLOOKUP("[S05_DefaultValues][800][InstallationCategory]",Submission!$O:$O,Submission!$H:$N,""))</f>
        <v/>
      </c>
      <c r="D1002" s="350"/>
      <c r="E1002" s="350"/>
      <c r="F1002" s="350"/>
      <c r="G1002" s="347"/>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67" t="s">
        <v>862</v>
      </c>
      <c r="D1004" s="367"/>
      <c r="E1004" s="367"/>
      <c r="F1004" s="367"/>
      <c r="G1004" s="367"/>
      <c r="H1004" s="367"/>
      <c r="I1004" s="367"/>
    </row>
    <row r="1005" spans="1:9" ht="15.9" customHeight="1" x14ac:dyDescent="0.3">
      <c r="B1005" s="34"/>
      <c r="C1005" s="33"/>
      <c r="D1005" s="31"/>
      <c r="E1005" s="33"/>
      <c r="F1005" s="33"/>
      <c r="G1005" s="35"/>
      <c r="H1005" s="35"/>
      <c r="I1005" s="35"/>
    </row>
    <row r="1006" spans="1:9" ht="34.950000000000003" customHeight="1" x14ac:dyDescent="0.3">
      <c r="A1006" s="12" t="s">
        <v>241</v>
      </c>
      <c r="B1006" s="293" t="s">
        <v>863</v>
      </c>
      <c r="C1006" s="294"/>
      <c r="D1006" s="294"/>
      <c r="E1006" s="294"/>
      <c r="F1006" s="294"/>
      <c r="G1006" s="294"/>
      <c r="H1006" s="294"/>
      <c r="I1006" s="294"/>
    </row>
    <row r="1007" spans="1:9" ht="69" customHeight="1" x14ac:dyDescent="0.3">
      <c r="B1007" s="34"/>
      <c r="C1007" s="303" t="s">
        <v>864</v>
      </c>
      <c r="D1007" s="309"/>
      <c r="E1007" s="42" t="s">
        <v>865</v>
      </c>
      <c r="F1007" s="42" t="s">
        <v>866</v>
      </c>
      <c r="G1007" s="303" t="s">
        <v>867</v>
      </c>
      <c r="H1007" s="330"/>
      <c r="I1007" s="309"/>
    </row>
    <row r="1008" spans="1:9" ht="15.9" customHeight="1" x14ac:dyDescent="0.3">
      <c r="A1008" s="13"/>
      <c r="B1008" s="34"/>
      <c r="C1008" s="284" t="str">
        <f>_xlfn.CONCAT(_xlfn.XLOOKUP("[S05_InstallationDifferentSamplingFrequency][1][SamplingFuelMaterial]",Submission!$O:$O,Submission!$H:$N,""))</f>
        <v>Not applicable</v>
      </c>
      <c r="D1008" s="285"/>
      <c r="E1008" s="105" t="str">
        <f>_xlfn.CONCAT(_xlfn.XLOOKUP("[S05_InstallationDifferentSamplingFrequency][1][CountInstallationsDiffFrequency]",Submission!$O:$O,Submission!$H:$N,""))</f>
        <v>0</v>
      </c>
      <c r="F1008" s="105" t="str">
        <f>_xlfn.CONCAT(_xlfn.XLOOKUP("[S05_InstallationDifferentSamplingFrequency][1][MajorSourceStreams]",Submission!$O:$O,Submission!$H:$N,""))</f>
        <v>0</v>
      </c>
      <c r="G1008" s="47" t="str">
        <f>_xlfn.CONCAT(_xlfn.XLOOKUP("[S05_InstallationDifferentSamplingFrequency][1][SamplingPlanDocumented]",Submission!$O:$O,Submission!$H:$N,""))</f>
        <v/>
      </c>
      <c r="H1008" s="240" t="str">
        <f>_xlfn.CONCAT(_xlfn.XLOOKUP("[S05_InstallationDifferentSamplingFrequency][1][SamplingPlanNotDocumentedReason]",Submission!$O:$O,Submission!$H:$N,""))</f>
        <v/>
      </c>
      <c r="I1008" s="242"/>
    </row>
    <row r="1009" spans="1:9" ht="15.9" customHeight="1" x14ac:dyDescent="0.3">
      <c r="A1009" s="13"/>
      <c r="B1009" s="34"/>
      <c r="C1009" s="284" t="str">
        <f>_xlfn.CONCAT(_xlfn.XLOOKUP("[S05_InstallationDifferentSamplingFrequency][2][SamplingFuelMaterial]",Submission!$O:$O,Submission!$H:$N,""))</f>
        <v/>
      </c>
      <c r="D1009" s="285"/>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0" t="str">
        <f>_xlfn.CONCAT(_xlfn.XLOOKUP("[S05_InstallationDifferentSamplingFrequency][2][SamplingPlanNotDocumentedReason]",Submission!$O:$O,Submission!$H:$N,""))</f>
        <v/>
      </c>
      <c r="I1009" s="242"/>
    </row>
    <row r="1010" spans="1:9" ht="15.9" customHeight="1" x14ac:dyDescent="0.3">
      <c r="A1010" s="13"/>
      <c r="B1010" s="34"/>
      <c r="C1010" s="284" t="str">
        <f>_xlfn.CONCAT(_xlfn.XLOOKUP("[S05_InstallationDifferentSamplingFrequency][3][SamplingFuelMaterial]",Submission!$O:$O,Submission!$H:$N,""))</f>
        <v/>
      </c>
      <c r="D1010" s="285"/>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0" t="str">
        <f>_xlfn.CONCAT(_xlfn.XLOOKUP("[S05_InstallationDifferentSamplingFrequency][3][SamplingPlanNotDocumentedReason]",Submission!$O:$O,Submission!$H:$N,""))</f>
        <v/>
      </c>
      <c r="I1010" s="242"/>
    </row>
    <row r="1011" spans="1:9" ht="15.9" customHeight="1" x14ac:dyDescent="0.3">
      <c r="A1011" s="13"/>
      <c r="B1011" s="34"/>
      <c r="C1011" s="284" t="str">
        <f>_xlfn.CONCAT(_xlfn.XLOOKUP("[S05_InstallationDifferentSamplingFrequency][4][SamplingFuelMaterial]",Submission!$O:$O,Submission!$H:$N,""))</f>
        <v/>
      </c>
      <c r="D1011" s="285"/>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0" t="str">
        <f>_xlfn.CONCAT(_xlfn.XLOOKUP("[S05_InstallationDifferentSamplingFrequency][4][SamplingPlanNotDocumentedReason]",Submission!$O:$O,Submission!$H:$N,""))</f>
        <v/>
      </c>
      <c r="I1011" s="242"/>
    </row>
    <row r="1012" spans="1:9" ht="15.9" customHeight="1" x14ac:dyDescent="0.3">
      <c r="A1012" s="13"/>
      <c r="B1012" s="34"/>
      <c r="C1012" s="284" t="str">
        <f>_xlfn.CONCAT(_xlfn.XLOOKUP("[S05_InstallationDifferentSamplingFrequency][5][SamplingFuelMaterial]",Submission!$O:$O,Submission!$H:$N,""))</f>
        <v/>
      </c>
      <c r="D1012" s="285"/>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0" t="str">
        <f>_xlfn.CONCAT(_xlfn.XLOOKUP("[S05_InstallationDifferentSamplingFrequency][5][SamplingPlanNotDocumentedReason]",Submission!$O:$O,Submission!$H:$N,""))</f>
        <v/>
      </c>
      <c r="I1012" s="242"/>
    </row>
    <row r="1013" spans="1:9" ht="15.9" hidden="1" customHeight="1" outlineLevel="1" x14ac:dyDescent="0.3">
      <c r="A1013" s="13"/>
      <c r="B1013" s="34"/>
      <c r="C1013" s="284" t="str">
        <f>_xlfn.CONCAT(_xlfn.XLOOKUP("[S05_InstallationDifferentSamplingFrequency][6][SamplingFuelMaterial]",Submission!$O:$O,Submission!$H:$N,""))</f>
        <v/>
      </c>
      <c r="D1013" s="285"/>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0" t="str">
        <f>_xlfn.CONCAT(_xlfn.XLOOKUP("[S05_InstallationDifferentSamplingFrequency][6][SamplingPlanNotDocumentedReason]",Submission!$O:$O,Submission!$H:$N,""))</f>
        <v/>
      </c>
      <c r="I1013" s="242"/>
    </row>
    <row r="1014" spans="1:9" ht="15.9" hidden="1" customHeight="1" outlineLevel="1" x14ac:dyDescent="0.3">
      <c r="A1014" s="13"/>
      <c r="B1014" s="34"/>
      <c r="C1014" s="284" t="str">
        <f>_xlfn.CONCAT(_xlfn.XLOOKUP("[S05_InstallationDifferentSamplingFrequency][7][SamplingFuelMaterial]",Submission!$O:$O,Submission!$H:$N,""))</f>
        <v/>
      </c>
      <c r="D1014" s="285"/>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0" t="str">
        <f>_xlfn.CONCAT(_xlfn.XLOOKUP("[S05_InstallationDifferentSamplingFrequency][7][SamplingPlanNotDocumentedReason]",Submission!$O:$O,Submission!$H:$N,""))</f>
        <v/>
      </c>
      <c r="I1014" s="242"/>
    </row>
    <row r="1015" spans="1:9" ht="15.9" hidden="1" customHeight="1" outlineLevel="1" x14ac:dyDescent="0.3">
      <c r="A1015" s="13"/>
      <c r="B1015" s="34"/>
      <c r="C1015" s="284" t="str">
        <f>_xlfn.CONCAT(_xlfn.XLOOKUP("[S05_InstallationDifferentSamplingFrequency][8][SamplingFuelMaterial]",Submission!$O:$O,Submission!$H:$N,""))</f>
        <v/>
      </c>
      <c r="D1015" s="285"/>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0" t="str">
        <f>_xlfn.CONCAT(_xlfn.XLOOKUP("[S05_InstallationDifferentSamplingFrequency][8][SamplingPlanNotDocumentedReason]",Submission!$O:$O,Submission!$H:$N,""))</f>
        <v/>
      </c>
      <c r="I1015" s="242"/>
    </row>
    <row r="1016" spans="1:9" ht="15.9" hidden="1" customHeight="1" outlineLevel="1" x14ac:dyDescent="0.3">
      <c r="A1016" s="13"/>
      <c r="B1016" s="34"/>
      <c r="C1016" s="284" t="str">
        <f>_xlfn.CONCAT(_xlfn.XLOOKUP("[S05_InstallationDifferentSamplingFrequency][9][SamplingFuelMaterial]",Submission!$O:$O,Submission!$H:$N,""))</f>
        <v/>
      </c>
      <c r="D1016" s="285"/>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0" t="str">
        <f>_xlfn.CONCAT(_xlfn.XLOOKUP("[S05_InstallationDifferentSamplingFrequency][9][SamplingPlanNotDocumentedReason]",Submission!$O:$O,Submission!$H:$N,""))</f>
        <v/>
      </c>
      <c r="I1016" s="242"/>
    </row>
    <row r="1017" spans="1:9" ht="15.9" hidden="1" customHeight="1" outlineLevel="1" x14ac:dyDescent="0.3">
      <c r="A1017" s="13"/>
      <c r="B1017" s="34"/>
      <c r="C1017" s="284" t="str">
        <f>_xlfn.CONCAT(_xlfn.XLOOKUP("[S05_InstallationDifferentSamplingFrequency][10][SamplingFuelMaterial]",Submission!$O:$O,Submission!$H:$N,""))</f>
        <v/>
      </c>
      <c r="D1017" s="285"/>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0" t="str">
        <f>_xlfn.CONCAT(_xlfn.XLOOKUP("[S05_InstallationDifferentSamplingFrequency][10][SamplingPlanNotDocumentedReason]",Submission!$O:$O,Submission!$H:$N,""))</f>
        <v/>
      </c>
      <c r="I1017" s="242"/>
    </row>
    <row r="1018" spans="1:9" ht="15.9" hidden="1" customHeight="1" outlineLevel="1" x14ac:dyDescent="0.3">
      <c r="A1018" s="13"/>
      <c r="B1018" s="34"/>
      <c r="C1018" s="284" t="str">
        <f>_xlfn.CONCAT(_xlfn.XLOOKUP("[S05_InstallationDifferentSamplingFrequency][11][SamplingFuelMaterial]",Submission!$O:$O,Submission!$H:$N,""))</f>
        <v/>
      </c>
      <c r="D1018" s="285"/>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0" t="str">
        <f>_xlfn.CONCAT(_xlfn.XLOOKUP("[S05_InstallationDifferentSamplingFrequency][11][SamplingPlanNotDocumentedReason]",Submission!$O:$O,Submission!$H:$N,""))</f>
        <v/>
      </c>
      <c r="I1018" s="242"/>
    </row>
    <row r="1019" spans="1:9" ht="15.9" hidden="1" customHeight="1" outlineLevel="1" x14ac:dyDescent="0.3">
      <c r="A1019" s="13"/>
      <c r="B1019" s="34"/>
      <c r="C1019" s="284" t="str">
        <f>_xlfn.CONCAT(_xlfn.XLOOKUP("[S05_InstallationDifferentSamplingFrequency][12][SamplingFuelMaterial]",Submission!$O:$O,Submission!$H:$N,""))</f>
        <v/>
      </c>
      <c r="D1019" s="285"/>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0" t="str">
        <f>_xlfn.CONCAT(_xlfn.XLOOKUP("[S05_InstallationDifferentSamplingFrequency][12][SamplingPlanNotDocumentedReason]",Submission!$O:$O,Submission!$H:$N,""))</f>
        <v/>
      </c>
      <c r="I1019" s="242"/>
    </row>
    <row r="1020" spans="1:9" ht="15.9" hidden="1" customHeight="1" outlineLevel="1" x14ac:dyDescent="0.3">
      <c r="A1020" s="13"/>
      <c r="B1020" s="34"/>
      <c r="C1020" s="284" t="str">
        <f>_xlfn.CONCAT(_xlfn.XLOOKUP("[S05_InstallationDifferentSamplingFrequency][13][SamplingFuelMaterial]",Submission!$O:$O,Submission!$H:$N,""))</f>
        <v/>
      </c>
      <c r="D1020" s="285"/>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0" t="str">
        <f>_xlfn.CONCAT(_xlfn.XLOOKUP("[S05_InstallationDifferentSamplingFrequency][13][SamplingPlanNotDocumentedReason]",Submission!$O:$O,Submission!$H:$N,""))</f>
        <v/>
      </c>
      <c r="I1020" s="242"/>
    </row>
    <row r="1021" spans="1:9" ht="15.9" hidden="1" customHeight="1" outlineLevel="1" x14ac:dyDescent="0.3">
      <c r="A1021" s="13"/>
      <c r="B1021" s="34"/>
      <c r="C1021" s="284" t="str">
        <f>_xlfn.CONCAT(_xlfn.XLOOKUP("[S05_InstallationDifferentSamplingFrequency][14][SamplingFuelMaterial]",Submission!$O:$O,Submission!$H:$N,""))</f>
        <v/>
      </c>
      <c r="D1021" s="285"/>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0" t="str">
        <f>_xlfn.CONCAT(_xlfn.XLOOKUP("[S05_InstallationDifferentSamplingFrequency][14][SamplingPlanNotDocumentedReason]",Submission!$O:$O,Submission!$H:$N,""))</f>
        <v/>
      </c>
      <c r="I1021" s="242"/>
    </row>
    <row r="1022" spans="1:9" ht="15.9" hidden="1" customHeight="1" outlineLevel="1" x14ac:dyDescent="0.3">
      <c r="A1022" s="13"/>
      <c r="B1022" s="34"/>
      <c r="C1022" s="284" t="str">
        <f>_xlfn.CONCAT(_xlfn.XLOOKUP("[S05_InstallationDifferentSamplingFrequency][15][SamplingFuelMaterial]",Submission!$O:$O,Submission!$H:$N,""))</f>
        <v/>
      </c>
      <c r="D1022" s="285"/>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0" t="str">
        <f>_xlfn.CONCAT(_xlfn.XLOOKUP("[S05_InstallationDifferentSamplingFrequency][15][SamplingPlanNotDocumentedReason]",Submission!$O:$O,Submission!$H:$N,""))</f>
        <v/>
      </c>
      <c r="I1022" s="242"/>
    </row>
    <row r="1023" spans="1:9" ht="15.9" hidden="1" customHeight="1" outlineLevel="1" x14ac:dyDescent="0.3">
      <c r="A1023" s="13"/>
      <c r="B1023" s="34"/>
      <c r="C1023" s="284" t="str">
        <f>_xlfn.CONCAT(_xlfn.XLOOKUP("[S05_InstallationDifferentSamplingFrequency][16][SamplingFuelMaterial]",Submission!$O:$O,Submission!$H:$N,""))</f>
        <v/>
      </c>
      <c r="D1023" s="285"/>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0" t="str">
        <f>_xlfn.CONCAT(_xlfn.XLOOKUP("[S05_InstallationDifferentSamplingFrequency][16][SamplingPlanNotDocumentedReason]",Submission!$O:$O,Submission!$H:$N,""))</f>
        <v/>
      </c>
      <c r="I1023" s="242"/>
    </row>
    <row r="1024" spans="1:9" ht="15.9" hidden="1" customHeight="1" outlineLevel="1" x14ac:dyDescent="0.3">
      <c r="A1024" s="13"/>
      <c r="B1024" s="34"/>
      <c r="C1024" s="284" t="str">
        <f>_xlfn.CONCAT(_xlfn.XLOOKUP("[S05_InstallationDifferentSamplingFrequency][17][SamplingFuelMaterial]",Submission!$O:$O,Submission!$H:$N,""))</f>
        <v/>
      </c>
      <c r="D1024" s="285"/>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0" t="str">
        <f>_xlfn.CONCAT(_xlfn.XLOOKUP("[S05_InstallationDifferentSamplingFrequency][17][SamplingPlanNotDocumentedReason]",Submission!$O:$O,Submission!$H:$N,""))</f>
        <v/>
      </c>
      <c r="I1024" s="242"/>
    </row>
    <row r="1025" spans="1:9" ht="15.9" hidden="1" customHeight="1" outlineLevel="1" x14ac:dyDescent="0.3">
      <c r="A1025" s="13"/>
      <c r="B1025" s="34"/>
      <c r="C1025" s="284" t="str">
        <f>_xlfn.CONCAT(_xlfn.XLOOKUP("[S05_InstallationDifferentSamplingFrequency][18][SamplingFuelMaterial]",Submission!$O:$O,Submission!$H:$N,""))</f>
        <v/>
      </c>
      <c r="D1025" s="285"/>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0" t="str">
        <f>_xlfn.CONCAT(_xlfn.XLOOKUP("[S05_InstallationDifferentSamplingFrequency][18][SamplingPlanNotDocumentedReason]",Submission!$O:$O,Submission!$H:$N,""))</f>
        <v/>
      </c>
      <c r="I1025" s="242"/>
    </row>
    <row r="1026" spans="1:9" ht="15.9" hidden="1" customHeight="1" outlineLevel="1" x14ac:dyDescent="0.3">
      <c r="A1026" s="13"/>
      <c r="B1026" s="34"/>
      <c r="C1026" s="284" t="str">
        <f>_xlfn.CONCAT(_xlfn.XLOOKUP("[S05_InstallationDifferentSamplingFrequency][19][SamplingFuelMaterial]",Submission!$O:$O,Submission!$H:$N,""))</f>
        <v/>
      </c>
      <c r="D1026" s="285"/>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0" t="str">
        <f>_xlfn.CONCAT(_xlfn.XLOOKUP("[S05_InstallationDifferentSamplingFrequency][19][SamplingPlanNotDocumentedReason]",Submission!$O:$O,Submission!$H:$N,""))</f>
        <v/>
      </c>
      <c r="I1026" s="242"/>
    </row>
    <row r="1027" spans="1:9" ht="15.9" hidden="1" customHeight="1" outlineLevel="1" x14ac:dyDescent="0.3">
      <c r="A1027" s="13"/>
      <c r="B1027" s="34"/>
      <c r="C1027" s="284" t="str">
        <f>_xlfn.CONCAT(_xlfn.XLOOKUP("[S05_InstallationDifferentSamplingFrequency][20][SamplingFuelMaterial]",Submission!$O:$O,Submission!$H:$N,""))</f>
        <v/>
      </c>
      <c r="D1027" s="285"/>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0" t="str">
        <f>_xlfn.CONCAT(_xlfn.XLOOKUP("[S05_InstallationDifferentSamplingFrequency][20][SamplingPlanNotDocumentedReason]",Submission!$O:$O,Submission!$H:$N,""))</f>
        <v/>
      </c>
      <c r="I1027" s="242"/>
    </row>
    <row r="1028" spans="1:9" ht="15.9" hidden="1" customHeight="1" outlineLevel="1" x14ac:dyDescent="0.3">
      <c r="A1028" s="13"/>
      <c r="B1028" s="34"/>
      <c r="C1028" s="284" t="str">
        <f>_xlfn.CONCAT(_xlfn.XLOOKUP("[S05_InstallationDifferentSamplingFrequency][21][SamplingFuelMaterial]",Submission!$O:$O,Submission!$H:$N,""))</f>
        <v/>
      </c>
      <c r="D1028" s="285"/>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0" t="str">
        <f>_xlfn.CONCAT(_xlfn.XLOOKUP("[S05_InstallationDifferentSamplingFrequency][21][SamplingPlanNotDocumentedReason]",Submission!$O:$O,Submission!$H:$N,""))</f>
        <v/>
      </c>
      <c r="I1028" s="242"/>
    </row>
    <row r="1029" spans="1:9" ht="15.9" hidden="1" customHeight="1" outlineLevel="1" x14ac:dyDescent="0.3">
      <c r="A1029" s="13"/>
      <c r="B1029" s="34"/>
      <c r="C1029" s="284" t="str">
        <f>_xlfn.CONCAT(_xlfn.XLOOKUP("[S05_InstallationDifferentSamplingFrequency][22][SamplingFuelMaterial]",Submission!$O:$O,Submission!$H:$N,""))</f>
        <v/>
      </c>
      <c r="D1029" s="285"/>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0" t="str">
        <f>_xlfn.CONCAT(_xlfn.XLOOKUP("[S05_InstallationDifferentSamplingFrequency][22][SamplingPlanNotDocumentedReason]",Submission!$O:$O,Submission!$H:$N,""))</f>
        <v/>
      </c>
      <c r="I1029" s="242"/>
    </row>
    <row r="1030" spans="1:9" ht="15.9" hidden="1" customHeight="1" outlineLevel="1" x14ac:dyDescent="0.3">
      <c r="A1030" s="13"/>
      <c r="B1030" s="34"/>
      <c r="C1030" s="284" t="str">
        <f>_xlfn.CONCAT(_xlfn.XLOOKUP("[S05_InstallationDifferentSamplingFrequency][23][SamplingFuelMaterial]",Submission!$O:$O,Submission!$H:$N,""))</f>
        <v/>
      </c>
      <c r="D1030" s="285"/>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0" t="str">
        <f>_xlfn.CONCAT(_xlfn.XLOOKUP("[S05_InstallationDifferentSamplingFrequency][23][SamplingPlanNotDocumentedReason]",Submission!$O:$O,Submission!$H:$N,""))</f>
        <v/>
      </c>
      <c r="I1030" s="242"/>
    </row>
    <row r="1031" spans="1:9" ht="15.9" hidden="1" customHeight="1" outlineLevel="1" x14ac:dyDescent="0.3">
      <c r="A1031" s="13"/>
      <c r="B1031" s="34"/>
      <c r="C1031" s="284" t="str">
        <f>_xlfn.CONCAT(_xlfn.XLOOKUP("[S05_InstallationDifferentSamplingFrequency][24][SamplingFuelMaterial]",Submission!$O:$O,Submission!$H:$N,""))</f>
        <v/>
      </c>
      <c r="D1031" s="285"/>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0" t="str">
        <f>_xlfn.CONCAT(_xlfn.XLOOKUP("[S05_InstallationDifferentSamplingFrequency][24][SamplingPlanNotDocumentedReason]",Submission!$O:$O,Submission!$H:$N,""))</f>
        <v/>
      </c>
      <c r="I1031" s="242"/>
    </row>
    <row r="1032" spans="1:9" ht="15.9" hidden="1" customHeight="1" outlineLevel="1" x14ac:dyDescent="0.3">
      <c r="A1032" s="13"/>
      <c r="B1032" s="34"/>
      <c r="C1032" s="284" t="str">
        <f>_xlfn.CONCAT(_xlfn.XLOOKUP("[S05_InstallationDifferentSamplingFrequency][25][SamplingFuelMaterial]",Submission!$O:$O,Submission!$H:$N,""))</f>
        <v/>
      </c>
      <c r="D1032" s="285"/>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0" t="str">
        <f>_xlfn.CONCAT(_xlfn.XLOOKUP("[S05_InstallationDifferentSamplingFrequency][25][SamplingPlanNotDocumentedReason]",Submission!$O:$O,Submission!$H:$N,""))</f>
        <v/>
      </c>
      <c r="I1032" s="242"/>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293" t="s">
        <v>868</v>
      </c>
      <c r="C1035" s="294"/>
      <c r="D1035" s="294"/>
      <c r="E1035" s="294"/>
      <c r="F1035" s="294"/>
      <c r="G1035" s="294"/>
      <c r="H1035" s="294"/>
      <c r="I1035" s="294"/>
    </row>
    <row r="1036" spans="1:9" ht="45" customHeight="1" x14ac:dyDescent="0.3">
      <c r="B1036" s="34"/>
      <c r="C1036" s="46" t="s">
        <v>869</v>
      </c>
      <c r="D1036" s="46" t="s">
        <v>870</v>
      </c>
      <c r="E1036" s="46" t="s">
        <v>871</v>
      </c>
      <c r="F1036" s="46" t="s">
        <v>872</v>
      </c>
      <c r="G1036" s="46" t="s">
        <v>873</v>
      </c>
      <c r="H1036" s="315" t="s">
        <v>874</v>
      </c>
      <c r="I1036" s="336"/>
    </row>
    <row r="1037" spans="1:9" ht="24.6" customHeight="1" x14ac:dyDescent="0.3">
      <c r="B1037" s="34"/>
      <c r="C1037" s="72" t="str">
        <f>_xlfn.CONCAT(_xlfn.XLOOKUP("[S05_CategoryCHighestTierNotApplied][1][InstallationID]",Submission!$O:$O,Submission!$H:$N,""))</f>
        <v/>
      </c>
      <c r="D1037" s="72" t="str">
        <f>_xlfn.CONCAT(_xlfn.XLOOKUP("[S05_CategoryCHighestTierNotApplied][1][SourceStreamAffected]",Submission!$O:$O,Submission!$H:$N,""))</f>
        <v/>
      </c>
      <c r="E1037" s="72" t="str">
        <f>_xlfn.CONCAT(_xlfn.XLOOKUP("[S05_CategoryCHighestTierNotApplied][1][EmissionSourceAffected]",Submission!$O:$O,Submission!$H:$N,""))</f>
        <v/>
      </c>
      <c r="F1037" s="72" t="str">
        <f>_xlfn.CONCAT(_xlfn.XLOOKUP("[S05_CategoryCHighestTierNotApplied][1][MonitoringParameterAffected]",Submission!$O:$O,Submission!$H:$N,""))</f>
        <v/>
      </c>
      <c r="G1037" s="89" t="str">
        <f>_xlfn.CONCAT(_xlfn.XLOOKUP("[S05_CategoryCHighestTierNotApplied][1][HighestTierRequired]",Submission!$O:$O,Submission!$H:$N,""))</f>
        <v/>
      </c>
      <c r="H1037" s="240" t="str">
        <f>_xlfn.CONCAT(_xlfn.XLOOKUP("[S05_CategoryCHighestTierNotApplied][1][TierInPractice]",Submission!$O:$O,Submission!$H:$N,""))</f>
        <v/>
      </c>
      <c r="I1037" s="242"/>
    </row>
    <row r="1038" spans="1:9" ht="24.6" customHeight="1" x14ac:dyDescent="0.3">
      <c r="B1038" s="34"/>
      <c r="C1038" s="72" t="str">
        <f>_xlfn.CONCAT(_xlfn.XLOOKUP("[S05_CategoryCHighestTierNotApplied][2][InstallationID]",Submission!$O:$O,Submission!$H:$N,""))</f>
        <v/>
      </c>
      <c r="D1038" s="72" t="str">
        <f>_xlfn.CONCAT(_xlfn.XLOOKUP("[S05_CategoryCHighestTierNotApplied][2][SourceStreamAffected]",Submission!$O:$O,Submission!$H:$N,""))</f>
        <v/>
      </c>
      <c r="E1038" s="72" t="str">
        <f>_xlfn.CONCAT(_xlfn.XLOOKUP("[S05_CategoryCHighestTierNotApplied][2][EmissionSourceAffected]",Submission!$O:$O,Submission!$H:$N,""))</f>
        <v/>
      </c>
      <c r="F1038" s="72" t="str">
        <f>_xlfn.CONCAT(_xlfn.XLOOKUP("[S05_CategoryCHighestTierNotApplied][2][MonitoringParameterAffected]",Submission!$O:$O,Submission!$H:$N,""))</f>
        <v/>
      </c>
      <c r="G1038" s="89" t="str">
        <f>_xlfn.CONCAT(_xlfn.XLOOKUP("[S05_CategoryCHighestTierNotApplied][2][HighestTierRequired]",Submission!$O:$O,Submission!$H:$N,""))</f>
        <v/>
      </c>
      <c r="H1038" s="240" t="str">
        <f>_xlfn.CONCAT(_xlfn.XLOOKUP("[S05_CategoryCHighestTierNotApplied][2][TierInPractice]",Submission!$O:$O,Submission!$H:$N,""))</f>
        <v/>
      </c>
      <c r="I1038" s="242"/>
    </row>
    <row r="1039" spans="1:9" ht="24.6" customHeight="1" x14ac:dyDescent="0.3">
      <c r="A1039" s="13"/>
      <c r="B1039" s="34"/>
      <c r="C1039" s="72" t="str">
        <f>_xlfn.CONCAT(_xlfn.XLOOKUP("[S05_CategoryCHighestTierNotApplied][3][InstallationID]",Submission!$O:$O,Submission!$H:$N,""))</f>
        <v/>
      </c>
      <c r="D1039" s="72" t="str">
        <f>_xlfn.CONCAT(_xlfn.XLOOKUP("[S05_CategoryCHighestTierNotApplied][3][SourceStreamAffected]",Submission!$O:$O,Submission!$H:$N,""))</f>
        <v/>
      </c>
      <c r="E1039" s="72" t="str">
        <f>_xlfn.CONCAT(_xlfn.XLOOKUP("[S05_CategoryCHighestTierNotApplied][3][EmissionSourceAffected]",Submission!$O:$O,Submission!$H:$N,""))</f>
        <v/>
      </c>
      <c r="F1039" s="72" t="str">
        <f>_xlfn.CONCAT(_xlfn.XLOOKUP("[S05_CategoryCHighestTierNotApplied][3][MonitoringParameterAffected]",Submission!$O:$O,Submission!$H:$N,""))</f>
        <v/>
      </c>
      <c r="G1039" s="89" t="str">
        <f>_xlfn.CONCAT(_xlfn.XLOOKUP("[S05_CategoryCHighestTierNotApplied][3][HighestTierRequired]",Submission!$O:$O,Submission!$H:$N,""))</f>
        <v/>
      </c>
      <c r="H1039" s="240" t="str">
        <f>_xlfn.CONCAT(_xlfn.XLOOKUP("[S05_CategoryCHighestTierNotApplied][3][TierInPractice]",Submission!$O:$O,Submission!$H:$N,""))</f>
        <v/>
      </c>
      <c r="I1039" s="242"/>
    </row>
    <row r="1040" spans="1:9" ht="24.6" customHeight="1" x14ac:dyDescent="0.3">
      <c r="B1040" s="34"/>
      <c r="C1040" s="72" t="str">
        <f>_xlfn.CONCAT(_xlfn.XLOOKUP("[S05_CategoryCHighestTierNotApplied][4][InstallationID]",Submission!$O:$O,Submission!$H:$N,""))</f>
        <v/>
      </c>
      <c r="D1040" s="72" t="str">
        <f>_xlfn.CONCAT(_xlfn.XLOOKUP("[S05_CategoryCHighestTierNotApplied][4][SourceStreamAffected]",Submission!$O:$O,Submission!$H:$N,""))</f>
        <v/>
      </c>
      <c r="E1040" s="72" t="str">
        <f>_xlfn.CONCAT(_xlfn.XLOOKUP("[S05_CategoryCHighestTierNotApplied][4][EmissionSourceAffected]",Submission!$O:$O,Submission!$H:$N,""))</f>
        <v/>
      </c>
      <c r="F1040" s="72" t="str">
        <f>_xlfn.CONCAT(_xlfn.XLOOKUP("[S05_CategoryCHighestTierNotApplied][4][MonitoringParameterAffected]",Submission!$O:$O,Submission!$H:$N,""))</f>
        <v/>
      </c>
      <c r="G1040" s="89" t="str">
        <f>_xlfn.CONCAT(_xlfn.XLOOKUP("[S05_CategoryCHighestTierNotApplied][4][HighestTierRequired]",Submission!$O:$O,Submission!$H:$N,""))</f>
        <v/>
      </c>
      <c r="H1040" s="240" t="str">
        <f>_xlfn.CONCAT(_xlfn.XLOOKUP("[S05_CategoryCHighestTierNotApplied][4][TierInPractice]",Submission!$O:$O,Submission!$H:$N,""))</f>
        <v/>
      </c>
      <c r="I1040" s="242"/>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0" t="str">
        <f>_xlfn.CONCAT(_xlfn.XLOOKUP("[S05_CategoryCHighestTierNotApplied][5][TierInPractice]",Submission!$O:$O,Submission!$H:$N,""))</f>
        <v/>
      </c>
      <c r="I1041" s="242"/>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0" t="str">
        <f>_xlfn.CONCAT(_xlfn.XLOOKUP("[S05_CategoryCHighestTierNotApplied][6][TierInPractice]",Submission!$O:$O,Submission!$H:$N,""))</f>
        <v/>
      </c>
      <c r="I1042" s="242"/>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0" t="str">
        <f>_xlfn.CONCAT(_xlfn.XLOOKUP("[S05_CategoryCHighestTierNotApplied][7][TierInPractice]",Submission!$O:$O,Submission!$H:$N,""))</f>
        <v/>
      </c>
      <c r="I1043" s="242"/>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0" t="str">
        <f>_xlfn.CONCAT(_xlfn.XLOOKUP("[S05_CategoryCHighestTierNotApplied][8][TierInPractice]",Submission!$O:$O,Submission!$H:$N,""))</f>
        <v/>
      </c>
      <c r="I1044" s="242"/>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0" t="str">
        <f>_xlfn.CONCAT(_xlfn.XLOOKUP("[S05_CategoryCHighestTierNotApplied][9][TierInPractice]",Submission!$O:$O,Submission!$H:$N,""))</f>
        <v/>
      </c>
      <c r="I1045" s="242"/>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0" t="str">
        <f>_xlfn.CONCAT(_xlfn.XLOOKUP("[S05_CategoryCHighestTierNotApplied][10][TierInPractice]",Submission!$O:$O,Submission!$H:$N,""))</f>
        <v/>
      </c>
      <c r="I1046" s="242"/>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0" t="str">
        <f>_xlfn.CONCAT(_xlfn.XLOOKUP("[S05_CategoryCHighestTierNotApplied][11][TierInPractice]",Submission!$O:$O,Submission!$H:$N,""))</f>
        <v/>
      </c>
      <c r="I1047" s="242"/>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0" t="str">
        <f>_xlfn.CONCAT(_xlfn.XLOOKUP("[S05_CategoryCHighestTierNotApplied][12][TierInPractice]",Submission!$O:$O,Submission!$H:$N,""))</f>
        <v/>
      </c>
      <c r="I1048" s="242"/>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0" t="str">
        <f>_xlfn.CONCAT(_xlfn.XLOOKUP("[S05_CategoryCHighestTierNotApplied][13][TierInPractice]",Submission!$O:$O,Submission!$H:$N,""))</f>
        <v/>
      </c>
      <c r="I1049" s="242"/>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0" t="str">
        <f>_xlfn.CONCAT(_xlfn.XLOOKUP("[S05_CategoryCHighestTierNotApplied][14][TierInPractice]",Submission!$O:$O,Submission!$H:$N,""))</f>
        <v/>
      </c>
      <c r="I1050" s="242"/>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0" t="str">
        <f>_xlfn.CONCAT(_xlfn.XLOOKUP("[S05_CategoryCHighestTierNotApplied][15][TierInPractice]",Submission!$O:$O,Submission!$H:$N,""))</f>
        <v/>
      </c>
      <c r="I1051" s="242"/>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0" t="str">
        <f>_xlfn.CONCAT(_xlfn.XLOOKUP("[S05_CategoryCHighestTierNotApplied][16][TierInPractice]",Submission!$O:$O,Submission!$H:$N,""))</f>
        <v/>
      </c>
      <c r="I1052" s="242"/>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0" t="str">
        <f>_xlfn.CONCAT(_xlfn.XLOOKUP("[S05_CategoryCHighestTierNotApplied][17][TierInPractice]",Submission!$O:$O,Submission!$H:$N,""))</f>
        <v/>
      </c>
      <c r="I1053" s="242"/>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0" t="str">
        <f>_xlfn.CONCAT(_xlfn.XLOOKUP("[S05_CategoryCHighestTierNotApplied][18][TierInPractice]",Submission!$O:$O,Submission!$H:$N,""))</f>
        <v/>
      </c>
      <c r="I1054" s="242"/>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0" t="str">
        <f>_xlfn.CONCAT(_xlfn.XLOOKUP("[S05_CategoryCHighestTierNotApplied][19][TierInPractice]",Submission!$O:$O,Submission!$H:$N,""))</f>
        <v/>
      </c>
      <c r="I1055" s="242"/>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0" t="str">
        <f>_xlfn.CONCAT(_xlfn.XLOOKUP("[S05_CategoryCHighestTierNotApplied][20][TierInPractice]",Submission!$O:$O,Submission!$H:$N,""))</f>
        <v/>
      </c>
      <c r="I1056" s="242"/>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0" t="str">
        <f>_xlfn.CONCAT(_xlfn.XLOOKUP("[S05_CategoryCHighestTierNotApplied][21][TierInPractice]",Submission!$O:$O,Submission!$H:$N,""))</f>
        <v/>
      </c>
      <c r="I1057" s="242"/>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0" t="str">
        <f>_xlfn.CONCAT(_xlfn.XLOOKUP("[S05_CategoryCHighestTierNotApplied][22][TierInPractice]",Submission!$O:$O,Submission!$H:$N,""))</f>
        <v/>
      </c>
      <c r="I1058" s="242"/>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0" t="str">
        <f>_xlfn.CONCAT(_xlfn.XLOOKUP("[S05_CategoryCHighestTierNotApplied][23][TierInPractice]",Submission!$O:$O,Submission!$H:$N,""))</f>
        <v/>
      </c>
      <c r="I1059" s="242"/>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0" t="str">
        <f>_xlfn.CONCAT(_xlfn.XLOOKUP("[S05_CategoryCHighestTierNotApplied][24][TierInPractice]",Submission!$O:$O,Submission!$H:$N,""))</f>
        <v/>
      </c>
      <c r="I1060" s="242"/>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0" t="str">
        <f>_xlfn.CONCAT(_xlfn.XLOOKUP("[S05_CategoryCHighestTierNotApplied][25][TierInPractice]",Submission!$O:$O,Submission!$H:$N,""))</f>
        <v/>
      </c>
      <c r="I1061" s="242"/>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0" t="str">
        <f>_xlfn.CONCAT(_xlfn.XLOOKUP("[S05_CategoryCHighestTierNotApplied][26][TierInPractice]",Submission!$O:$O,Submission!$H:$N,""))</f>
        <v/>
      </c>
      <c r="I1062" s="242"/>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0" t="str">
        <f>_xlfn.CONCAT(_xlfn.XLOOKUP("[S05_CategoryCHighestTierNotApplied][27][TierInPractice]",Submission!$O:$O,Submission!$H:$N,""))</f>
        <v/>
      </c>
      <c r="I1063" s="242"/>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0" t="str">
        <f>_xlfn.CONCAT(_xlfn.XLOOKUP("[S05_CategoryCHighestTierNotApplied][28][TierInPractice]",Submission!$O:$O,Submission!$H:$N,""))</f>
        <v/>
      </c>
      <c r="I1064" s="242"/>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0" t="str">
        <f>_xlfn.CONCAT(_xlfn.XLOOKUP("[S05_CategoryCHighestTierNotApplied][29][TierInPractice]",Submission!$O:$O,Submission!$H:$N,""))</f>
        <v/>
      </c>
      <c r="I1065" s="242"/>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0" t="str">
        <f>_xlfn.CONCAT(_xlfn.XLOOKUP("[S05_CategoryCHighestTierNotApplied][30][TierInPractice]",Submission!$O:$O,Submission!$H:$N,""))</f>
        <v/>
      </c>
      <c r="I1066" s="242"/>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0" t="str">
        <f>_xlfn.CONCAT(_xlfn.XLOOKUP("[S05_CategoryCHighestTierNotApplied][31][TierInPractice]",Submission!$O:$O,Submission!$H:$N,""))</f>
        <v/>
      </c>
      <c r="I1067" s="242"/>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0" t="str">
        <f>_xlfn.CONCAT(_xlfn.XLOOKUP("[S05_CategoryCHighestTierNotApplied][32][TierInPractice]",Submission!$O:$O,Submission!$H:$N,""))</f>
        <v/>
      </c>
      <c r="I1068" s="242"/>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0" t="str">
        <f>_xlfn.CONCAT(_xlfn.XLOOKUP("[S05_CategoryCHighestTierNotApplied][33][TierInPractice]",Submission!$O:$O,Submission!$H:$N,""))</f>
        <v/>
      </c>
      <c r="I1069" s="242"/>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0" t="str">
        <f>_xlfn.CONCAT(_xlfn.XLOOKUP("[S05_CategoryCHighestTierNotApplied][34][TierInPractice]",Submission!$O:$O,Submission!$H:$N,""))</f>
        <v/>
      </c>
      <c r="I1070" s="242"/>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0" t="str">
        <f>_xlfn.CONCAT(_xlfn.XLOOKUP("[S05_CategoryCHighestTierNotApplied][35][TierInPractice]",Submission!$O:$O,Submission!$H:$N,""))</f>
        <v/>
      </c>
      <c r="I1071" s="242"/>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0" t="str">
        <f>_xlfn.CONCAT(_xlfn.XLOOKUP("[S05_CategoryCHighestTierNotApplied][36][TierInPractice]",Submission!$O:$O,Submission!$H:$N,""))</f>
        <v/>
      </c>
      <c r="I1072" s="242"/>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0" t="str">
        <f>_xlfn.CONCAT(_xlfn.XLOOKUP("[S05_CategoryCHighestTierNotApplied][37][TierInPractice]",Submission!$O:$O,Submission!$H:$N,""))</f>
        <v/>
      </c>
      <c r="I1073" s="242"/>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0" t="str">
        <f>_xlfn.CONCAT(_xlfn.XLOOKUP("[S05_CategoryCHighestTierNotApplied][38][TierInPractice]",Submission!$O:$O,Submission!$H:$N,""))</f>
        <v/>
      </c>
      <c r="I1074" s="242"/>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0" t="str">
        <f>_xlfn.CONCAT(_xlfn.XLOOKUP("[S05_CategoryCHighestTierNotApplied][39][TierInPractice]",Submission!$O:$O,Submission!$H:$N,""))</f>
        <v/>
      </c>
      <c r="I1075" s="242"/>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0" t="str">
        <f>_xlfn.CONCAT(_xlfn.XLOOKUP("[S05_CategoryCHighestTierNotApplied][40][TierInPractice]",Submission!$O:$O,Submission!$H:$N,""))</f>
        <v/>
      </c>
      <c r="I1076" s="242"/>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0" t="str">
        <f>_xlfn.CONCAT(_xlfn.XLOOKUP("[S05_CategoryCHighestTierNotApplied][41][TierInPractice]",Submission!$O:$O,Submission!$H:$N,""))</f>
        <v/>
      </c>
      <c r="I1077" s="242"/>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0" t="str">
        <f>_xlfn.CONCAT(_xlfn.XLOOKUP("[S05_CategoryCHighestTierNotApplied][42][TierInPractice]",Submission!$O:$O,Submission!$H:$N,""))</f>
        <v/>
      </c>
      <c r="I1078" s="242"/>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0" t="str">
        <f>_xlfn.CONCAT(_xlfn.XLOOKUP("[S05_CategoryCHighestTierNotApplied][43][TierInPractice]",Submission!$O:$O,Submission!$H:$N,""))</f>
        <v/>
      </c>
      <c r="I1079" s="242"/>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0" t="str">
        <f>_xlfn.CONCAT(_xlfn.XLOOKUP("[S05_CategoryCHighestTierNotApplied][44][TierInPractice]",Submission!$O:$O,Submission!$H:$N,""))</f>
        <v/>
      </c>
      <c r="I1080" s="242"/>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0" t="str">
        <f>_xlfn.CONCAT(_xlfn.XLOOKUP("[S05_CategoryCHighestTierNotApplied][45][TierInPractice]",Submission!$O:$O,Submission!$H:$N,""))</f>
        <v/>
      </c>
      <c r="I1081" s="242"/>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0" t="str">
        <f>_xlfn.CONCAT(_xlfn.XLOOKUP("[S05_CategoryCHighestTierNotApplied][46][TierInPractice]",Submission!$O:$O,Submission!$H:$N,""))</f>
        <v/>
      </c>
      <c r="I1082" s="242"/>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0" t="str">
        <f>_xlfn.CONCAT(_xlfn.XLOOKUP("[S05_CategoryCHighestTierNotApplied][47][TierInPractice]",Submission!$O:$O,Submission!$H:$N,""))</f>
        <v/>
      </c>
      <c r="I1083" s="242"/>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0" t="str">
        <f>_xlfn.CONCAT(_xlfn.XLOOKUP("[S05_CategoryCHighestTierNotApplied][48][TierInPractice]",Submission!$O:$O,Submission!$H:$N,""))</f>
        <v/>
      </c>
      <c r="I1084" s="242"/>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0" t="str">
        <f>_xlfn.CONCAT(_xlfn.XLOOKUP("[S05_CategoryCHighestTierNotApplied][49][TierInPractice]",Submission!$O:$O,Submission!$H:$N,""))</f>
        <v/>
      </c>
      <c r="I1085" s="242"/>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0" t="str">
        <f>_xlfn.CONCAT(_xlfn.XLOOKUP("[S05_CategoryCHighestTierNotApplied][50][TierInPractice]",Submission!$O:$O,Submission!$H:$N,""))</f>
        <v/>
      </c>
      <c r="I1086" s="242"/>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0" t="str">
        <f>_xlfn.CONCAT(_xlfn.XLOOKUP("[S05_CategoryCHighestTierNotApplied][51][TierInPractice]",Submission!$O:$O,Submission!$H:$N,""))</f>
        <v/>
      </c>
      <c r="I1087" s="242"/>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0" t="str">
        <f>_xlfn.CONCAT(_xlfn.XLOOKUP("[S05_CategoryCHighestTierNotApplied][52][TierInPractice]",Submission!$O:$O,Submission!$H:$N,""))</f>
        <v/>
      </c>
      <c r="I1088" s="242"/>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0" t="str">
        <f>_xlfn.CONCAT(_xlfn.XLOOKUP("[S05_CategoryCHighestTierNotApplied][53][TierInPractice]",Submission!$O:$O,Submission!$H:$N,""))</f>
        <v/>
      </c>
      <c r="I1089" s="242"/>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0" t="str">
        <f>_xlfn.CONCAT(_xlfn.XLOOKUP("[S05_CategoryCHighestTierNotApplied][54][TierInPractice]",Submission!$O:$O,Submission!$H:$N,""))</f>
        <v/>
      </c>
      <c r="I1090" s="242"/>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0" t="str">
        <f>_xlfn.CONCAT(_xlfn.XLOOKUP("[S05_CategoryCHighestTierNotApplied][55][TierInPractice]",Submission!$O:$O,Submission!$H:$N,""))</f>
        <v/>
      </c>
      <c r="I1091" s="242"/>
    </row>
    <row r="1092" spans="1:9" ht="15.9" customHeight="1" collapsed="1" x14ac:dyDescent="0.3">
      <c r="A1092" s="13"/>
      <c r="B1092" s="26" t="s">
        <v>2</v>
      </c>
      <c r="C1092" s="19"/>
      <c r="D1092" s="20"/>
      <c r="E1092" s="20"/>
      <c r="F1092" s="20"/>
      <c r="G1092" s="20"/>
      <c r="H1092" s="20"/>
      <c r="I1092" s="20"/>
    </row>
    <row r="1093" spans="1:9" ht="26.1" customHeight="1" x14ac:dyDescent="0.3">
      <c r="C1093" s="367" t="s">
        <v>875</v>
      </c>
      <c r="D1093" s="380"/>
      <c r="E1093" s="380"/>
      <c r="F1093" s="380"/>
      <c r="G1093" s="380"/>
      <c r="H1093" s="380"/>
      <c r="I1093" s="380"/>
    </row>
    <row r="1094" spans="1:9" ht="26.1" customHeight="1" x14ac:dyDescent="0.3">
      <c r="C1094" s="367" t="s">
        <v>876</v>
      </c>
      <c r="D1094" s="367"/>
      <c r="E1094" s="367"/>
      <c r="F1094" s="367"/>
      <c r="G1094" s="367"/>
      <c r="H1094" s="367"/>
      <c r="I1094" s="367"/>
    </row>
    <row r="1095" spans="1:9" ht="15.9" customHeight="1" x14ac:dyDescent="0.3">
      <c r="B1095" s="34"/>
      <c r="C1095" s="20"/>
      <c r="D1095" s="20"/>
      <c r="E1095" s="20"/>
      <c r="F1095" s="20"/>
      <c r="G1095" s="20"/>
      <c r="H1095" s="20"/>
      <c r="I1095" s="20"/>
    </row>
    <row r="1096" spans="1:9" ht="34.200000000000003" customHeight="1" x14ac:dyDescent="0.3">
      <c r="A1096" s="12" t="s">
        <v>254</v>
      </c>
      <c r="B1096" s="293" t="s">
        <v>877</v>
      </c>
      <c r="C1096" s="294"/>
      <c r="D1096" s="294"/>
      <c r="E1096" s="294"/>
      <c r="F1096" s="294"/>
      <c r="G1096" s="294"/>
      <c r="H1096" s="294"/>
      <c r="I1096" s="294"/>
    </row>
    <row r="1097" spans="1:9" ht="15.9" customHeight="1" x14ac:dyDescent="0.3">
      <c r="B1097" s="34"/>
      <c r="C1097" s="315" t="s">
        <v>878</v>
      </c>
      <c r="D1097" s="336"/>
      <c r="E1097" s="315" t="s">
        <v>879</v>
      </c>
      <c r="F1097" s="379"/>
      <c r="G1097" s="336"/>
      <c r="H1097" s="315" t="s">
        <v>880</v>
      </c>
      <c r="I1097" s="336"/>
    </row>
    <row r="1098" spans="1:9" ht="25.95" customHeight="1" x14ac:dyDescent="0.3">
      <c r="B1098" s="34"/>
      <c r="C1098" s="284" t="str">
        <f>_xlfn.CONCAT(_xlfn.XLOOKUP("[S05_CategoryBHighestTierNotApplied][1][MonitoringMethodology]",Submission!$O:$O,Submission!$H:$N,""))</f>
        <v/>
      </c>
      <c r="D1098" s="285"/>
      <c r="E1098" s="281" t="str">
        <f>_xlfn.CONCAT(_xlfn.XLOOKUP("[S05_CategoryBHighestTierNotApplied][1][CategoryBMainActivity]",Submission!$O:$O,Submission!$H:$N,""))</f>
        <v/>
      </c>
      <c r="F1098" s="349"/>
      <c r="G1098" s="282"/>
      <c r="H1098" s="341" t="str">
        <f>_xlfn.CONCAT(_xlfn.XLOOKUP("[S05_CategoryBHighestTierNotApplied][1][CategoryBInstallationsAffected]",Submission!$O:$O,Submission!$H:$N,""))</f>
        <v/>
      </c>
      <c r="I1098" s="342"/>
    </row>
    <row r="1099" spans="1:9" ht="25.95" customHeight="1" x14ac:dyDescent="0.3">
      <c r="B1099" s="34"/>
      <c r="C1099" s="284" t="str">
        <f>_xlfn.CONCAT(_xlfn.XLOOKUP("[S05_CategoryBHighestTierNotApplied][2][MonitoringMethodology]",Submission!$O:$O,Submission!$H:$N,""))</f>
        <v/>
      </c>
      <c r="D1099" s="285"/>
      <c r="E1099" s="281" t="str">
        <f>_xlfn.CONCAT(_xlfn.XLOOKUP("[S05_CategoryBHighestTierNotApplied][2][CategoryBMainActivity]",Submission!$O:$O,Submission!$H:$N,""))</f>
        <v/>
      </c>
      <c r="F1099" s="349"/>
      <c r="G1099" s="282"/>
      <c r="H1099" s="341" t="str">
        <f>_xlfn.CONCAT(_xlfn.XLOOKUP("[S05_CategoryBHighestTierNotApplied][2][CategoryBInstallationsAffected]",Submission!$O:$O,Submission!$H:$N,""))</f>
        <v/>
      </c>
      <c r="I1099" s="342"/>
    </row>
    <row r="1100" spans="1:9" ht="25.95" customHeight="1" x14ac:dyDescent="0.3">
      <c r="B1100" s="34"/>
      <c r="C1100" s="284" t="str">
        <f>_xlfn.CONCAT(_xlfn.XLOOKUP("[S05_CategoryBHighestTierNotApplied][3][MonitoringMethodology]",Submission!$O:$O,Submission!$H:$N,""))</f>
        <v/>
      </c>
      <c r="D1100" s="285"/>
      <c r="E1100" s="281" t="str">
        <f>_xlfn.CONCAT(_xlfn.XLOOKUP("[S05_CategoryBHighestTierNotApplied][3][CategoryBMainActivity]",Submission!$O:$O,Submission!$H:$N,""))</f>
        <v/>
      </c>
      <c r="F1100" s="349"/>
      <c r="G1100" s="282"/>
      <c r="H1100" s="341" t="str">
        <f>_xlfn.CONCAT(_xlfn.XLOOKUP("[S05_CategoryBHighestTierNotApplied][3][CategoryBInstallationsAffected]",Submission!$O:$O,Submission!$H:$N,""))</f>
        <v/>
      </c>
      <c r="I1100" s="342"/>
    </row>
    <row r="1101" spans="1:9" ht="25.95" customHeight="1" x14ac:dyDescent="0.3">
      <c r="B1101" s="34"/>
      <c r="C1101" s="284" t="str">
        <f>_xlfn.CONCAT(_xlfn.XLOOKUP("[S05_CategoryBHighestTierNotApplied][4][MonitoringMethodology]",Submission!$O:$O,Submission!$H:$N,""))</f>
        <v/>
      </c>
      <c r="D1101" s="285"/>
      <c r="E1101" s="281" t="str">
        <f>_xlfn.CONCAT(_xlfn.XLOOKUP("[S05_CategoryBHighestTierNotApplied][4][CategoryBMainActivity]",Submission!$O:$O,Submission!$H:$N,""))</f>
        <v/>
      </c>
      <c r="F1101" s="349"/>
      <c r="G1101" s="282"/>
      <c r="H1101" s="341" t="str">
        <f>_xlfn.CONCAT(_xlfn.XLOOKUP("[S05_CategoryBHighestTierNotApplied][4][CategoryBInstallationsAffected]",Submission!$O:$O,Submission!$H:$N,""))</f>
        <v/>
      </c>
      <c r="I1101" s="342"/>
    </row>
    <row r="1102" spans="1:9" ht="25.95" customHeight="1" x14ac:dyDescent="0.3">
      <c r="B1102" s="34"/>
      <c r="C1102" s="284" t="str">
        <f>_xlfn.CONCAT(_xlfn.XLOOKUP("[S05_CategoryBHighestTierNotApplied][5][MonitoringMethodology]",Submission!$O:$O,Submission!$H:$N,""))</f>
        <v/>
      </c>
      <c r="D1102" s="285"/>
      <c r="E1102" s="281" t="str">
        <f>_xlfn.CONCAT(_xlfn.XLOOKUP("[S05_CategoryBHighestTierNotApplied][5][CategoryBMainActivity]",Submission!$O:$O,Submission!$H:$N,""))</f>
        <v/>
      </c>
      <c r="F1102" s="349"/>
      <c r="G1102" s="282"/>
      <c r="H1102" s="341" t="str">
        <f>_xlfn.CONCAT(_xlfn.XLOOKUP("[S05_CategoryBHighestTierNotApplied][5][CategoryBInstallationsAffected]",Submission!$O:$O,Submission!$H:$N,""))</f>
        <v/>
      </c>
      <c r="I1102" s="342"/>
    </row>
    <row r="1103" spans="1:9" ht="25.95" customHeight="1" x14ac:dyDescent="0.3">
      <c r="B1103" s="34"/>
      <c r="C1103" s="284" t="str">
        <f>_xlfn.CONCAT(_xlfn.XLOOKUP("[S05_CategoryBHighestTierNotApplied][6][MonitoringMethodology]",Submission!$O:$O,Submission!$H:$N,""))</f>
        <v/>
      </c>
      <c r="D1103" s="285"/>
      <c r="E1103" s="281" t="str">
        <f>_xlfn.CONCAT(_xlfn.XLOOKUP("[S05_CategoryBHighestTierNotApplied][6][CategoryBMainActivity]",Submission!$O:$O,Submission!$H:$N,""))</f>
        <v/>
      </c>
      <c r="F1103" s="349"/>
      <c r="G1103" s="282"/>
      <c r="H1103" s="341" t="str">
        <f>_xlfn.CONCAT(_xlfn.XLOOKUP("[S05_CategoryBHighestTierNotApplied][6][CategoryBInstallationsAffected]",Submission!$O:$O,Submission!$H:$N,""))</f>
        <v/>
      </c>
      <c r="I1103" s="342"/>
    </row>
    <row r="1104" spans="1:9" ht="25.95" customHeight="1" x14ac:dyDescent="0.3">
      <c r="B1104" s="34"/>
      <c r="C1104" s="284" t="str">
        <f>_xlfn.CONCAT(_xlfn.XLOOKUP("[S05_CategoryBHighestTierNotApplied][7][MonitoringMethodology]",Submission!$O:$O,Submission!$H:$N,""))</f>
        <v/>
      </c>
      <c r="D1104" s="285"/>
      <c r="E1104" s="281" t="str">
        <f>_xlfn.CONCAT(_xlfn.XLOOKUP("[S05_CategoryBHighestTierNotApplied][7][CategoryBMainActivity]",Submission!$O:$O,Submission!$H:$N,""))</f>
        <v/>
      </c>
      <c r="F1104" s="349"/>
      <c r="G1104" s="282"/>
      <c r="H1104" s="341" t="str">
        <f>_xlfn.CONCAT(_xlfn.XLOOKUP("[S05_CategoryBHighestTierNotApplied][7][CategoryBInstallationsAffected]",Submission!$O:$O,Submission!$H:$N,""))</f>
        <v/>
      </c>
      <c r="I1104" s="342"/>
    </row>
    <row r="1105" spans="1:9" ht="25.95" hidden="1" customHeight="1" outlineLevel="1" x14ac:dyDescent="0.3">
      <c r="B1105" s="34"/>
      <c r="C1105" s="284" t="str">
        <f>_xlfn.CONCAT(_xlfn.XLOOKUP("[S05_CategoryBHighestTierNotApplied][8][MonitoringMethodology]",Submission!$O:$O,Submission!$H:$N,""))</f>
        <v/>
      </c>
      <c r="D1105" s="285"/>
      <c r="E1105" s="281" t="str">
        <f>_xlfn.CONCAT(_xlfn.XLOOKUP("[S05_CategoryBHighestTierNotApplied][8][CategoryBMainActivity]",Submission!$O:$O,Submission!$H:$N,""))</f>
        <v/>
      </c>
      <c r="F1105" s="349"/>
      <c r="G1105" s="282"/>
      <c r="H1105" s="341" t="str">
        <f>_xlfn.CONCAT(_xlfn.XLOOKUP("[S05_CategoryBHighestTierNotApplied][8][CategoryBInstallationsAffected]",Submission!$O:$O,Submission!$H:$N,""))</f>
        <v/>
      </c>
      <c r="I1105" s="342"/>
    </row>
    <row r="1106" spans="1:9" ht="25.95" hidden="1" customHeight="1" outlineLevel="1" x14ac:dyDescent="0.3">
      <c r="B1106" s="34"/>
      <c r="C1106" s="284" t="str">
        <f>_xlfn.CONCAT(_xlfn.XLOOKUP("[S05_CategoryBHighestTierNotApplied][9][MonitoringMethodology]",Submission!$O:$O,Submission!$H:$N,""))</f>
        <v/>
      </c>
      <c r="D1106" s="285"/>
      <c r="E1106" s="281" t="str">
        <f>_xlfn.CONCAT(_xlfn.XLOOKUP("[S05_CategoryBHighestTierNotApplied][9][CategoryBMainActivity]",Submission!$O:$O,Submission!$H:$N,""))</f>
        <v/>
      </c>
      <c r="F1106" s="349"/>
      <c r="G1106" s="282"/>
      <c r="H1106" s="341" t="str">
        <f>_xlfn.CONCAT(_xlfn.XLOOKUP("[S05_CategoryBHighestTierNotApplied][9][CategoryBInstallationsAffected]",Submission!$O:$O,Submission!$H:$N,""))</f>
        <v/>
      </c>
      <c r="I1106" s="342"/>
    </row>
    <row r="1107" spans="1:9" ht="25.95" hidden="1" customHeight="1" outlineLevel="1" x14ac:dyDescent="0.3">
      <c r="B1107" s="34"/>
      <c r="C1107" s="284" t="str">
        <f>_xlfn.CONCAT(_xlfn.XLOOKUP("[S05_CategoryBHighestTierNotApplied][10][MonitoringMethodology]",Submission!$O:$O,Submission!$H:$N,""))</f>
        <v/>
      </c>
      <c r="D1107" s="285"/>
      <c r="E1107" s="281" t="str">
        <f>_xlfn.CONCAT(_xlfn.XLOOKUP("[S05_CategoryBHighestTierNotApplied][10][CategoryBMainActivity]",Submission!$O:$O,Submission!$H:$N,""))</f>
        <v/>
      </c>
      <c r="F1107" s="349"/>
      <c r="G1107" s="282"/>
      <c r="H1107" s="341" t="str">
        <f>_xlfn.CONCAT(_xlfn.XLOOKUP("[S05_CategoryBHighestTierNotApplied][10][CategoryBInstallationsAffected]",Submission!$O:$O,Submission!$H:$N,""))</f>
        <v/>
      </c>
      <c r="I1107" s="342"/>
    </row>
    <row r="1108" spans="1:9" ht="25.95" hidden="1" customHeight="1" outlineLevel="1" x14ac:dyDescent="0.3">
      <c r="B1108" s="34"/>
      <c r="C1108" s="284" t="str">
        <f>_xlfn.CONCAT(_xlfn.XLOOKUP("[S05_CategoryBHighestTierNotApplied][11][MonitoringMethodology]",Submission!$O:$O,Submission!$H:$N,""))</f>
        <v/>
      </c>
      <c r="D1108" s="285"/>
      <c r="E1108" s="281" t="str">
        <f>_xlfn.CONCAT(_xlfn.XLOOKUP("[S05_CategoryBHighestTierNotApplied][11][CategoryBMainActivity]",Submission!$O:$O,Submission!$H:$N,""))</f>
        <v/>
      </c>
      <c r="F1108" s="349"/>
      <c r="G1108" s="282"/>
      <c r="H1108" s="341" t="str">
        <f>_xlfn.CONCAT(_xlfn.XLOOKUP("[S05_CategoryBHighestTierNotApplied][11][CategoryBInstallationsAffected]",Submission!$O:$O,Submission!$H:$N,""))</f>
        <v/>
      </c>
      <c r="I1108" s="342"/>
    </row>
    <row r="1109" spans="1:9" ht="25.95" hidden="1" customHeight="1" outlineLevel="1" x14ac:dyDescent="0.3">
      <c r="B1109" s="34"/>
      <c r="C1109" s="284" t="str">
        <f>_xlfn.CONCAT(_xlfn.XLOOKUP("[S05_CategoryBHighestTierNotApplied][12][MonitoringMethodology]",Submission!$O:$O,Submission!$H:$N,""))</f>
        <v/>
      </c>
      <c r="D1109" s="285"/>
      <c r="E1109" s="281" t="str">
        <f>_xlfn.CONCAT(_xlfn.XLOOKUP("[S05_CategoryBHighestTierNotApplied][12][CategoryBMainActivity]",Submission!$O:$O,Submission!$H:$N,""))</f>
        <v/>
      </c>
      <c r="F1109" s="349"/>
      <c r="G1109" s="282"/>
      <c r="H1109" s="341" t="str">
        <f>_xlfn.CONCAT(_xlfn.XLOOKUP("[S05_CategoryBHighestTierNotApplied][12][CategoryBInstallationsAffected]",Submission!$O:$O,Submission!$H:$N,""))</f>
        <v/>
      </c>
      <c r="I1109" s="342"/>
    </row>
    <row r="1110" spans="1:9" ht="25.95" hidden="1" customHeight="1" outlineLevel="1" x14ac:dyDescent="0.3">
      <c r="B1110" s="34"/>
      <c r="C1110" s="284" t="str">
        <f>_xlfn.CONCAT(_xlfn.XLOOKUP("[S05_CategoryBHighestTierNotApplied][13][MonitoringMethodology]",Submission!$O:$O,Submission!$H:$N,""))</f>
        <v/>
      </c>
      <c r="D1110" s="285"/>
      <c r="E1110" s="281" t="str">
        <f>_xlfn.CONCAT(_xlfn.XLOOKUP("[S05_CategoryBHighestTierNotApplied][13][CategoryBMainActivity]",Submission!$O:$O,Submission!$H:$N,""))</f>
        <v/>
      </c>
      <c r="F1110" s="349"/>
      <c r="G1110" s="282"/>
      <c r="H1110" s="341" t="str">
        <f>_xlfn.CONCAT(_xlfn.XLOOKUP("[S05_CategoryBHighestTierNotApplied][13][CategoryBInstallationsAffected]",Submission!$O:$O,Submission!$H:$N,""))</f>
        <v/>
      </c>
      <c r="I1110" s="342"/>
    </row>
    <row r="1111" spans="1:9" ht="25.95" hidden="1" customHeight="1" outlineLevel="1" x14ac:dyDescent="0.3">
      <c r="B1111" s="34"/>
      <c r="C1111" s="284" t="str">
        <f>_xlfn.CONCAT(_xlfn.XLOOKUP("[S05_CategoryBHighestTierNotApplied][14][MonitoringMethodology]",Submission!$O:$O,Submission!$H:$N,""))</f>
        <v/>
      </c>
      <c r="D1111" s="285"/>
      <c r="E1111" s="281" t="str">
        <f>_xlfn.CONCAT(_xlfn.XLOOKUP("[S05_CategoryBHighestTierNotApplied][14][CategoryBMainActivity]",Submission!$O:$O,Submission!$H:$N,""))</f>
        <v/>
      </c>
      <c r="F1111" s="349"/>
      <c r="G1111" s="282"/>
      <c r="H1111" s="341" t="str">
        <f>_xlfn.CONCAT(_xlfn.XLOOKUP("[S05_CategoryBHighestTierNotApplied][14][CategoryBInstallationsAffected]",Submission!$O:$O,Submission!$H:$N,""))</f>
        <v/>
      </c>
      <c r="I1111" s="342"/>
    </row>
    <row r="1112" spans="1:9" ht="25.95" hidden="1" customHeight="1" outlineLevel="1" x14ac:dyDescent="0.3">
      <c r="B1112" s="34"/>
      <c r="C1112" s="284" t="str">
        <f>_xlfn.CONCAT(_xlfn.XLOOKUP("[S05_CategoryBHighestTierNotApplied][15][MonitoringMethodology]",Submission!$O:$O,Submission!$H:$N,""))</f>
        <v/>
      </c>
      <c r="D1112" s="285"/>
      <c r="E1112" s="281" t="str">
        <f>_xlfn.CONCAT(_xlfn.XLOOKUP("[S05_CategoryBHighestTierNotApplied][15][CategoryBMainActivity]",Submission!$O:$O,Submission!$H:$N,""))</f>
        <v/>
      </c>
      <c r="F1112" s="349"/>
      <c r="G1112" s="282"/>
      <c r="H1112" s="341" t="str">
        <f>_xlfn.CONCAT(_xlfn.XLOOKUP("[S05_CategoryBHighestTierNotApplied][15][CategoryBInstallationsAffected]",Submission!$O:$O,Submission!$H:$N,""))</f>
        <v/>
      </c>
      <c r="I1112" s="342"/>
    </row>
    <row r="1113" spans="1:9" ht="25.95" hidden="1" customHeight="1" outlineLevel="1" x14ac:dyDescent="0.3">
      <c r="B1113" s="34"/>
      <c r="C1113" s="284" t="str">
        <f>_xlfn.CONCAT(_xlfn.XLOOKUP("[S05_CategoryBHighestTierNotApplied][16][MonitoringMethodology]",Submission!$O:$O,Submission!$H:$N,""))</f>
        <v/>
      </c>
      <c r="D1113" s="285"/>
      <c r="E1113" s="281" t="str">
        <f>_xlfn.CONCAT(_xlfn.XLOOKUP("[S05_CategoryBHighestTierNotApplied][16][CategoryBMainActivity]",Submission!$O:$O,Submission!$H:$N,""))</f>
        <v/>
      </c>
      <c r="F1113" s="349"/>
      <c r="G1113" s="282"/>
      <c r="H1113" s="341" t="str">
        <f>_xlfn.CONCAT(_xlfn.XLOOKUP("[S05_CategoryBHighestTierNotApplied][16][CategoryBInstallationsAffected]",Submission!$O:$O,Submission!$H:$N,""))</f>
        <v/>
      </c>
      <c r="I1113" s="342"/>
    </row>
    <row r="1114" spans="1:9" ht="25.95" hidden="1" customHeight="1" outlineLevel="1" x14ac:dyDescent="0.3">
      <c r="B1114" s="34"/>
      <c r="C1114" s="284" t="str">
        <f>_xlfn.CONCAT(_xlfn.XLOOKUP("[S05_CategoryBHighestTierNotApplied][17][MonitoringMethodology]",Submission!$O:$O,Submission!$H:$N,""))</f>
        <v/>
      </c>
      <c r="D1114" s="285"/>
      <c r="E1114" s="281" t="str">
        <f>_xlfn.CONCAT(_xlfn.XLOOKUP("[S05_CategoryBHighestTierNotApplied][17][CategoryBMainActivity]",Submission!$O:$O,Submission!$H:$N,""))</f>
        <v/>
      </c>
      <c r="F1114" s="349"/>
      <c r="G1114" s="282"/>
      <c r="H1114" s="341" t="str">
        <f>_xlfn.CONCAT(_xlfn.XLOOKUP("[S05_CategoryBHighestTierNotApplied][17][CategoryBInstallationsAffected]",Submission!$O:$O,Submission!$H:$N,""))</f>
        <v/>
      </c>
      <c r="I1114" s="342"/>
    </row>
    <row r="1115" spans="1:9" ht="25.95" hidden="1" customHeight="1" outlineLevel="1" x14ac:dyDescent="0.3">
      <c r="B1115" s="34"/>
      <c r="C1115" s="284" t="str">
        <f>_xlfn.CONCAT(_xlfn.XLOOKUP("[S05_CategoryBHighestTierNotApplied][18][MonitoringMethodology]",Submission!$O:$O,Submission!$H:$N,""))</f>
        <v/>
      </c>
      <c r="D1115" s="285"/>
      <c r="E1115" s="281" t="str">
        <f>_xlfn.CONCAT(_xlfn.XLOOKUP("[S05_CategoryBHighestTierNotApplied][18][CategoryBMainActivity]",Submission!$O:$O,Submission!$H:$N,""))</f>
        <v/>
      </c>
      <c r="F1115" s="349"/>
      <c r="G1115" s="282"/>
      <c r="H1115" s="341" t="str">
        <f>_xlfn.CONCAT(_xlfn.XLOOKUP("[S05_CategoryBHighestTierNotApplied][18][CategoryBInstallationsAffected]",Submission!$O:$O,Submission!$H:$N,""))</f>
        <v/>
      </c>
      <c r="I1115" s="342"/>
    </row>
    <row r="1116" spans="1:9" ht="25.95" hidden="1" customHeight="1" outlineLevel="1" x14ac:dyDescent="0.3">
      <c r="B1116" s="34"/>
      <c r="C1116" s="284" t="str">
        <f>_xlfn.CONCAT(_xlfn.XLOOKUP("[S05_CategoryBHighestTierNotApplied][19][MonitoringMethodology]",Submission!$O:$O,Submission!$H:$N,""))</f>
        <v/>
      </c>
      <c r="D1116" s="285"/>
      <c r="E1116" s="281" t="str">
        <f>_xlfn.CONCAT(_xlfn.XLOOKUP("[S05_CategoryBHighestTierNotApplied][19][CategoryBMainActivity]",Submission!$O:$O,Submission!$H:$N,""))</f>
        <v/>
      </c>
      <c r="F1116" s="349"/>
      <c r="G1116" s="282"/>
      <c r="H1116" s="341" t="str">
        <f>_xlfn.CONCAT(_xlfn.XLOOKUP("[S05_CategoryBHighestTierNotApplied][19][CategoryBInstallationsAffected]",Submission!$O:$O,Submission!$H:$N,""))</f>
        <v/>
      </c>
      <c r="I1116" s="342"/>
    </row>
    <row r="1117" spans="1:9" ht="25.95" hidden="1" customHeight="1" outlineLevel="1" x14ac:dyDescent="0.3">
      <c r="B1117" s="34"/>
      <c r="C1117" s="284" t="str">
        <f>_xlfn.CONCAT(_xlfn.XLOOKUP("[S05_CategoryBHighestTierNotApplied][20][MonitoringMethodology]",Submission!$O:$O,Submission!$H:$N,""))</f>
        <v/>
      </c>
      <c r="D1117" s="285"/>
      <c r="E1117" s="281" t="str">
        <f>_xlfn.CONCAT(_xlfn.XLOOKUP("[S05_CategoryBHighestTierNotApplied][20][CategoryBMainActivity]",Submission!$O:$O,Submission!$H:$N,""))</f>
        <v/>
      </c>
      <c r="F1117" s="349"/>
      <c r="G1117" s="282"/>
      <c r="H1117" s="341" t="str">
        <f>_xlfn.CONCAT(_xlfn.XLOOKUP("[S05_CategoryBHighestTierNotApplied][20][CategoryBInstallationsAffected]",Submission!$O:$O,Submission!$H:$N,""))</f>
        <v/>
      </c>
      <c r="I1117" s="342"/>
    </row>
    <row r="1118" spans="1:9" ht="25.95" hidden="1" customHeight="1" outlineLevel="1" x14ac:dyDescent="0.3">
      <c r="B1118" s="34"/>
      <c r="C1118" s="284" t="str">
        <f>_xlfn.CONCAT(_xlfn.XLOOKUP("[S05_CategoryBHighestTierNotApplied][21][MonitoringMethodology]",Submission!$O:$O,Submission!$H:$N,""))</f>
        <v/>
      </c>
      <c r="D1118" s="285"/>
      <c r="E1118" s="281" t="str">
        <f>_xlfn.CONCAT(_xlfn.XLOOKUP("[S05_CategoryBHighestTierNotApplied][21][CategoryBMainActivity]",Submission!$O:$O,Submission!$H:$N,""))</f>
        <v/>
      </c>
      <c r="F1118" s="349"/>
      <c r="G1118" s="282"/>
      <c r="H1118" s="341" t="str">
        <f>_xlfn.CONCAT(_xlfn.XLOOKUP("[S05_CategoryBHighestTierNotApplied][21][CategoryBInstallationsAffected]",Submission!$O:$O,Submission!$H:$N,""))</f>
        <v/>
      </c>
      <c r="I1118" s="342"/>
    </row>
    <row r="1119" spans="1:9" ht="25.95" hidden="1" customHeight="1" outlineLevel="1" x14ac:dyDescent="0.3">
      <c r="B1119" s="34"/>
      <c r="C1119" s="284" t="str">
        <f>_xlfn.CONCAT(_xlfn.XLOOKUP("[S05_CategoryBHighestTierNotApplied][22][MonitoringMethodology]",Submission!$O:$O,Submission!$H:$N,""))</f>
        <v/>
      </c>
      <c r="D1119" s="285"/>
      <c r="E1119" s="281" t="str">
        <f>_xlfn.CONCAT(_xlfn.XLOOKUP("[S05_CategoryBHighestTierNotApplied][22][CategoryBMainActivity]",Submission!$O:$O,Submission!$H:$N,""))</f>
        <v/>
      </c>
      <c r="F1119" s="349"/>
      <c r="G1119" s="282"/>
      <c r="H1119" s="341" t="str">
        <f>_xlfn.CONCAT(_xlfn.XLOOKUP("[S05_CategoryBHighestTierNotApplied][22][CategoryBInstallationsAffected]",Submission!$O:$O,Submission!$H:$N,""))</f>
        <v/>
      </c>
      <c r="I1119" s="34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48" t="s">
        <v>881</v>
      </c>
      <c r="D1121" s="248"/>
      <c r="E1121" s="248"/>
      <c r="F1121" s="248"/>
      <c r="G1121" s="248"/>
      <c r="H1121" s="248"/>
      <c r="I1121" s="248"/>
    </row>
    <row r="1122" spans="1:9" ht="16.95" customHeight="1" x14ac:dyDescent="0.3">
      <c r="A1122" s="13"/>
      <c r="C1122" s="248" t="s">
        <v>882</v>
      </c>
      <c r="D1122" s="248"/>
      <c r="E1122" s="248"/>
      <c r="F1122" s="248"/>
      <c r="G1122" s="248"/>
      <c r="H1122" s="248"/>
      <c r="I1122" s="248"/>
    </row>
    <row r="1123" spans="1:9" ht="16.95" customHeight="1" x14ac:dyDescent="0.3">
      <c r="A1123" s="13"/>
      <c r="C1123" s="99"/>
      <c r="D1123" s="99"/>
      <c r="E1123" s="99"/>
      <c r="F1123" s="99"/>
      <c r="G1123" s="99"/>
      <c r="H1123" s="99"/>
      <c r="I1123" s="99"/>
    </row>
    <row r="1124" spans="1:9" ht="35.25" customHeight="1" x14ac:dyDescent="0.3">
      <c r="A1124" s="12" t="s">
        <v>259</v>
      </c>
      <c r="B1124" s="293" t="s">
        <v>883</v>
      </c>
      <c r="C1124" s="294"/>
      <c r="D1124" s="294"/>
      <c r="E1124" s="294"/>
      <c r="F1124" s="294"/>
      <c r="G1124" s="294"/>
      <c r="H1124" s="295"/>
      <c r="I1124" s="41" t="str">
        <f>_xlfn.CONCAT(_xlfn.XLOOKUP("[FallBackApproachApplied][0][FallBackApproachApplied]",Submission!$O:$O,Submission!$H:$N,""))</f>
        <v>No</v>
      </c>
    </row>
    <row r="1125" spans="1:9" ht="20.399999999999999" customHeight="1" x14ac:dyDescent="0.3">
      <c r="A1125" s="12"/>
      <c r="B1125" s="271" t="s">
        <v>884</v>
      </c>
      <c r="C1125" s="272"/>
      <c r="D1125" s="272"/>
      <c r="E1125" s="272"/>
      <c r="F1125" s="272"/>
      <c r="G1125" s="272"/>
      <c r="H1125" s="272"/>
      <c r="I1125" s="272"/>
    </row>
    <row r="1126" spans="1:9" ht="32.4" customHeight="1" x14ac:dyDescent="0.3">
      <c r="A1126" s="12"/>
      <c r="B1126" s="34"/>
      <c r="C1126" s="46" t="s">
        <v>869</v>
      </c>
      <c r="D1126" s="315" t="s">
        <v>885</v>
      </c>
      <c r="E1126" s="379"/>
      <c r="F1126" s="379"/>
      <c r="G1126" s="336"/>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84" t="str">
        <f>_xlfn.CONCAT(_xlfn.XLOOKUP("[S05_FallBackApproachAppliedDetail][1][FallBackReason]",Submission!$O:$O,Submission!$H:$N,""))</f>
        <v/>
      </c>
      <c r="E1127" s="348"/>
      <c r="F1127" s="348"/>
      <c r="G1127" s="285"/>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84" t="str">
        <f>_xlfn.CONCAT(_xlfn.XLOOKUP("[S05_FallBackApproachAppliedDetail][2][FallBackReason]",Submission!$O:$O,Submission!$H:$N,""))</f>
        <v/>
      </c>
      <c r="E1128" s="348"/>
      <c r="F1128" s="348"/>
      <c r="G1128" s="285"/>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84" t="str">
        <f>_xlfn.CONCAT(_xlfn.XLOOKUP("[S05_FallBackApproachAppliedDetail][3][FallBackReason]",Submission!$O:$O,Submission!$H:$N,""))</f>
        <v/>
      </c>
      <c r="E1129" s="348"/>
      <c r="F1129" s="348"/>
      <c r="G1129" s="285"/>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84" t="str">
        <f>_xlfn.CONCAT(_xlfn.XLOOKUP("[S05_FallBackApproachAppliedDetail][4][FallBackReason]",Submission!$O:$O,Submission!$H:$N,""))</f>
        <v/>
      </c>
      <c r="E1130" s="348"/>
      <c r="F1130" s="348"/>
      <c r="G1130" s="285"/>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84" t="str">
        <f>_xlfn.CONCAT(_xlfn.XLOOKUP("[S05_FallBackApproachAppliedDetail][5][FallBackReason]",Submission!$O:$O,Submission!$H:$N,""))</f>
        <v/>
      </c>
      <c r="E1131" s="348"/>
      <c r="F1131" s="348"/>
      <c r="G1131" s="285"/>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84" t="str">
        <f>_xlfn.CONCAT(_xlfn.XLOOKUP("[S05_FallBackApproachAppliedDetail][6][FallBackReason]",Submission!$O:$O,Submission!$H:$N,""))</f>
        <v/>
      </c>
      <c r="E1132" s="348"/>
      <c r="F1132" s="348"/>
      <c r="G1132" s="285"/>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84" t="str">
        <f>_xlfn.CONCAT(_xlfn.XLOOKUP("[S05_FallBackApproachAppliedDetail][7][FallBackReason]",Submission!$O:$O,Submission!$H:$N,""))</f>
        <v/>
      </c>
      <c r="E1133" s="348"/>
      <c r="F1133" s="348"/>
      <c r="G1133" s="285"/>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84" t="str">
        <f>_xlfn.CONCAT(_xlfn.XLOOKUP("[S05_FallBackApproachAppliedDetail][8][FallBackReason]",Submission!$O:$O,Submission!$H:$N,""))</f>
        <v/>
      </c>
      <c r="E1134" s="348"/>
      <c r="F1134" s="348"/>
      <c r="G1134" s="285"/>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84" t="str">
        <f>_xlfn.CONCAT(_xlfn.XLOOKUP("[S05_FallBackApproachAppliedDetail][9][FallBackReason]",Submission!$O:$O,Submission!$H:$N,""))</f>
        <v/>
      </c>
      <c r="E1135" s="348"/>
      <c r="F1135" s="348"/>
      <c r="G1135" s="285"/>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84" t="str">
        <f>_xlfn.CONCAT(_xlfn.XLOOKUP("[S05_FallBackApproachAppliedDetail][10][FallBackReason]",Submission!$O:$O,Submission!$H:$N,""))</f>
        <v/>
      </c>
      <c r="E1136" s="348"/>
      <c r="F1136" s="348"/>
      <c r="G1136" s="285"/>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67" t="s">
        <v>888</v>
      </c>
      <c r="D1138" s="380"/>
      <c r="E1138" s="380"/>
      <c r="F1138" s="380"/>
      <c r="G1138" s="380"/>
      <c r="H1138" s="380"/>
      <c r="I1138" s="380"/>
    </row>
    <row r="1139" spans="1:9" ht="73.2" customHeight="1" x14ac:dyDescent="0.3">
      <c r="A1139" s="12"/>
      <c r="B1139" s="16"/>
      <c r="C1139" s="367" t="s">
        <v>889</v>
      </c>
      <c r="D1139" s="367"/>
      <c r="E1139" s="367"/>
      <c r="F1139" s="367"/>
      <c r="G1139" s="367"/>
      <c r="H1139" s="367"/>
      <c r="I1139" s="367"/>
    </row>
    <row r="1140" spans="1:9" ht="28.95" customHeight="1" x14ac:dyDescent="0.3">
      <c r="A1140" s="12"/>
      <c r="B1140" s="16"/>
      <c r="C1140" s="367" t="s">
        <v>1762</v>
      </c>
      <c r="D1140" s="367"/>
      <c r="E1140" s="367"/>
      <c r="F1140" s="367"/>
      <c r="G1140" s="367"/>
      <c r="H1140" s="367"/>
      <c r="I1140" s="367"/>
    </row>
    <row r="1141" spans="1:9" ht="15.9" customHeight="1" x14ac:dyDescent="0.3">
      <c r="A1141" s="12"/>
    </row>
    <row r="1142" spans="1:9" ht="35.4" customHeight="1" x14ac:dyDescent="0.3">
      <c r="A1142" s="12" t="s">
        <v>266</v>
      </c>
      <c r="B1142" s="293" t="s">
        <v>890</v>
      </c>
      <c r="C1142" s="294"/>
      <c r="D1142" s="294"/>
      <c r="E1142" s="294"/>
      <c r="F1142" s="294"/>
      <c r="G1142" s="294"/>
      <c r="H1142" s="294"/>
      <c r="I1142" s="294"/>
    </row>
    <row r="1143" spans="1:9" ht="44.4" customHeight="1" x14ac:dyDescent="0.3">
      <c r="A1143" s="12"/>
      <c r="C1143" s="42" t="s">
        <v>891</v>
      </c>
      <c r="D1143" s="303" t="s">
        <v>879</v>
      </c>
      <c r="E1143" s="309"/>
      <c r="F1143" s="303" t="s">
        <v>892</v>
      </c>
      <c r="G1143" s="309"/>
      <c r="H1143" s="42" t="s">
        <v>893</v>
      </c>
      <c r="I1143" s="42" t="s">
        <v>894</v>
      </c>
    </row>
    <row r="1144" spans="1:9" ht="27" customHeight="1" x14ac:dyDescent="0.3">
      <c r="A1144" s="12"/>
      <c r="C1144" s="47" t="str">
        <f>_xlfn.CONCAT(_xlfn.XLOOKUP("[S05_ImprovementReportArt69]["&amp;ROW(B1144)-ROW($B$1143)&amp;"][InstallationCategory]",Submission!$O:$O,Submission!$H:$N,""))</f>
        <v/>
      </c>
      <c r="D1144" s="281" t="str">
        <f>_xlfn.CONCAT(_xlfn.XLOOKUP("[S05_ImprovementReportArt69]["&amp;ROW(B1144)-ROW($B$1143)&amp;"][Annex1Activity]",Submission!$O:$O,Submission!$H:$N,""))</f>
        <v/>
      </c>
      <c r="E1144" s="347"/>
      <c r="F1144" s="284" t="str">
        <f>_xlfn.CONCAT(_xlfn.XLOOKUP("[S05_ImprovementReportArt69]["&amp;ROW(B1144)-ROW($B$1143)&amp;"][ImprovementReportType]",Submission!$O:$O,Submission!$H:$N,""))</f>
        <v/>
      </c>
      <c r="G1144" s="282"/>
      <c r="H1144" s="124" t="str">
        <f>_xlfn.CONCAT(_xlfn.XLOOKUP("[S05_ImprovementReportArt69]["&amp;ROW(B1144)-ROW($B$1143)&amp;"][ImprovementReportRequired]",Submission!$O:$O,Submission!$H:$N,""))</f>
        <v/>
      </c>
      <c r="I1144" s="124" t="str">
        <f>_xlfn.CONCAT(_xlfn.XLOOKUP("[S05_ImprovementReportArt69]["&amp;ROW(B1144)-ROW($B$1143)&amp;"][ImprovementReportSubmitted]",Submission!$O:$O,Submission!$H:$N,""))</f>
        <v/>
      </c>
    </row>
    <row r="1145" spans="1:9" ht="27" customHeight="1" x14ac:dyDescent="0.3">
      <c r="A1145" s="12"/>
      <c r="C1145" s="47" t="str">
        <f>_xlfn.CONCAT(_xlfn.XLOOKUP("[S05_ImprovementReportArt69]["&amp;ROW(B1145)-ROW($B$1143)&amp;"][InstallationCategory]",Submission!$O:$O,Submission!$H:$N,""))</f>
        <v/>
      </c>
      <c r="D1145" s="281" t="str">
        <f>_xlfn.CONCAT(_xlfn.XLOOKUP("[S05_ImprovementReportArt69]["&amp;ROW(B1145)-ROW($B$1143)&amp;"][Annex1Activity]",Submission!$O:$O,Submission!$H:$N,""))</f>
        <v/>
      </c>
      <c r="E1145" s="347"/>
      <c r="F1145" s="284" t="str">
        <f>_xlfn.CONCAT(_xlfn.XLOOKUP("[S05_ImprovementReportArt69]["&amp;ROW(B1145)-ROW($B$1143)&amp;"][ImprovementReportType]",Submission!$O:$O,Submission!$H:$N,""))</f>
        <v/>
      </c>
      <c r="G1145" s="282"/>
      <c r="H1145" s="124" t="str">
        <f>_xlfn.CONCAT(_xlfn.XLOOKUP("[S05_ImprovementReportArt69]["&amp;ROW(B1145)-ROW($B$1143)&amp;"][ImprovementReportRequired]",Submission!$O:$O,Submission!$H:$N,""))</f>
        <v/>
      </c>
      <c r="I1145" s="124" t="str">
        <f>_xlfn.CONCAT(_xlfn.XLOOKUP("[S05_ImprovementReportArt69]["&amp;ROW(B1145)-ROW($B$1143)&amp;"][ImprovementReportSubmitted]",Submission!$O:$O,Submission!$H:$N,""))</f>
        <v/>
      </c>
    </row>
    <row r="1146" spans="1:9" ht="27" customHeight="1" x14ac:dyDescent="0.3">
      <c r="A1146" s="12"/>
      <c r="C1146" s="47" t="str">
        <f>_xlfn.CONCAT(_xlfn.XLOOKUP("[S05_ImprovementReportArt69]["&amp;ROW(B1146)-ROW($B$1143)&amp;"][InstallationCategory]",Submission!$O:$O,Submission!$H:$N,""))</f>
        <v/>
      </c>
      <c r="D1146" s="281" t="str">
        <f>_xlfn.CONCAT(_xlfn.XLOOKUP("[S05_ImprovementReportArt69]["&amp;ROW(B1146)-ROW($B$1143)&amp;"][Annex1Activity]",Submission!$O:$O,Submission!$H:$N,""))</f>
        <v/>
      </c>
      <c r="E1146" s="347"/>
      <c r="F1146" s="284" t="str">
        <f>_xlfn.CONCAT(_xlfn.XLOOKUP("[S05_ImprovementReportArt69]["&amp;ROW(B1146)-ROW($B$1143)&amp;"][ImprovementReportType]",Submission!$O:$O,Submission!$H:$N,""))</f>
        <v/>
      </c>
      <c r="G1146" s="282"/>
      <c r="H1146" s="124" t="str">
        <f>_xlfn.CONCAT(_xlfn.XLOOKUP("[S05_ImprovementReportArt69]["&amp;ROW(B1146)-ROW($B$1143)&amp;"][ImprovementReportRequired]",Submission!$O:$O,Submission!$H:$N,""))</f>
        <v/>
      </c>
      <c r="I1146" s="124" t="str">
        <f>_xlfn.CONCAT(_xlfn.XLOOKUP("[S05_ImprovementReportArt69]["&amp;ROW(B1146)-ROW($B$1143)&amp;"][ImprovementReportSubmitted]",Submission!$O:$O,Submission!$H:$N,""))</f>
        <v/>
      </c>
    </row>
    <row r="1147" spans="1:9" ht="27" customHeight="1" x14ac:dyDescent="0.3">
      <c r="A1147" s="12"/>
      <c r="C1147" s="47" t="str">
        <f>_xlfn.CONCAT(_xlfn.XLOOKUP("[S05_ImprovementReportArt69]["&amp;ROW(B1147)-ROW($B$1143)&amp;"][InstallationCategory]",Submission!$O:$O,Submission!$H:$N,""))</f>
        <v/>
      </c>
      <c r="D1147" s="281" t="str">
        <f>_xlfn.CONCAT(_xlfn.XLOOKUP("[S05_ImprovementReportArt69]["&amp;ROW(B1147)-ROW($B$1143)&amp;"][Annex1Activity]",Submission!$O:$O,Submission!$H:$N,""))</f>
        <v/>
      </c>
      <c r="E1147" s="347"/>
      <c r="F1147" s="284" t="str">
        <f>_xlfn.CONCAT(_xlfn.XLOOKUP("[S05_ImprovementReportArt69]["&amp;ROW(B1147)-ROW($B$1143)&amp;"][ImprovementReportType]",Submission!$O:$O,Submission!$H:$N,""))</f>
        <v/>
      </c>
      <c r="G1147" s="282"/>
      <c r="H1147" s="124" t="str">
        <f>_xlfn.CONCAT(_xlfn.XLOOKUP("[S05_ImprovementReportArt69]["&amp;ROW(B1147)-ROW($B$1143)&amp;"][ImprovementReportRequired]",Submission!$O:$O,Submission!$H:$N,""))</f>
        <v/>
      </c>
      <c r="I1147" s="124" t="str">
        <f>_xlfn.CONCAT(_xlfn.XLOOKUP("[S05_ImprovementReportArt69]["&amp;ROW(B1147)-ROW($B$1143)&amp;"][ImprovementReportSubmitted]",Submission!$O:$O,Submission!$H:$N,""))</f>
        <v/>
      </c>
    </row>
    <row r="1148" spans="1:9" ht="27" customHeight="1" x14ac:dyDescent="0.3">
      <c r="A1148" s="12"/>
      <c r="C1148" s="47" t="str">
        <f>_xlfn.CONCAT(_xlfn.XLOOKUP("[S05_ImprovementReportArt69]["&amp;ROW(B1148)-ROW($B$1143)&amp;"][InstallationCategory]",Submission!$O:$O,Submission!$H:$N,""))</f>
        <v/>
      </c>
      <c r="D1148" s="281" t="str">
        <f>_xlfn.CONCAT(_xlfn.XLOOKUP("[S05_ImprovementReportArt69]["&amp;ROW(B1148)-ROW($B$1143)&amp;"][Annex1Activity]",Submission!$O:$O,Submission!$H:$N,""))</f>
        <v/>
      </c>
      <c r="E1148" s="347"/>
      <c r="F1148" s="284" t="str">
        <f>_xlfn.CONCAT(_xlfn.XLOOKUP("[S05_ImprovementReportArt69]["&amp;ROW(B1148)-ROW($B$1143)&amp;"][ImprovementReportType]",Submission!$O:$O,Submission!$H:$N,""))</f>
        <v/>
      </c>
      <c r="G1148" s="282"/>
      <c r="H1148" s="124" t="str">
        <f>_xlfn.CONCAT(_xlfn.XLOOKUP("[S05_ImprovementReportArt69]["&amp;ROW(B1148)-ROW($B$1143)&amp;"][ImprovementReportRequired]",Submission!$O:$O,Submission!$H:$N,""))</f>
        <v/>
      </c>
      <c r="I1148" s="124" t="str">
        <f>_xlfn.CONCAT(_xlfn.XLOOKUP("[S05_ImprovementReportArt69]["&amp;ROW(B1148)-ROW($B$1143)&amp;"][ImprovementReportSubmitted]",Submission!$O:$O,Submission!$H:$N,""))</f>
        <v/>
      </c>
    </row>
    <row r="1149" spans="1:9" ht="27" customHeight="1" x14ac:dyDescent="0.3">
      <c r="A1149" s="12"/>
      <c r="C1149" s="47" t="str">
        <f>_xlfn.CONCAT(_xlfn.XLOOKUP("[S05_ImprovementReportArt69]["&amp;ROW(B1149)-ROW($B$1143)&amp;"][InstallationCategory]",Submission!$O:$O,Submission!$H:$N,""))</f>
        <v/>
      </c>
      <c r="D1149" s="281" t="str">
        <f>_xlfn.CONCAT(_xlfn.XLOOKUP("[S05_ImprovementReportArt69]["&amp;ROW(B1149)-ROW($B$1143)&amp;"][Annex1Activity]",Submission!$O:$O,Submission!$H:$N,""))</f>
        <v/>
      </c>
      <c r="E1149" s="347"/>
      <c r="F1149" s="284" t="str">
        <f>_xlfn.CONCAT(_xlfn.XLOOKUP("[S05_ImprovementReportArt69]["&amp;ROW(B1149)-ROW($B$1143)&amp;"][ImprovementReportType]",Submission!$O:$O,Submission!$H:$N,""))</f>
        <v/>
      </c>
      <c r="G1149" s="282"/>
      <c r="H1149" s="124" t="str">
        <f>_xlfn.CONCAT(_xlfn.XLOOKUP("[S05_ImprovementReportArt69]["&amp;ROW(B1149)-ROW($B$1143)&amp;"][ImprovementReportRequired]",Submission!$O:$O,Submission!$H:$N,""))</f>
        <v/>
      </c>
      <c r="I1149" s="124" t="str">
        <f>_xlfn.CONCAT(_xlfn.XLOOKUP("[S05_ImprovementReportArt69]["&amp;ROW(B1149)-ROW($B$1143)&amp;"][ImprovementReportSubmitted]",Submission!$O:$O,Submission!$H:$N,""))</f>
        <v/>
      </c>
    </row>
    <row r="1150" spans="1:9" ht="27" customHeight="1" x14ac:dyDescent="0.3">
      <c r="A1150" s="12"/>
      <c r="C1150" s="47" t="str">
        <f>_xlfn.CONCAT(_xlfn.XLOOKUP("[S05_ImprovementReportArt69]["&amp;ROW(B1150)-ROW($B$1143)&amp;"][InstallationCategory]",Submission!$O:$O,Submission!$H:$N,""))</f>
        <v/>
      </c>
      <c r="D1150" s="281" t="str">
        <f>_xlfn.CONCAT(_xlfn.XLOOKUP("[S05_ImprovementReportArt69]["&amp;ROW(B1150)-ROW($B$1143)&amp;"][Annex1Activity]",Submission!$O:$O,Submission!$H:$N,""))</f>
        <v/>
      </c>
      <c r="E1150" s="347"/>
      <c r="F1150" s="284" t="str">
        <f>_xlfn.CONCAT(_xlfn.XLOOKUP("[S05_ImprovementReportArt69]["&amp;ROW(B1150)-ROW($B$1143)&amp;"][ImprovementReportType]",Submission!$O:$O,Submission!$H:$N,""))</f>
        <v/>
      </c>
      <c r="G1150" s="282"/>
      <c r="H1150" s="124" t="str">
        <f>_xlfn.CONCAT(_xlfn.XLOOKUP("[S05_ImprovementReportArt69]["&amp;ROW(B1150)-ROW($B$1143)&amp;"][ImprovementReportRequired]",Submission!$O:$O,Submission!$H:$N,""))</f>
        <v/>
      </c>
      <c r="I1150" s="124" t="str">
        <f>_xlfn.CONCAT(_xlfn.XLOOKUP("[S05_ImprovementReportArt69]["&amp;ROW(B1150)-ROW($B$1143)&amp;"][ImprovementReportSubmitted]",Submission!$O:$O,Submission!$H:$N,""))</f>
        <v/>
      </c>
    </row>
    <row r="1151" spans="1:9" ht="27" customHeight="1" x14ac:dyDescent="0.3">
      <c r="A1151" s="12"/>
      <c r="C1151" s="47" t="str">
        <f>_xlfn.CONCAT(_xlfn.XLOOKUP("[S05_ImprovementReportArt69]["&amp;ROW(B1151)-ROW($B$1143)&amp;"][InstallationCategory]",Submission!$O:$O,Submission!$H:$N,""))</f>
        <v/>
      </c>
      <c r="D1151" s="281" t="str">
        <f>_xlfn.CONCAT(_xlfn.XLOOKUP("[S05_ImprovementReportArt69]["&amp;ROW(B1151)-ROW($B$1143)&amp;"][Annex1Activity]",Submission!$O:$O,Submission!$H:$N,""))</f>
        <v/>
      </c>
      <c r="E1151" s="347"/>
      <c r="F1151" s="284" t="str">
        <f>_xlfn.CONCAT(_xlfn.XLOOKUP("[S05_ImprovementReportArt69]["&amp;ROW(B1151)-ROW($B$1143)&amp;"][ImprovementReportType]",Submission!$O:$O,Submission!$H:$N,""))</f>
        <v/>
      </c>
      <c r="G1151" s="282"/>
      <c r="H1151" s="124" t="str">
        <f>_xlfn.CONCAT(_xlfn.XLOOKUP("[S05_ImprovementReportArt69]["&amp;ROW(B1151)-ROW($B$1143)&amp;"][ImprovementReportRequired]",Submission!$O:$O,Submission!$H:$N,""))</f>
        <v/>
      </c>
      <c r="I1151" s="124" t="str">
        <f>_xlfn.CONCAT(_xlfn.XLOOKUP("[S05_ImprovementReportArt69]["&amp;ROW(B1151)-ROW($B$1143)&amp;"][ImprovementReportSubmitted]",Submission!$O:$O,Submission!$H:$N,""))</f>
        <v/>
      </c>
    </row>
    <row r="1152" spans="1:9" ht="27" customHeight="1" x14ac:dyDescent="0.3">
      <c r="A1152" s="12"/>
      <c r="C1152" s="47" t="str">
        <f>_xlfn.CONCAT(_xlfn.XLOOKUP("[S05_ImprovementReportArt69]["&amp;ROW(B1152)-ROW($B$1143)&amp;"][InstallationCategory]",Submission!$O:$O,Submission!$H:$N,""))</f>
        <v/>
      </c>
      <c r="D1152" s="281" t="str">
        <f>_xlfn.CONCAT(_xlfn.XLOOKUP("[S05_ImprovementReportArt69]["&amp;ROW(B1152)-ROW($B$1143)&amp;"][Annex1Activity]",Submission!$O:$O,Submission!$H:$N,""))</f>
        <v/>
      </c>
      <c r="E1152" s="347"/>
      <c r="F1152" s="284" t="str">
        <f>_xlfn.CONCAT(_xlfn.XLOOKUP("[S05_ImprovementReportArt69]["&amp;ROW(B1152)-ROW($B$1143)&amp;"][ImprovementReportType]",Submission!$O:$O,Submission!$H:$N,""))</f>
        <v/>
      </c>
      <c r="G1152" s="282"/>
      <c r="H1152" s="124" t="str">
        <f>_xlfn.CONCAT(_xlfn.XLOOKUP("[S05_ImprovementReportArt69]["&amp;ROW(B1152)-ROW($B$1143)&amp;"][ImprovementReportRequired]",Submission!$O:$O,Submission!$H:$N,""))</f>
        <v/>
      </c>
      <c r="I1152" s="124" t="str">
        <f>_xlfn.CONCAT(_xlfn.XLOOKUP("[S05_ImprovementReportArt69]["&amp;ROW(B1152)-ROW($B$1143)&amp;"][ImprovementReportSubmitted]",Submission!$O:$O,Submission!$H:$N,""))</f>
        <v/>
      </c>
    </row>
    <row r="1153" spans="1:9" ht="27" customHeight="1" x14ac:dyDescent="0.3">
      <c r="A1153" s="12"/>
      <c r="C1153" s="47" t="str">
        <f>_xlfn.CONCAT(_xlfn.XLOOKUP("[S05_ImprovementReportArt69]["&amp;ROW(B1153)-ROW($B$1143)&amp;"][InstallationCategory]",Submission!$O:$O,Submission!$H:$N,""))</f>
        <v/>
      </c>
      <c r="D1153" s="281" t="str">
        <f>_xlfn.CONCAT(_xlfn.XLOOKUP("[S05_ImprovementReportArt69]["&amp;ROW(B1153)-ROW($B$1143)&amp;"][Annex1Activity]",Submission!$O:$O,Submission!$H:$N,""))</f>
        <v/>
      </c>
      <c r="E1153" s="347"/>
      <c r="F1153" s="284" t="str">
        <f>_xlfn.CONCAT(_xlfn.XLOOKUP("[S05_ImprovementReportArt69]["&amp;ROW(B1153)-ROW($B$1143)&amp;"][ImprovementReportType]",Submission!$O:$O,Submission!$H:$N,""))</f>
        <v/>
      </c>
      <c r="G1153" s="282"/>
      <c r="H1153" s="124" t="str">
        <f>_xlfn.CONCAT(_xlfn.XLOOKUP("[S05_ImprovementReportArt69]["&amp;ROW(B1153)-ROW($B$1143)&amp;"][ImprovementReportRequired]",Submission!$O:$O,Submission!$H:$N,""))</f>
        <v/>
      </c>
      <c r="I1153" s="124" t="str">
        <f>_xlfn.CONCAT(_xlfn.XLOOKUP("[S05_ImprovementReportArt69]["&amp;ROW(B1153)-ROW($B$1143)&amp;"][ImprovementReportSubmitted]",Submission!$O:$O,Submission!$H:$N,""))</f>
        <v/>
      </c>
    </row>
    <row r="1154" spans="1:9" ht="27" customHeight="1" x14ac:dyDescent="0.3">
      <c r="A1154" s="12"/>
      <c r="C1154" s="47" t="str">
        <f>_xlfn.CONCAT(_xlfn.XLOOKUP("[S05_ImprovementReportArt69]["&amp;ROW(B1154)-ROW($B$1143)&amp;"][InstallationCategory]",Submission!$O:$O,Submission!$H:$N,""))</f>
        <v/>
      </c>
      <c r="D1154" s="281" t="str">
        <f>_xlfn.CONCAT(_xlfn.XLOOKUP("[S05_ImprovementReportArt69]["&amp;ROW(B1154)-ROW($B$1143)&amp;"][Annex1Activity]",Submission!$O:$O,Submission!$H:$N,""))</f>
        <v/>
      </c>
      <c r="E1154" s="347"/>
      <c r="F1154" s="284" t="str">
        <f>_xlfn.CONCAT(_xlfn.XLOOKUP("[S05_ImprovementReportArt69]["&amp;ROW(B1154)-ROW($B$1143)&amp;"][ImprovementReportType]",Submission!$O:$O,Submission!$H:$N,""))</f>
        <v/>
      </c>
      <c r="G1154" s="282"/>
      <c r="H1154" s="124" t="str">
        <f>_xlfn.CONCAT(_xlfn.XLOOKUP("[S05_ImprovementReportArt69]["&amp;ROW(B1154)-ROW($B$1143)&amp;"][ImprovementReportRequired]",Submission!$O:$O,Submission!$H:$N,""))</f>
        <v/>
      </c>
      <c r="I1154" s="124" t="str">
        <f>_xlfn.CONCAT(_xlfn.XLOOKUP("[S05_ImprovementReportArt69]["&amp;ROW(B1154)-ROW($B$1143)&amp;"][ImprovementReportSubmitted]",Submission!$O:$O,Submission!$H:$N,""))</f>
        <v/>
      </c>
    </row>
    <row r="1155" spans="1:9" ht="27" customHeight="1" x14ac:dyDescent="0.3">
      <c r="A1155" s="12"/>
      <c r="C1155" s="47" t="str">
        <f>_xlfn.CONCAT(_xlfn.XLOOKUP("[S05_ImprovementReportArt69]["&amp;ROW(B1155)-ROW($B$1143)&amp;"][InstallationCategory]",Submission!$O:$O,Submission!$H:$N,""))</f>
        <v/>
      </c>
      <c r="D1155" s="281" t="str">
        <f>_xlfn.CONCAT(_xlfn.XLOOKUP("[S05_ImprovementReportArt69]["&amp;ROW(B1155)-ROW($B$1143)&amp;"][Annex1Activity]",Submission!$O:$O,Submission!$H:$N,""))</f>
        <v/>
      </c>
      <c r="E1155" s="347"/>
      <c r="F1155" s="284" t="str">
        <f>_xlfn.CONCAT(_xlfn.XLOOKUP("[S05_ImprovementReportArt69]["&amp;ROW(B1155)-ROW($B$1143)&amp;"][ImprovementReportType]",Submission!$O:$O,Submission!$H:$N,""))</f>
        <v/>
      </c>
      <c r="G1155" s="282"/>
      <c r="H1155" s="124" t="str">
        <f>_xlfn.CONCAT(_xlfn.XLOOKUP("[S05_ImprovementReportArt69]["&amp;ROW(B1155)-ROW($B$1143)&amp;"][ImprovementReportRequired]",Submission!$O:$O,Submission!$H:$N,""))</f>
        <v/>
      </c>
      <c r="I1155" s="124" t="str">
        <f>_xlfn.CONCAT(_xlfn.XLOOKUP("[S05_ImprovementReportArt69]["&amp;ROW(B1155)-ROW($B$1143)&amp;"][ImprovementReportSubmitted]",Submission!$O:$O,Submission!$H:$N,""))</f>
        <v/>
      </c>
    </row>
    <row r="1156" spans="1:9" ht="27" customHeight="1" x14ac:dyDescent="0.3">
      <c r="A1156" s="12"/>
      <c r="C1156" s="47" t="str">
        <f>_xlfn.CONCAT(_xlfn.XLOOKUP("[S05_ImprovementReportArt69]["&amp;ROW(B1156)-ROW($B$1143)&amp;"][InstallationCategory]",Submission!$O:$O,Submission!$H:$N,""))</f>
        <v/>
      </c>
      <c r="D1156" s="281" t="str">
        <f>_xlfn.CONCAT(_xlfn.XLOOKUP("[S05_ImprovementReportArt69]["&amp;ROW(B1156)-ROW($B$1143)&amp;"][Annex1Activity]",Submission!$O:$O,Submission!$H:$N,""))</f>
        <v/>
      </c>
      <c r="E1156" s="347"/>
      <c r="F1156" s="284" t="str">
        <f>_xlfn.CONCAT(_xlfn.XLOOKUP("[S05_ImprovementReportArt69]["&amp;ROW(B1156)-ROW($B$1143)&amp;"][ImprovementReportType]",Submission!$O:$O,Submission!$H:$N,""))</f>
        <v/>
      </c>
      <c r="G1156" s="282"/>
      <c r="H1156" s="124" t="str">
        <f>_xlfn.CONCAT(_xlfn.XLOOKUP("[S05_ImprovementReportArt69]["&amp;ROW(B1156)-ROW($B$1143)&amp;"][ImprovementReportRequired]",Submission!$O:$O,Submission!$H:$N,""))</f>
        <v/>
      </c>
      <c r="I1156" s="124" t="str">
        <f>_xlfn.CONCAT(_xlfn.XLOOKUP("[S05_ImprovementReportArt69]["&amp;ROW(B1156)-ROW($B$1143)&amp;"][ImprovementReportSubmitted]",Submission!$O:$O,Submission!$H:$N,""))</f>
        <v/>
      </c>
    </row>
    <row r="1157" spans="1:9" ht="27" customHeight="1" x14ac:dyDescent="0.3">
      <c r="A1157" s="12"/>
      <c r="C1157" s="47" t="str">
        <f>_xlfn.CONCAT(_xlfn.XLOOKUP("[S05_ImprovementReportArt69]["&amp;ROW(B1157)-ROW($B$1143)&amp;"][InstallationCategory]",Submission!$O:$O,Submission!$H:$N,""))</f>
        <v/>
      </c>
      <c r="D1157" s="281" t="str">
        <f>_xlfn.CONCAT(_xlfn.XLOOKUP("[S05_ImprovementReportArt69]["&amp;ROW(B1157)-ROW($B$1143)&amp;"][Annex1Activity]",Submission!$O:$O,Submission!$H:$N,""))</f>
        <v/>
      </c>
      <c r="E1157" s="347"/>
      <c r="F1157" s="284" t="str">
        <f>_xlfn.CONCAT(_xlfn.XLOOKUP("[S05_ImprovementReportArt69]["&amp;ROW(B1157)-ROW($B$1143)&amp;"][ImprovementReportType]",Submission!$O:$O,Submission!$H:$N,""))</f>
        <v/>
      </c>
      <c r="G1157" s="282"/>
      <c r="H1157" s="124" t="str">
        <f>_xlfn.CONCAT(_xlfn.XLOOKUP("[S05_ImprovementReportArt69]["&amp;ROW(B1157)-ROW($B$1143)&amp;"][ImprovementReportRequired]",Submission!$O:$O,Submission!$H:$N,""))</f>
        <v/>
      </c>
      <c r="I1157" s="124" t="str">
        <f>_xlfn.CONCAT(_xlfn.XLOOKUP("[S05_ImprovementReportArt69]["&amp;ROW(B1157)-ROW($B$1143)&amp;"][ImprovementReportSubmitted]",Submission!$O:$O,Submission!$H:$N,""))</f>
        <v/>
      </c>
    </row>
    <row r="1158" spans="1:9" ht="27" customHeight="1" x14ac:dyDescent="0.3">
      <c r="A1158" s="12"/>
      <c r="C1158" s="47" t="str">
        <f>_xlfn.CONCAT(_xlfn.XLOOKUP("[S05_ImprovementReportArt69]["&amp;ROW(B1158)-ROW($B$1143)&amp;"][InstallationCategory]",Submission!$O:$O,Submission!$H:$N,""))</f>
        <v/>
      </c>
      <c r="D1158" s="281" t="str">
        <f>_xlfn.CONCAT(_xlfn.XLOOKUP("[S05_ImprovementReportArt69]["&amp;ROW(B1158)-ROW($B$1143)&amp;"][Annex1Activity]",Submission!$O:$O,Submission!$H:$N,""))</f>
        <v/>
      </c>
      <c r="E1158" s="347"/>
      <c r="F1158" s="284" t="str">
        <f>_xlfn.CONCAT(_xlfn.XLOOKUP("[S05_ImprovementReportArt69]["&amp;ROW(B1158)-ROW($B$1143)&amp;"][ImprovementReportType]",Submission!$O:$O,Submission!$H:$N,""))</f>
        <v/>
      </c>
      <c r="G1158" s="282"/>
      <c r="H1158" s="124" t="str">
        <f>_xlfn.CONCAT(_xlfn.XLOOKUP("[S05_ImprovementReportArt69]["&amp;ROW(B1158)-ROW($B$1143)&amp;"][ImprovementReportRequired]",Submission!$O:$O,Submission!$H:$N,""))</f>
        <v/>
      </c>
      <c r="I1158" s="124" t="str">
        <f>_xlfn.CONCAT(_xlfn.XLOOKUP("[S05_ImprovementReportArt69]["&amp;ROW(B1158)-ROW($B$1143)&amp;"][ImprovementReportSubmitted]",Submission!$O:$O,Submission!$H:$N,""))</f>
        <v/>
      </c>
    </row>
    <row r="1159" spans="1:9" ht="27" customHeight="1" x14ac:dyDescent="0.3">
      <c r="A1159" s="12"/>
      <c r="C1159" s="47" t="str">
        <f>_xlfn.CONCAT(_xlfn.XLOOKUP("[S05_ImprovementReportArt69]["&amp;ROW(B1159)-ROW($B$1143)&amp;"][InstallationCategory]",Submission!$O:$O,Submission!$H:$N,""))</f>
        <v/>
      </c>
      <c r="D1159" s="281" t="str">
        <f>_xlfn.CONCAT(_xlfn.XLOOKUP("[S05_ImprovementReportArt69]["&amp;ROW(B1159)-ROW($B$1143)&amp;"][Annex1Activity]",Submission!$O:$O,Submission!$H:$N,""))</f>
        <v/>
      </c>
      <c r="E1159" s="347"/>
      <c r="F1159" s="284" t="str">
        <f>_xlfn.CONCAT(_xlfn.XLOOKUP("[S05_ImprovementReportArt69]["&amp;ROW(B1159)-ROW($B$1143)&amp;"][ImprovementReportType]",Submission!$O:$O,Submission!$H:$N,""))</f>
        <v/>
      </c>
      <c r="G1159" s="282"/>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81" t="str">
        <f>_xlfn.CONCAT(_xlfn.XLOOKUP("[S05_ImprovementReportArt69]["&amp;ROW(B1160)-ROW($B$1143)&amp;"][Annex1Activity]",Submission!$O:$O,Submission!$H:$N,""))</f>
        <v/>
      </c>
      <c r="E1160" s="347"/>
      <c r="F1160" s="284" t="str">
        <f>_xlfn.CONCAT(_xlfn.XLOOKUP("[S05_ImprovementReportArt69]["&amp;ROW(B1160)-ROW($B$1143)&amp;"][ImprovementReportType]",Submission!$O:$O,Submission!$H:$N,""))</f>
        <v/>
      </c>
      <c r="G1160" s="282"/>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81" t="str">
        <f>_xlfn.CONCAT(_xlfn.XLOOKUP("[S05_ImprovementReportArt69]["&amp;ROW(B1161)-ROW($B$1143)&amp;"][Annex1Activity]",Submission!$O:$O,Submission!$H:$N,""))</f>
        <v/>
      </c>
      <c r="E1161" s="347"/>
      <c r="F1161" s="284" t="str">
        <f>_xlfn.CONCAT(_xlfn.XLOOKUP("[S05_ImprovementReportArt69]["&amp;ROW(B1161)-ROW($B$1143)&amp;"][ImprovementReportType]",Submission!$O:$O,Submission!$H:$N,""))</f>
        <v/>
      </c>
      <c r="G1161" s="282"/>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81" t="str">
        <f>_xlfn.CONCAT(_xlfn.XLOOKUP("[S05_ImprovementReportArt69]["&amp;ROW(B1162)-ROW($B$1143)&amp;"][Annex1Activity]",Submission!$O:$O,Submission!$H:$N,""))</f>
        <v/>
      </c>
      <c r="E1162" s="347"/>
      <c r="F1162" s="284" t="str">
        <f>_xlfn.CONCAT(_xlfn.XLOOKUP("[S05_ImprovementReportArt69]["&amp;ROW(B1162)-ROW($B$1143)&amp;"][ImprovementReportType]",Submission!$O:$O,Submission!$H:$N,""))</f>
        <v/>
      </c>
      <c r="G1162" s="282"/>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81" t="str">
        <f>_xlfn.CONCAT(_xlfn.XLOOKUP("[S05_ImprovementReportArt69]["&amp;ROW(B1163)-ROW($B$1143)&amp;"][Annex1Activity]",Submission!$O:$O,Submission!$H:$N,""))</f>
        <v/>
      </c>
      <c r="E1163" s="347"/>
      <c r="F1163" s="284" t="str">
        <f>_xlfn.CONCAT(_xlfn.XLOOKUP("[S05_ImprovementReportArt69]["&amp;ROW(B1163)-ROW($B$1143)&amp;"][ImprovementReportType]",Submission!$O:$O,Submission!$H:$N,""))</f>
        <v/>
      </c>
      <c r="G1163" s="282"/>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81" t="str">
        <f>_xlfn.CONCAT(_xlfn.XLOOKUP("[S05_ImprovementReportArt69]["&amp;ROW(B1164)-ROW($B$1143)&amp;"][Annex1Activity]",Submission!$O:$O,Submission!$H:$N,""))</f>
        <v/>
      </c>
      <c r="E1164" s="347"/>
      <c r="F1164" s="284" t="str">
        <f>_xlfn.CONCAT(_xlfn.XLOOKUP("[S05_ImprovementReportArt69]["&amp;ROW(B1164)-ROW($B$1143)&amp;"][ImprovementReportType]",Submission!$O:$O,Submission!$H:$N,""))</f>
        <v/>
      </c>
      <c r="G1164" s="282"/>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81" t="str">
        <f>_xlfn.CONCAT(_xlfn.XLOOKUP("[S05_ImprovementReportArt69]["&amp;ROW(B1165)-ROW($B$1143)&amp;"][Annex1Activity]",Submission!$O:$O,Submission!$H:$N,""))</f>
        <v/>
      </c>
      <c r="E1165" s="347"/>
      <c r="F1165" s="284" t="str">
        <f>_xlfn.CONCAT(_xlfn.XLOOKUP("[S05_ImprovementReportArt69]["&amp;ROW(B1165)-ROW($B$1143)&amp;"][ImprovementReportType]",Submission!$O:$O,Submission!$H:$N,""))</f>
        <v/>
      </c>
      <c r="G1165" s="282"/>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81" t="str">
        <f>_xlfn.CONCAT(_xlfn.XLOOKUP("[S05_ImprovementReportArt69]["&amp;ROW(B1166)-ROW($B$1143)&amp;"][Annex1Activity]",Submission!$O:$O,Submission!$H:$N,""))</f>
        <v/>
      </c>
      <c r="E1166" s="347"/>
      <c r="F1166" s="284" t="str">
        <f>_xlfn.CONCAT(_xlfn.XLOOKUP("[S05_ImprovementReportArt69]["&amp;ROW(B1166)-ROW($B$1143)&amp;"][ImprovementReportType]",Submission!$O:$O,Submission!$H:$N,""))</f>
        <v/>
      </c>
      <c r="G1166" s="282"/>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81" t="str">
        <f>_xlfn.CONCAT(_xlfn.XLOOKUP("[S05_ImprovementReportArt69]["&amp;ROW(B1167)-ROW($B$1143)&amp;"][Annex1Activity]",Submission!$O:$O,Submission!$H:$N,""))</f>
        <v/>
      </c>
      <c r="E1167" s="347"/>
      <c r="F1167" s="284" t="str">
        <f>_xlfn.CONCAT(_xlfn.XLOOKUP("[S05_ImprovementReportArt69]["&amp;ROW(B1167)-ROW($B$1143)&amp;"][ImprovementReportType]",Submission!$O:$O,Submission!$H:$N,""))</f>
        <v/>
      </c>
      <c r="G1167" s="282"/>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81" t="str">
        <f>_xlfn.CONCAT(_xlfn.XLOOKUP("[S05_ImprovementReportArt69]["&amp;ROW(B1168)-ROW($B$1143)&amp;"][Annex1Activity]",Submission!$O:$O,Submission!$H:$N,""))</f>
        <v/>
      </c>
      <c r="E1168" s="347"/>
      <c r="F1168" s="284" t="str">
        <f>_xlfn.CONCAT(_xlfn.XLOOKUP("[S05_ImprovementReportArt69]["&amp;ROW(B1168)-ROW($B$1143)&amp;"][ImprovementReportType]",Submission!$O:$O,Submission!$H:$N,""))</f>
        <v/>
      </c>
      <c r="G1168" s="282"/>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81" t="str">
        <f>_xlfn.CONCAT(_xlfn.XLOOKUP("[S05_ImprovementReportArt69]["&amp;ROW(B1169)-ROW($B$1143)&amp;"][Annex1Activity]",Submission!$O:$O,Submission!$H:$N,""))</f>
        <v/>
      </c>
      <c r="E1169" s="347"/>
      <c r="F1169" s="284" t="str">
        <f>_xlfn.CONCAT(_xlfn.XLOOKUP("[S05_ImprovementReportArt69]["&amp;ROW(B1169)-ROW($B$1143)&amp;"][ImprovementReportType]",Submission!$O:$O,Submission!$H:$N,""))</f>
        <v/>
      </c>
      <c r="G1169" s="282"/>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81" t="str">
        <f>_xlfn.CONCAT(_xlfn.XLOOKUP("[S05_ImprovementReportArt69]["&amp;ROW(B1170)-ROW($B$1143)&amp;"][Annex1Activity]",Submission!$O:$O,Submission!$H:$N,""))</f>
        <v/>
      </c>
      <c r="E1170" s="347"/>
      <c r="F1170" s="284" t="str">
        <f>_xlfn.CONCAT(_xlfn.XLOOKUP("[S05_ImprovementReportArt69]["&amp;ROW(B1170)-ROW($B$1143)&amp;"][ImprovementReportType]",Submission!$O:$O,Submission!$H:$N,""))</f>
        <v/>
      </c>
      <c r="G1170" s="282"/>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81" t="str">
        <f>_xlfn.CONCAT(_xlfn.XLOOKUP("[S05_ImprovementReportArt69]["&amp;ROW(B1171)-ROW($B$1143)&amp;"][Annex1Activity]",Submission!$O:$O,Submission!$H:$N,""))</f>
        <v/>
      </c>
      <c r="E1171" s="347"/>
      <c r="F1171" s="284" t="str">
        <f>_xlfn.CONCAT(_xlfn.XLOOKUP("[S05_ImprovementReportArt69]["&amp;ROW(B1171)-ROW($B$1143)&amp;"][ImprovementReportType]",Submission!$O:$O,Submission!$H:$N,""))</f>
        <v/>
      </c>
      <c r="G1171" s="282"/>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81" t="str">
        <f>_xlfn.CONCAT(_xlfn.XLOOKUP("[S05_ImprovementReportArt69]["&amp;ROW(B1172)-ROW($B$1143)&amp;"][Annex1Activity]",Submission!$O:$O,Submission!$H:$N,""))</f>
        <v/>
      </c>
      <c r="E1172" s="347"/>
      <c r="F1172" s="284" t="str">
        <f>_xlfn.CONCAT(_xlfn.XLOOKUP("[S05_ImprovementReportArt69]["&amp;ROW(B1172)-ROW($B$1143)&amp;"][ImprovementReportType]",Submission!$O:$O,Submission!$H:$N,""))</f>
        <v/>
      </c>
      <c r="G1172" s="282"/>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81" t="str">
        <f>_xlfn.CONCAT(_xlfn.XLOOKUP("[S05_ImprovementReportArt69]["&amp;ROW(B1173)-ROW($B$1143)&amp;"][Annex1Activity]",Submission!$O:$O,Submission!$H:$N,""))</f>
        <v/>
      </c>
      <c r="E1173" s="347"/>
      <c r="F1173" s="284" t="str">
        <f>_xlfn.CONCAT(_xlfn.XLOOKUP("[S05_ImprovementReportArt69]["&amp;ROW(B1173)-ROW($B$1143)&amp;"][ImprovementReportType]",Submission!$O:$O,Submission!$H:$N,""))</f>
        <v/>
      </c>
      <c r="G1173" s="282"/>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81" t="str">
        <f>_xlfn.CONCAT(_xlfn.XLOOKUP("[S05_ImprovementReportArt69]["&amp;ROW(B1174)-ROW($B$1143)&amp;"][Annex1Activity]",Submission!$O:$O,Submission!$H:$N,""))</f>
        <v/>
      </c>
      <c r="E1174" s="347"/>
      <c r="F1174" s="284" t="str">
        <f>_xlfn.CONCAT(_xlfn.XLOOKUP("[S05_ImprovementReportArt69]["&amp;ROW(B1174)-ROW($B$1143)&amp;"][ImprovementReportType]",Submission!$O:$O,Submission!$H:$N,""))</f>
        <v/>
      </c>
      <c r="G1174" s="282"/>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81" t="str">
        <f>_xlfn.CONCAT(_xlfn.XLOOKUP("[S05_ImprovementReportArt69]["&amp;ROW(B1175)-ROW($B$1143)&amp;"][Annex1Activity]",Submission!$O:$O,Submission!$H:$N,""))</f>
        <v/>
      </c>
      <c r="E1175" s="347"/>
      <c r="F1175" s="284" t="str">
        <f>_xlfn.CONCAT(_xlfn.XLOOKUP("[S05_ImprovementReportArt69]["&amp;ROW(B1175)-ROW($B$1143)&amp;"][ImprovementReportType]",Submission!$O:$O,Submission!$H:$N,""))</f>
        <v/>
      </c>
      <c r="G1175" s="282"/>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81" t="str">
        <f>_xlfn.CONCAT(_xlfn.XLOOKUP("[S05_ImprovementReportArt69]["&amp;ROW(B1176)-ROW($B$1143)&amp;"][Annex1Activity]",Submission!$O:$O,Submission!$H:$N,""))</f>
        <v/>
      </c>
      <c r="E1176" s="347"/>
      <c r="F1176" s="284" t="str">
        <f>_xlfn.CONCAT(_xlfn.XLOOKUP("[S05_ImprovementReportArt69]["&amp;ROW(B1176)-ROW($B$1143)&amp;"][ImprovementReportType]",Submission!$O:$O,Submission!$H:$N,""))</f>
        <v/>
      </c>
      <c r="G1176" s="282"/>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81" t="str">
        <f>_xlfn.CONCAT(_xlfn.XLOOKUP("[S05_ImprovementReportArt69]["&amp;ROW(B1177)-ROW($B$1143)&amp;"][Annex1Activity]",Submission!$O:$O,Submission!$H:$N,""))</f>
        <v/>
      </c>
      <c r="E1177" s="347"/>
      <c r="F1177" s="284" t="str">
        <f>_xlfn.CONCAT(_xlfn.XLOOKUP("[S05_ImprovementReportArt69]["&amp;ROW(B1177)-ROW($B$1143)&amp;"][ImprovementReportType]",Submission!$O:$O,Submission!$H:$N,""))</f>
        <v/>
      </c>
      <c r="G1177" s="282"/>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81" t="str">
        <f>_xlfn.CONCAT(_xlfn.XLOOKUP("[S05_ImprovementReportArt69]["&amp;ROW(B1178)-ROW($B$1143)&amp;"][Annex1Activity]",Submission!$O:$O,Submission!$H:$N,""))</f>
        <v/>
      </c>
      <c r="E1178" s="347"/>
      <c r="F1178" s="284" t="str">
        <f>_xlfn.CONCAT(_xlfn.XLOOKUP("[S05_ImprovementReportArt69]["&amp;ROW(B1178)-ROW($B$1143)&amp;"][ImprovementReportType]",Submission!$O:$O,Submission!$H:$N,""))</f>
        <v/>
      </c>
      <c r="G1178" s="282"/>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81" t="str">
        <f>_xlfn.CONCAT(_xlfn.XLOOKUP("[S05_ImprovementReportArt69]["&amp;ROW(B1179)-ROW($B$1143)&amp;"][Annex1Activity]",Submission!$O:$O,Submission!$H:$N,""))</f>
        <v/>
      </c>
      <c r="E1179" s="347"/>
      <c r="F1179" s="284" t="str">
        <f>_xlfn.CONCAT(_xlfn.XLOOKUP("[S05_ImprovementReportArt69]["&amp;ROW(B1179)-ROW($B$1143)&amp;"][ImprovementReportType]",Submission!$O:$O,Submission!$H:$N,""))</f>
        <v/>
      </c>
      <c r="G1179" s="282"/>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81" t="str">
        <f>_xlfn.CONCAT(_xlfn.XLOOKUP("[S05_ImprovementReportArt69]["&amp;ROW(B1180)-ROW($B$1143)&amp;"][Annex1Activity]",Submission!$O:$O,Submission!$H:$N,""))</f>
        <v/>
      </c>
      <c r="E1180" s="347"/>
      <c r="F1180" s="284" t="str">
        <f>_xlfn.CONCAT(_xlfn.XLOOKUP("[S05_ImprovementReportArt69]["&amp;ROW(B1180)-ROW($B$1143)&amp;"][ImprovementReportType]",Submission!$O:$O,Submission!$H:$N,""))</f>
        <v/>
      </c>
      <c r="G1180" s="282"/>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81" t="str">
        <f>_xlfn.CONCAT(_xlfn.XLOOKUP("[S05_ImprovementReportArt69]["&amp;ROW(B1181)-ROW($B$1143)&amp;"][Annex1Activity]",Submission!$O:$O,Submission!$H:$N,""))</f>
        <v/>
      </c>
      <c r="E1181" s="347"/>
      <c r="F1181" s="284" t="str">
        <f>_xlfn.CONCAT(_xlfn.XLOOKUP("[S05_ImprovementReportArt69]["&amp;ROW(B1181)-ROW($B$1143)&amp;"][ImprovementReportType]",Submission!$O:$O,Submission!$H:$N,""))</f>
        <v/>
      </c>
      <c r="G1181" s="282"/>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81" t="str">
        <f>_xlfn.CONCAT(_xlfn.XLOOKUP("[S05_ImprovementReportArt69]["&amp;ROW(B1182)-ROW($B$1143)&amp;"][Annex1Activity]",Submission!$O:$O,Submission!$H:$N,""))</f>
        <v/>
      </c>
      <c r="E1182" s="347"/>
      <c r="F1182" s="284" t="str">
        <f>_xlfn.CONCAT(_xlfn.XLOOKUP("[S05_ImprovementReportArt69]["&amp;ROW(B1182)-ROW($B$1143)&amp;"][ImprovementReportType]",Submission!$O:$O,Submission!$H:$N,""))</f>
        <v/>
      </c>
      <c r="G1182" s="282"/>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81" t="str">
        <f>_xlfn.CONCAT(_xlfn.XLOOKUP("[S05_ImprovementReportArt69]["&amp;ROW(B1183)-ROW($B$1143)&amp;"][Annex1Activity]",Submission!$O:$O,Submission!$H:$N,""))</f>
        <v/>
      </c>
      <c r="E1183" s="347"/>
      <c r="F1183" s="284" t="str">
        <f>_xlfn.CONCAT(_xlfn.XLOOKUP("[S05_ImprovementReportArt69]["&amp;ROW(B1183)-ROW($B$1143)&amp;"][ImprovementReportType]",Submission!$O:$O,Submission!$H:$N,""))</f>
        <v/>
      </c>
      <c r="G1183" s="282"/>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81" t="str">
        <f>_xlfn.CONCAT(_xlfn.XLOOKUP("[S05_ImprovementReportArt69]["&amp;ROW(B1184)-ROW($B$1143)&amp;"][Annex1Activity]",Submission!$O:$O,Submission!$H:$N,""))</f>
        <v/>
      </c>
      <c r="E1184" s="347"/>
      <c r="F1184" s="284" t="str">
        <f>_xlfn.CONCAT(_xlfn.XLOOKUP("[S05_ImprovementReportArt69]["&amp;ROW(B1184)-ROW($B$1143)&amp;"][ImprovementReportType]",Submission!$O:$O,Submission!$H:$N,""))</f>
        <v/>
      </c>
      <c r="G1184" s="282"/>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81" t="str">
        <f>_xlfn.CONCAT(_xlfn.XLOOKUP("[S05_ImprovementReportArt69]["&amp;ROW(B1185)-ROW($B$1143)&amp;"][Annex1Activity]",Submission!$O:$O,Submission!$H:$N,""))</f>
        <v/>
      </c>
      <c r="E1185" s="347"/>
      <c r="F1185" s="284" t="str">
        <f>_xlfn.CONCAT(_xlfn.XLOOKUP("[S05_ImprovementReportArt69]["&amp;ROW(B1185)-ROW($B$1143)&amp;"][ImprovementReportType]",Submission!$O:$O,Submission!$H:$N,""))</f>
        <v/>
      </c>
      <c r="G1185" s="282"/>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81" t="str">
        <f>_xlfn.CONCAT(_xlfn.XLOOKUP("[S05_ImprovementReportArt69]["&amp;ROW(B1186)-ROW($B$1143)&amp;"][Annex1Activity]",Submission!$O:$O,Submission!$H:$N,""))</f>
        <v/>
      </c>
      <c r="E1186" s="347"/>
      <c r="F1186" s="284" t="str">
        <f>_xlfn.CONCAT(_xlfn.XLOOKUP("[S05_ImprovementReportArt69]["&amp;ROW(B1186)-ROW($B$1143)&amp;"][ImprovementReportType]",Submission!$O:$O,Submission!$H:$N,""))</f>
        <v/>
      </c>
      <c r="G1186" s="282"/>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81" t="str">
        <f>_xlfn.CONCAT(_xlfn.XLOOKUP("[S05_ImprovementReportArt69]["&amp;ROW(B1187)-ROW($B$1143)&amp;"][Annex1Activity]",Submission!$O:$O,Submission!$H:$N,""))</f>
        <v/>
      </c>
      <c r="E1187" s="347"/>
      <c r="F1187" s="284" t="str">
        <f>_xlfn.CONCAT(_xlfn.XLOOKUP("[S05_ImprovementReportArt69]["&amp;ROW(B1187)-ROW($B$1143)&amp;"][ImprovementReportType]",Submission!$O:$O,Submission!$H:$N,""))</f>
        <v/>
      </c>
      <c r="G1187" s="282"/>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81" t="str">
        <f>_xlfn.CONCAT(_xlfn.XLOOKUP("[S05_ImprovementReportArt69]["&amp;ROW(B1188)-ROW($B$1143)&amp;"][Annex1Activity]",Submission!$O:$O,Submission!$H:$N,""))</f>
        <v/>
      </c>
      <c r="E1188" s="347"/>
      <c r="F1188" s="284" t="str">
        <f>_xlfn.CONCAT(_xlfn.XLOOKUP("[S05_ImprovementReportArt69]["&amp;ROW(B1188)-ROW($B$1143)&amp;"][ImprovementReportType]",Submission!$O:$O,Submission!$H:$N,""))</f>
        <v/>
      </c>
      <c r="G1188" s="282"/>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81" t="str">
        <f>_xlfn.CONCAT(_xlfn.XLOOKUP("[S05_ImprovementReportArt69]["&amp;ROW(B1189)-ROW($B$1143)&amp;"][Annex1Activity]",Submission!$O:$O,Submission!$H:$N,""))</f>
        <v/>
      </c>
      <c r="E1189" s="347"/>
      <c r="F1189" s="284" t="str">
        <f>_xlfn.CONCAT(_xlfn.XLOOKUP("[S05_ImprovementReportArt69]["&amp;ROW(B1189)-ROW($B$1143)&amp;"][ImprovementReportType]",Submission!$O:$O,Submission!$H:$N,""))</f>
        <v/>
      </c>
      <c r="G1189" s="282"/>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81" t="str">
        <f>_xlfn.CONCAT(_xlfn.XLOOKUP("[S05_ImprovementReportArt69]["&amp;ROW(B1190)-ROW($B$1143)&amp;"][Annex1Activity]",Submission!$O:$O,Submission!$H:$N,""))</f>
        <v/>
      </c>
      <c r="E1190" s="347"/>
      <c r="F1190" s="284" t="str">
        <f>_xlfn.CONCAT(_xlfn.XLOOKUP("[S05_ImprovementReportArt69]["&amp;ROW(B1190)-ROW($B$1143)&amp;"][ImprovementReportType]",Submission!$O:$O,Submission!$H:$N,""))</f>
        <v/>
      </c>
      <c r="G1190" s="282"/>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81" t="str">
        <f>_xlfn.CONCAT(_xlfn.XLOOKUP("[S05_ImprovementReportArt69]["&amp;ROW(B1191)-ROW($B$1143)&amp;"][Annex1Activity]",Submission!$O:$O,Submission!$H:$N,""))</f>
        <v/>
      </c>
      <c r="E1191" s="347"/>
      <c r="F1191" s="284" t="str">
        <f>_xlfn.CONCAT(_xlfn.XLOOKUP("[S05_ImprovementReportArt69]["&amp;ROW(B1191)-ROW($B$1143)&amp;"][ImprovementReportType]",Submission!$O:$O,Submission!$H:$N,""))</f>
        <v/>
      </c>
      <c r="G1191" s="282"/>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81" t="str">
        <f>_xlfn.CONCAT(_xlfn.XLOOKUP("[S05_ImprovementReportArt69]["&amp;ROW(B1192)-ROW($B$1143)&amp;"][Annex1Activity]",Submission!$O:$O,Submission!$H:$N,""))</f>
        <v/>
      </c>
      <c r="E1192" s="347"/>
      <c r="F1192" s="284" t="str">
        <f>_xlfn.CONCAT(_xlfn.XLOOKUP("[S05_ImprovementReportArt69]["&amp;ROW(B1192)-ROW($B$1143)&amp;"][ImprovementReportType]",Submission!$O:$O,Submission!$H:$N,""))</f>
        <v/>
      </c>
      <c r="G1192" s="282"/>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81" t="str">
        <f>_xlfn.CONCAT(_xlfn.XLOOKUP("[S05_ImprovementReportArt69]["&amp;ROW(B1193)-ROW($B$1143)&amp;"][Annex1Activity]",Submission!$O:$O,Submission!$H:$N,""))</f>
        <v/>
      </c>
      <c r="E1193" s="347"/>
      <c r="F1193" s="284" t="str">
        <f>_xlfn.CONCAT(_xlfn.XLOOKUP("[S05_ImprovementReportArt69]["&amp;ROW(B1193)-ROW($B$1143)&amp;"][ImprovementReportType]",Submission!$O:$O,Submission!$H:$N,""))</f>
        <v/>
      </c>
      <c r="G1193" s="282"/>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81" t="str">
        <f>_xlfn.CONCAT(_xlfn.XLOOKUP("[S05_ImprovementReportArt69]["&amp;ROW(B1194)-ROW($B$1143)&amp;"][Annex1Activity]",Submission!$O:$O,Submission!$H:$N,""))</f>
        <v/>
      </c>
      <c r="E1194" s="347"/>
      <c r="F1194" s="284" t="str">
        <f>_xlfn.CONCAT(_xlfn.XLOOKUP("[S05_ImprovementReportArt69]["&amp;ROW(B1194)-ROW($B$1143)&amp;"][ImprovementReportType]",Submission!$O:$O,Submission!$H:$N,""))</f>
        <v/>
      </c>
      <c r="G1194" s="282"/>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81" t="str">
        <f>_xlfn.CONCAT(_xlfn.XLOOKUP("[S05_ImprovementReportArt69]["&amp;ROW(B1195)-ROW($B$1143)&amp;"][Annex1Activity]",Submission!$O:$O,Submission!$H:$N,""))</f>
        <v/>
      </c>
      <c r="E1195" s="347"/>
      <c r="F1195" s="284" t="str">
        <f>_xlfn.CONCAT(_xlfn.XLOOKUP("[S05_ImprovementReportArt69]["&amp;ROW(B1195)-ROW($B$1143)&amp;"][ImprovementReportType]",Submission!$O:$O,Submission!$H:$N,""))</f>
        <v/>
      </c>
      <c r="G1195" s="282"/>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81" t="str">
        <f>_xlfn.CONCAT(_xlfn.XLOOKUP("[S05_ImprovementReportArt69]["&amp;ROW(B1196)-ROW($B$1143)&amp;"][Annex1Activity]",Submission!$O:$O,Submission!$H:$N,""))</f>
        <v/>
      </c>
      <c r="E1196" s="347"/>
      <c r="F1196" s="284" t="str">
        <f>_xlfn.CONCAT(_xlfn.XLOOKUP("[S05_ImprovementReportArt69]["&amp;ROW(B1196)-ROW($B$1143)&amp;"][ImprovementReportType]",Submission!$O:$O,Submission!$H:$N,""))</f>
        <v/>
      </c>
      <c r="G1196" s="282"/>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81" t="str">
        <f>_xlfn.CONCAT(_xlfn.XLOOKUP("[S05_ImprovementReportArt69]["&amp;ROW(B1197)-ROW($B$1143)&amp;"][Annex1Activity]",Submission!$O:$O,Submission!$H:$N,""))</f>
        <v/>
      </c>
      <c r="E1197" s="347"/>
      <c r="F1197" s="284" t="str">
        <f>_xlfn.CONCAT(_xlfn.XLOOKUP("[S05_ImprovementReportArt69]["&amp;ROW(B1197)-ROW($B$1143)&amp;"][ImprovementReportType]",Submission!$O:$O,Submission!$H:$N,""))</f>
        <v/>
      </c>
      <c r="G1197" s="282"/>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81" t="str">
        <f>_xlfn.CONCAT(_xlfn.XLOOKUP("[S05_ImprovementReportArt69]["&amp;ROW(B1198)-ROW($B$1143)&amp;"][Annex1Activity]",Submission!$O:$O,Submission!$H:$N,""))</f>
        <v/>
      </c>
      <c r="E1198" s="347"/>
      <c r="F1198" s="284" t="str">
        <f>_xlfn.CONCAT(_xlfn.XLOOKUP("[S05_ImprovementReportArt69]["&amp;ROW(B1198)-ROW($B$1143)&amp;"][ImprovementReportType]",Submission!$O:$O,Submission!$H:$N,""))</f>
        <v/>
      </c>
      <c r="G1198" s="282"/>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81" t="str">
        <f>_xlfn.CONCAT(_xlfn.XLOOKUP("[S05_ImprovementReportArt69]["&amp;ROW(B1199)-ROW($B$1143)&amp;"][Annex1Activity]",Submission!$O:$O,Submission!$H:$N,""))</f>
        <v/>
      </c>
      <c r="E1199" s="347"/>
      <c r="F1199" s="284" t="str">
        <f>_xlfn.CONCAT(_xlfn.XLOOKUP("[S05_ImprovementReportArt69]["&amp;ROW(B1199)-ROW($B$1143)&amp;"][ImprovementReportType]",Submission!$O:$O,Submission!$H:$N,""))</f>
        <v/>
      </c>
      <c r="G1199" s="282"/>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81" t="str">
        <f>_xlfn.CONCAT(_xlfn.XLOOKUP("[S05_ImprovementReportArt69]["&amp;ROW(B1200)-ROW($B$1143)&amp;"][Annex1Activity]",Submission!$O:$O,Submission!$H:$N,""))</f>
        <v/>
      </c>
      <c r="E1200" s="347"/>
      <c r="F1200" s="284" t="str">
        <f>_xlfn.CONCAT(_xlfn.XLOOKUP("[S05_ImprovementReportArt69]["&amp;ROW(B1200)-ROW($B$1143)&amp;"][ImprovementReportType]",Submission!$O:$O,Submission!$H:$N,""))</f>
        <v/>
      </c>
      <c r="G1200" s="282"/>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81" t="str">
        <f>_xlfn.CONCAT(_xlfn.XLOOKUP("[S05_ImprovementReportArt69]["&amp;ROW(B1201)-ROW($B$1143)&amp;"][Annex1Activity]",Submission!$O:$O,Submission!$H:$N,""))</f>
        <v/>
      </c>
      <c r="E1201" s="347"/>
      <c r="F1201" s="284" t="str">
        <f>_xlfn.CONCAT(_xlfn.XLOOKUP("[S05_ImprovementReportArt69]["&amp;ROW(B1201)-ROW($B$1143)&amp;"][ImprovementReportType]",Submission!$O:$O,Submission!$H:$N,""))</f>
        <v/>
      </c>
      <c r="G1201" s="282"/>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81" t="str">
        <f>_xlfn.CONCAT(_xlfn.XLOOKUP("[S05_ImprovementReportArt69]["&amp;ROW(B1202)-ROW($B$1143)&amp;"][Annex1Activity]",Submission!$O:$O,Submission!$H:$N,""))</f>
        <v/>
      </c>
      <c r="E1202" s="347"/>
      <c r="F1202" s="284" t="str">
        <f>_xlfn.CONCAT(_xlfn.XLOOKUP("[S05_ImprovementReportArt69]["&amp;ROW(B1202)-ROW($B$1143)&amp;"][ImprovementReportType]",Submission!$O:$O,Submission!$H:$N,""))</f>
        <v/>
      </c>
      <c r="G1202" s="282"/>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81" t="str">
        <f>_xlfn.CONCAT(_xlfn.XLOOKUP("[S05_ImprovementReportArt69]["&amp;ROW(B1203)-ROW($B$1143)&amp;"][Annex1Activity]",Submission!$O:$O,Submission!$H:$N,""))</f>
        <v/>
      </c>
      <c r="E1203" s="347"/>
      <c r="F1203" s="284" t="str">
        <f>_xlfn.CONCAT(_xlfn.XLOOKUP("[S05_ImprovementReportArt69]["&amp;ROW(B1203)-ROW($B$1143)&amp;"][ImprovementReportType]",Submission!$O:$O,Submission!$H:$N,""))</f>
        <v/>
      </c>
      <c r="G1203" s="282"/>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81" t="str">
        <f>_xlfn.CONCAT(_xlfn.XLOOKUP("[S05_ImprovementReportArt69]["&amp;ROW(B1204)-ROW($B$1143)&amp;"][Annex1Activity]",Submission!$O:$O,Submission!$H:$N,""))</f>
        <v/>
      </c>
      <c r="E1204" s="347"/>
      <c r="F1204" s="284" t="str">
        <f>_xlfn.CONCAT(_xlfn.XLOOKUP("[S05_ImprovementReportArt69]["&amp;ROW(B1204)-ROW($B$1143)&amp;"][ImprovementReportType]",Submission!$O:$O,Submission!$H:$N,""))</f>
        <v/>
      </c>
      <c r="G1204" s="282"/>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81" t="str">
        <f>_xlfn.CONCAT(_xlfn.XLOOKUP("[S05_ImprovementReportArt69]["&amp;ROW(B1205)-ROW($B$1143)&amp;"][Annex1Activity]",Submission!$O:$O,Submission!$H:$N,""))</f>
        <v/>
      </c>
      <c r="E1205" s="347"/>
      <c r="F1205" s="284" t="str">
        <f>_xlfn.CONCAT(_xlfn.XLOOKUP("[S05_ImprovementReportArt69]["&amp;ROW(B1205)-ROW($B$1143)&amp;"][ImprovementReportType]",Submission!$O:$O,Submission!$H:$N,""))</f>
        <v/>
      </c>
      <c r="G1205" s="282"/>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81" t="str">
        <f>_xlfn.CONCAT(_xlfn.XLOOKUP("[S05_ImprovementReportArt69]["&amp;ROW(B1206)-ROW($B$1143)&amp;"][Annex1Activity]",Submission!$O:$O,Submission!$H:$N,""))</f>
        <v/>
      </c>
      <c r="E1206" s="347"/>
      <c r="F1206" s="284" t="str">
        <f>_xlfn.CONCAT(_xlfn.XLOOKUP("[S05_ImprovementReportArt69]["&amp;ROW(B1206)-ROW($B$1143)&amp;"][ImprovementReportType]",Submission!$O:$O,Submission!$H:$N,""))</f>
        <v/>
      </c>
      <c r="G1206" s="282"/>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81" t="str">
        <f>_xlfn.CONCAT(_xlfn.XLOOKUP("[S05_ImprovementReportArt69]["&amp;ROW(B1207)-ROW($B$1143)&amp;"][Annex1Activity]",Submission!$O:$O,Submission!$H:$N,""))</f>
        <v/>
      </c>
      <c r="E1207" s="347"/>
      <c r="F1207" s="284" t="str">
        <f>_xlfn.CONCAT(_xlfn.XLOOKUP("[S05_ImprovementReportArt69]["&amp;ROW(B1207)-ROW($B$1143)&amp;"][ImprovementReportType]",Submission!$O:$O,Submission!$H:$N,""))</f>
        <v/>
      </c>
      <c r="G1207" s="282"/>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81" t="str">
        <f>_xlfn.CONCAT(_xlfn.XLOOKUP("[S05_ImprovementReportArt69]["&amp;ROW(B1208)-ROW($B$1143)&amp;"][Annex1Activity]",Submission!$O:$O,Submission!$H:$N,""))</f>
        <v/>
      </c>
      <c r="E1208" s="347"/>
      <c r="F1208" s="284" t="str">
        <f>_xlfn.CONCAT(_xlfn.XLOOKUP("[S05_ImprovementReportArt69]["&amp;ROW(B1208)-ROW($B$1143)&amp;"][ImprovementReportType]",Submission!$O:$O,Submission!$H:$N,""))</f>
        <v/>
      </c>
      <c r="G1208" s="282"/>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81" t="str">
        <f>_xlfn.CONCAT(_xlfn.XLOOKUP("[S05_ImprovementReportArt69]["&amp;ROW(B1209)-ROW($B$1143)&amp;"][Annex1Activity]",Submission!$O:$O,Submission!$H:$N,""))</f>
        <v/>
      </c>
      <c r="E1209" s="347"/>
      <c r="F1209" s="284" t="str">
        <f>_xlfn.CONCAT(_xlfn.XLOOKUP("[S05_ImprovementReportArt69]["&amp;ROW(B1209)-ROW($B$1143)&amp;"][ImprovementReportType]",Submission!$O:$O,Submission!$H:$N,""))</f>
        <v/>
      </c>
      <c r="G1209" s="282"/>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81" t="str">
        <f>_xlfn.CONCAT(_xlfn.XLOOKUP("[S05_ImprovementReportArt69]["&amp;ROW(B1210)-ROW($B$1143)&amp;"][Annex1Activity]",Submission!$O:$O,Submission!$H:$N,""))</f>
        <v/>
      </c>
      <c r="E1210" s="347"/>
      <c r="F1210" s="284" t="str">
        <f>_xlfn.CONCAT(_xlfn.XLOOKUP("[S05_ImprovementReportArt69]["&amp;ROW(B1210)-ROW($B$1143)&amp;"][ImprovementReportType]",Submission!$O:$O,Submission!$H:$N,""))</f>
        <v/>
      </c>
      <c r="G1210" s="282"/>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81" t="str">
        <f>_xlfn.CONCAT(_xlfn.XLOOKUP("[S05_ImprovementReportArt69]["&amp;ROW(B1211)-ROW($B$1143)&amp;"][Annex1Activity]",Submission!$O:$O,Submission!$H:$N,""))</f>
        <v/>
      </c>
      <c r="E1211" s="347"/>
      <c r="F1211" s="284" t="str">
        <f>_xlfn.CONCAT(_xlfn.XLOOKUP("[S05_ImprovementReportArt69]["&amp;ROW(B1211)-ROW($B$1143)&amp;"][ImprovementReportType]",Submission!$O:$O,Submission!$H:$N,""))</f>
        <v/>
      </c>
      <c r="G1211" s="282"/>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81" t="str">
        <f>_xlfn.CONCAT(_xlfn.XLOOKUP("[S05_ImprovementReportArt69]["&amp;ROW(B1212)-ROW($B$1143)&amp;"][Annex1Activity]",Submission!$O:$O,Submission!$H:$N,""))</f>
        <v/>
      </c>
      <c r="E1212" s="347"/>
      <c r="F1212" s="284" t="str">
        <f>_xlfn.CONCAT(_xlfn.XLOOKUP("[S05_ImprovementReportArt69]["&amp;ROW(B1212)-ROW($B$1143)&amp;"][ImprovementReportType]",Submission!$O:$O,Submission!$H:$N,""))</f>
        <v/>
      </c>
      <c r="G1212" s="282"/>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81" t="str">
        <f>_xlfn.CONCAT(_xlfn.XLOOKUP("[S05_ImprovementReportArt69]["&amp;ROW(B1213)-ROW($B$1143)&amp;"][Annex1Activity]",Submission!$O:$O,Submission!$H:$N,""))</f>
        <v/>
      </c>
      <c r="E1213" s="347"/>
      <c r="F1213" s="284" t="str">
        <f>_xlfn.CONCAT(_xlfn.XLOOKUP("[S05_ImprovementReportArt69]["&amp;ROW(B1213)-ROW($B$1143)&amp;"][ImprovementReportType]",Submission!$O:$O,Submission!$H:$N,""))</f>
        <v/>
      </c>
      <c r="G1213" s="282"/>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67" t="s">
        <v>895</v>
      </c>
      <c r="D1215" s="367"/>
      <c r="E1215" s="367"/>
      <c r="F1215" s="367"/>
      <c r="G1215" s="367"/>
      <c r="H1215" s="367"/>
      <c r="I1215" s="367"/>
    </row>
    <row r="1216" spans="1:9" ht="15.9" customHeight="1" x14ac:dyDescent="0.3"/>
    <row r="1217" spans="1:12" ht="33" customHeight="1" x14ac:dyDescent="0.3">
      <c r="A1217" s="12" t="s">
        <v>273</v>
      </c>
      <c r="B1217" s="293" t="s">
        <v>896</v>
      </c>
      <c r="C1217" s="294"/>
      <c r="D1217" s="294"/>
      <c r="E1217" s="294"/>
      <c r="F1217" s="294"/>
      <c r="G1217" s="294"/>
      <c r="H1217" s="295"/>
      <c r="I1217" s="41" t="str">
        <f>_xlfn.CONCAT(_xlfn.XLOOKUP("[InherentCarbonTransferred][0][InherentCarbonTransferred]",Submission!$O:$O,Submission!$H:$N,""))</f>
        <v>No</v>
      </c>
    </row>
    <row r="1218" spans="1:12" ht="15.9" customHeight="1" x14ac:dyDescent="0.3">
      <c r="A1218" s="12"/>
      <c r="B1218" s="293" t="s">
        <v>884</v>
      </c>
      <c r="C1218" s="294"/>
      <c r="D1218" s="294"/>
      <c r="E1218" s="294"/>
      <c r="F1218" s="294"/>
      <c r="G1218" s="294"/>
      <c r="H1218" s="294"/>
      <c r="I1218" s="294"/>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
      </c>
      <c r="D1220" s="72" t="str">
        <f>_xlfn.CONCAT(_xlfn.XLOOKUP("[S05_InherentCarbonTransferredDetail]["&amp;ROW(B1220)-ROW($B$1219)&amp;"][InstallationIdTransferring]",Submission!$O:$O,Submission!$H:$N,""))</f>
        <v/>
      </c>
      <c r="E1220" s="72" t="str">
        <f>_xlfn.CONCAT(_xlfn.XLOOKUP("[S05_InherentCarbonTransferredDetail]["&amp;ROW(B1220)-ROW($B$1219)&amp;"][InstallationIdReceiving]",Submission!$O:$O,Submission!$H:$N,""))</f>
        <v/>
      </c>
      <c r="F1220" s="124" t="str">
        <f>_xlfn.CONCAT(_xlfn.XLOOKUP("[S05_InherentCarbonTransferredDetail]["&amp;ROW(B1220)-ROW($B$1219)&amp;"][AmountCO2Transferred]",Submission!$O:$O,Submission!$H:$N,""))</f>
        <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
      </c>
      <c r="D1221" s="72" t="str">
        <f>_xlfn.CONCAT(_xlfn.XLOOKUP("[S05_InherentCarbonTransferredDetail]["&amp;ROW(B1221)-ROW($B$1219)&amp;"][InstallationIdTransferring]",Submission!$O:$O,Submission!$H:$N,""))</f>
        <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67" t="s">
        <v>904</v>
      </c>
      <c r="D1318" s="380"/>
      <c r="E1318" s="380"/>
      <c r="F1318" s="380"/>
      <c r="G1318" s="380"/>
      <c r="H1318" s="380"/>
      <c r="I1318" s="380"/>
    </row>
    <row r="1319" spans="1:12" ht="15.9" customHeight="1" x14ac:dyDescent="0.3">
      <c r="B1319" s="16"/>
      <c r="C1319" s="248" t="s">
        <v>905</v>
      </c>
      <c r="D1319" s="249"/>
      <c r="E1319" s="249"/>
      <c r="F1319" s="249"/>
      <c r="G1319" s="249"/>
      <c r="H1319" s="249"/>
      <c r="I1319" s="249"/>
    </row>
    <row r="1320" spans="1:12" ht="28.2" customHeight="1" x14ac:dyDescent="0.3">
      <c r="B1320" s="16"/>
      <c r="C1320" s="248" t="s">
        <v>906</v>
      </c>
      <c r="D1320" s="386"/>
      <c r="E1320" s="386"/>
      <c r="F1320" s="386"/>
      <c r="G1320" s="386"/>
      <c r="H1320" s="386"/>
      <c r="I1320" s="386"/>
    </row>
    <row r="1321" spans="1:12" ht="29.4" customHeight="1" x14ac:dyDescent="0.3">
      <c r="B1321" s="16"/>
      <c r="C1321" s="248" t="s">
        <v>907</v>
      </c>
      <c r="D1321" s="386"/>
      <c r="E1321" s="386"/>
      <c r="F1321" s="386"/>
      <c r="G1321" s="386"/>
      <c r="H1321" s="386"/>
      <c r="I1321" s="386"/>
    </row>
    <row r="1322" spans="1:12" ht="28.2" customHeight="1" x14ac:dyDescent="0.3">
      <c r="B1322" s="16"/>
      <c r="C1322" s="248" t="s">
        <v>908</v>
      </c>
      <c r="D1322" s="248"/>
      <c r="E1322" s="248"/>
      <c r="F1322" s="248"/>
      <c r="G1322" s="248"/>
      <c r="H1322" s="248"/>
      <c r="I1322" s="248"/>
    </row>
    <row r="1323" spans="1:12" ht="15.9" customHeight="1" x14ac:dyDescent="0.3"/>
    <row r="1324" spans="1:12" ht="31.95" customHeight="1" x14ac:dyDescent="0.3">
      <c r="A1324" s="12" t="s">
        <v>283</v>
      </c>
      <c r="B1324" s="293" t="s">
        <v>909</v>
      </c>
      <c r="C1324" s="294"/>
      <c r="D1324" s="294"/>
      <c r="E1324" s="294"/>
      <c r="F1324" s="294"/>
      <c r="G1324" s="294"/>
      <c r="H1324" s="295"/>
      <c r="I1324" s="41" t="str">
        <f>_xlfn.CONCAT(_xlfn.XLOOKUP("[ContinuousEmissionsMeasurement][0][ContinuousEmissionsMeasurement]",Submission!$O:$O,Submission!$H:$N,""))</f>
        <v>No</v>
      </c>
    </row>
    <row r="1325" spans="1:12" s="58" customFormat="1" ht="36" customHeight="1" x14ac:dyDescent="0.3">
      <c r="A1325" s="57"/>
      <c r="B1325" s="273" t="s">
        <v>910</v>
      </c>
      <c r="C1325" s="258"/>
      <c r="D1325" s="258"/>
      <c r="E1325" s="258"/>
      <c r="F1325" s="258"/>
      <c r="G1325" s="258"/>
      <c r="H1325" s="258"/>
      <c r="I1325" s="258"/>
    </row>
    <row r="1326" spans="1:12" ht="46.95" customHeight="1" x14ac:dyDescent="0.3">
      <c r="B1326" s="23"/>
      <c r="C1326" s="315" t="s">
        <v>911</v>
      </c>
      <c r="D1326" s="336"/>
      <c r="E1326" s="315" t="s">
        <v>912</v>
      </c>
      <c r="F1326" s="336"/>
      <c r="G1326" s="46" t="s">
        <v>913</v>
      </c>
      <c r="H1326" s="46" t="s">
        <v>914</v>
      </c>
      <c r="I1326" s="46" t="s">
        <v>915</v>
      </c>
    </row>
    <row r="1327" spans="1:12" ht="15.9" customHeight="1" x14ac:dyDescent="0.3">
      <c r="A1327" s="13"/>
      <c r="B1327" s="23"/>
      <c r="C1327" s="284" t="str">
        <f>_xlfn.CONCAT(_xlfn.XLOOKUP("[S05_ContinuousEmissionsMeasurementDetail][1][InstallationIDCO2]",Submission!$O:$O,Submission!$H:$N,""))</f>
        <v/>
      </c>
      <c r="D1327" s="285"/>
      <c r="E1327" s="284" t="str">
        <f>_xlfn.CONCAT(_xlfn.XLOOKUP("[S05_ContinuousEmissionsMeasurementDetail][1][InstallationIDN2O]",Submission!$O:$O,Submission!$H:$N,""))</f>
        <v/>
      </c>
      <c r="F1327" s="285"/>
      <c r="G1327" s="127" t="str">
        <f>_xlfn.CONCAT(_xlfn.XLOOKUP("[S05_ContinuousEmissionsMeasurementDetail][1][TotalEmissionsCO2E]",Submission!$O:$O,Submission!$H:$N,""))</f>
        <v/>
      </c>
      <c r="H1327" s="127" t="str">
        <f>_xlfn.CONCAT(_xlfn.XLOOKUP("[S05_ContinuousEmissionsMeasurementDetail][1][ContinuousMeasurementTotalEmissions]",Submission!$O:$O,Submission!$H:$N,""))</f>
        <v/>
      </c>
      <c r="I1327" s="72" t="str">
        <f>_xlfn.CONCAT(_xlfn.XLOOKUP("[S05_ContinuousEmissionsMeasurementDetail][1][FlueGasContainBiomass]",Submission!$O:$O,Submission!$H:$N,""))</f>
        <v/>
      </c>
    </row>
    <row r="1328" spans="1:12" ht="15.9" customHeight="1" x14ac:dyDescent="0.3">
      <c r="A1328" s="13"/>
      <c r="B1328" s="23"/>
      <c r="C1328" s="284" t="str">
        <f>_xlfn.CONCAT(_xlfn.XLOOKUP("[S05_ContinuousEmissionsMeasurementDetail][2][InstallationIDCO2]",Submission!$O:$O,Submission!$H:$N,""))</f>
        <v/>
      </c>
      <c r="D1328" s="285"/>
      <c r="E1328" s="284" t="str">
        <f>_xlfn.CONCAT(_xlfn.XLOOKUP("[S05_ContinuousEmissionsMeasurementDetail][2][InstallationIDN2O]",Submission!$O:$O,Submission!$H:$N,""))</f>
        <v/>
      </c>
      <c r="F1328" s="285"/>
      <c r="G1328" s="127" t="str">
        <f>_xlfn.CONCAT(_xlfn.XLOOKUP("[S05_ContinuousEmissionsMeasurementDetail][2][TotalEmissionsCO2E]",Submission!$O:$O,Submission!$H:$N,""))</f>
        <v/>
      </c>
      <c r="H1328" s="127" t="str">
        <f>_xlfn.CONCAT(_xlfn.XLOOKUP("[S05_ContinuousEmissionsMeasurementDetail][2][ContinuousMeasurementTotalEmissions]",Submission!$O:$O,Submission!$H:$N,""))</f>
        <v/>
      </c>
      <c r="I1328" s="72" t="str">
        <f>_xlfn.CONCAT(_xlfn.XLOOKUP("[S05_ContinuousEmissionsMeasurementDetail][2][FlueGasContainBiomass]",Submission!$O:$O,Submission!$H:$N,""))</f>
        <v/>
      </c>
    </row>
    <row r="1329" spans="1:9" ht="15.9" customHeight="1" x14ac:dyDescent="0.3">
      <c r="A1329" s="13"/>
      <c r="B1329" s="23"/>
      <c r="C1329" s="284" t="str">
        <f>_xlfn.CONCAT(_xlfn.XLOOKUP("[S05_ContinuousEmissionsMeasurementDetail][3][InstallationIDCO2]",Submission!$O:$O,Submission!$H:$N,""))</f>
        <v/>
      </c>
      <c r="D1329" s="285"/>
      <c r="E1329" s="284" t="str">
        <f>_xlfn.CONCAT(_xlfn.XLOOKUP("[S05_ContinuousEmissionsMeasurementDetail][3][InstallationIDN2O]",Submission!$O:$O,Submission!$H:$N,""))</f>
        <v/>
      </c>
      <c r="F1329" s="285"/>
      <c r="G1329" s="127" t="str">
        <f>_xlfn.CONCAT(_xlfn.XLOOKUP("[S05_ContinuousEmissionsMeasurementDetail][3][TotalEmissionsCO2E]",Submission!$O:$O,Submission!$H:$N,""))</f>
        <v/>
      </c>
      <c r="H1329" s="127" t="str">
        <f>_xlfn.CONCAT(_xlfn.XLOOKUP("[S05_ContinuousEmissionsMeasurementDetail][3][ContinuousMeasurementTotalEmissions]",Submission!$O:$O,Submission!$H:$N,""))</f>
        <v/>
      </c>
      <c r="I1329" s="72" t="str">
        <f>_xlfn.CONCAT(_xlfn.XLOOKUP("[S05_ContinuousEmissionsMeasurementDetail][3][FlueGasContainBiomass]",Submission!$O:$O,Submission!$H:$N,""))</f>
        <v/>
      </c>
    </row>
    <row r="1330" spans="1:9" ht="15.9" customHeight="1" x14ac:dyDescent="0.3">
      <c r="A1330" s="13"/>
      <c r="B1330" s="23"/>
      <c r="C1330" s="284" t="str">
        <f>_xlfn.CONCAT(_xlfn.XLOOKUP("[S05_ContinuousEmissionsMeasurementDetail][4][InstallationIDCO2]",Submission!$O:$O,Submission!$H:$N,""))</f>
        <v/>
      </c>
      <c r="D1330" s="285"/>
      <c r="E1330" s="284" t="str">
        <f>_xlfn.CONCAT(_xlfn.XLOOKUP("[S05_ContinuousEmissionsMeasurementDetail][4][InstallationIDN2O]",Submission!$O:$O,Submission!$H:$N,""))</f>
        <v/>
      </c>
      <c r="F1330" s="285"/>
      <c r="G1330" s="127" t="str">
        <f>_xlfn.CONCAT(_xlfn.XLOOKUP("[S05_ContinuousEmissionsMeasurementDetail][4][TotalEmissionsCO2E]",Submission!$O:$O,Submission!$H:$N,""))</f>
        <v/>
      </c>
      <c r="H1330" s="127" t="str">
        <f>_xlfn.CONCAT(_xlfn.XLOOKUP("[S05_ContinuousEmissionsMeasurementDetail][4][ContinuousMeasurementTotalEmissions]",Submission!$O:$O,Submission!$H:$N,""))</f>
        <v/>
      </c>
      <c r="I1330" s="72" t="str">
        <f>_xlfn.CONCAT(_xlfn.XLOOKUP("[S05_ContinuousEmissionsMeasurementDetail][4][FlueGasContainBiomass]",Submission!$O:$O,Submission!$H:$N,""))</f>
        <v/>
      </c>
    </row>
    <row r="1331" spans="1:9" ht="15.9" customHeight="1" x14ac:dyDescent="0.3">
      <c r="A1331" s="13"/>
      <c r="B1331" s="23"/>
      <c r="C1331" s="284" t="str">
        <f>_xlfn.CONCAT(_xlfn.XLOOKUP("[S05_ContinuousEmissionsMeasurementDetail][5][InstallationIDCO2]",Submission!$O:$O,Submission!$H:$N,""))</f>
        <v/>
      </c>
      <c r="D1331" s="285"/>
      <c r="E1331" s="284" t="str">
        <f>_xlfn.CONCAT(_xlfn.XLOOKUP("[S05_ContinuousEmissionsMeasurementDetail][5][InstallationIDN2O]",Submission!$O:$O,Submission!$H:$N,""))</f>
        <v/>
      </c>
      <c r="F1331" s="285"/>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84" t="str">
        <f>_xlfn.CONCAT(_xlfn.XLOOKUP("[S05_ContinuousEmissionsMeasurementDetail][6][InstallationIDCO2]",Submission!$O:$O,Submission!$H:$N,""))</f>
        <v/>
      </c>
      <c r="D1332" s="285"/>
      <c r="E1332" s="284" t="str">
        <f>_xlfn.CONCAT(_xlfn.XLOOKUP("[S05_ContinuousEmissionsMeasurementDetail][6][InstallationIDN2O]",Submission!$O:$O,Submission!$H:$N,""))</f>
        <v/>
      </c>
      <c r="F1332" s="285"/>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84" t="str">
        <f>_xlfn.CONCAT(_xlfn.XLOOKUP("[S05_ContinuousEmissionsMeasurementDetail][7][InstallationIDCO2]",Submission!$O:$O,Submission!$H:$N,""))</f>
        <v/>
      </c>
      <c r="D1333" s="285"/>
      <c r="E1333" s="284" t="str">
        <f>_xlfn.CONCAT(_xlfn.XLOOKUP("[S05_ContinuousEmissionsMeasurementDetail][7][InstallationIDN2O]",Submission!$O:$O,Submission!$H:$N,""))</f>
        <v/>
      </c>
      <c r="F1333" s="285"/>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84" t="str">
        <f>_xlfn.CONCAT(_xlfn.XLOOKUP("[S05_ContinuousEmissionsMeasurementDetail][8][InstallationIDCO2]",Submission!$O:$O,Submission!$H:$N,""))</f>
        <v/>
      </c>
      <c r="D1334" s="285"/>
      <c r="E1334" s="284" t="str">
        <f>_xlfn.CONCAT(_xlfn.XLOOKUP("[S05_ContinuousEmissionsMeasurementDetail][8][InstallationIDN2O]",Submission!$O:$O,Submission!$H:$N,""))</f>
        <v/>
      </c>
      <c r="F1334" s="285"/>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84" t="str">
        <f>_xlfn.CONCAT(_xlfn.XLOOKUP("[S05_ContinuousEmissionsMeasurementDetail][9][InstallationIDCO2]",Submission!$O:$O,Submission!$H:$N,""))</f>
        <v/>
      </c>
      <c r="D1335" s="285"/>
      <c r="E1335" s="284" t="str">
        <f>_xlfn.CONCAT(_xlfn.XLOOKUP("[S05_ContinuousEmissionsMeasurementDetail][9][InstallationIDN2O]",Submission!$O:$O,Submission!$H:$N,""))</f>
        <v/>
      </c>
      <c r="F1335" s="285"/>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84" t="str">
        <f>_xlfn.CONCAT(_xlfn.XLOOKUP("[S05_ContinuousEmissionsMeasurementDetail][10][InstallationIDCO2]",Submission!$O:$O,Submission!$H:$N,""))</f>
        <v/>
      </c>
      <c r="D1336" s="285"/>
      <c r="E1336" s="284" t="str">
        <f>_xlfn.CONCAT(_xlfn.XLOOKUP("[S05_ContinuousEmissionsMeasurementDetail][10][InstallationIDN2O]",Submission!$O:$O,Submission!$H:$N,""))</f>
        <v/>
      </c>
      <c r="F1336" s="285"/>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84" t="str">
        <f>_xlfn.CONCAT(_xlfn.XLOOKUP("[S05_ContinuousEmissionsMeasurementDetail][11][InstallationIDCO2]",Submission!$O:$O,Submission!$H:$N,""))</f>
        <v/>
      </c>
      <c r="D1337" s="285"/>
      <c r="E1337" s="284" t="str">
        <f>_xlfn.CONCAT(_xlfn.XLOOKUP("[S05_ContinuousEmissionsMeasurementDetail][11][InstallationIDN2O]",Submission!$O:$O,Submission!$H:$N,""))</f>
        <v/>
      </c>
      <c r="F1337" s="285"/>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84" t="str">
        <f>_xlfn.CONCAT(_xlfn.XLOOKUP("[S05_ContinuousEmissionsMeasurementDetail][12][InstallationIDCO2]",Submission!$O:$O,Submission!$H:$N,""))</f>
        <v/>
      </c>
      <c r="D1338" s="285"/>
      <c r="E1338" s="284" t="str">
        <f>_xlfn.CONCAT(_xlfn.XLOOKUP("[S05_ContinuousEmissionsMeasurementDetail][12][InstallationIDN2O]",Submission!$O:$O,Submission!$H:$N,""))</f>
        <v/>
      </c>
      <c r="F1338" s="285"/>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84" t="str">
        <f>_xlfn.CONCAT(_xlfn.XLOOKUP("[S05_ContinuousEmissionsMeasurementDetail][13][InstallationIDCO2]",Submission!$O:$O,Submission!$H:$N,""))</f>
        <v/>
      </c>
      <c r="D1339" s="285"/>
      <c r="E1339" s="284" t="str">
        <f>_xlfn.CONCAT(_xlfn.XLOOKUP("[S05_ContinuousEmissionsMeasurementDetail][13][InstallationIDN2O]",Submission!$O:$O,Submission!$H:$N,""))</f>
        <v/>
      </c>
      <c r="F1339" s="285"/>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84" t="str">
        <f>_xlfn.CONCAT(_xlfn.XLOOKUP("[S05_ContinuousEmissionsMeasurementDetail][14][InstallationIDCO2]",Submission!$O:$O,Submission!$H:$N,""))</f>
        <v/>
      </c>
      <c r="D1340" s="285"/>
      <c r="E1340" s="284" t="str">
        <f>_xlfn.CONCAT(_xlfn.XLOOKUP("[S05_ContinuousEmissionsMeasurementDetail][14][InstallationIDN2O]",Submission!$O:$O,Submission!$H:$N,""))</f>
        <v/>
      </c>
      <c r="F1340" s="285"/>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84" t="str">
        <f>_xlfn.CONCAT(_xlfn.XLOOKUP("[S05_ContinuousEmissionsMeasurementDetail][15][InstallationIDCO2]",Submission!$O:$O,Submission!$H:$N,""))</f>
        <v/>
      </c>
      <c r="D1341" s="285"/>
      <c r="E1341" s="284" t="str">
        <f>_xlfn.CONCAT(_xlfn.XLOOKUP("[S05_ContinuousEmissionsMeasurementDetail][15][InstallationIDN2O]",Submission!$O:$O,Submission!$H:$N,""))</f>
        <v/>
      </c>
      <c r="F1341" s="285"/>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84" t="str">
        <f>_xlfn.CONCAT(_xlfn.XLOOKUP("[S05_ContinuousEmissionsMeasurementDetail][16][InstallationIDCO2]",Submission!$O:$O,Submission!$H:$N,""))</f>
        <v/>
      </c>
      <c r="D1342" s="285"/>
      <c r="E1342" s="284" t="str">
        <f>_xlfn.CONCAT(_xlfn.XLOOKUP("[S05_ContinuousEmissionsMeasurementDetail][16][InstallationIDN2O]",Submission!$O:$O,Submission!$H:$N,""))</f>
        <v/>
      </c>
      <c r="F1342" s="285"/>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84" t="str">
        <f>_xlfn.CONCAT(_xlfn.XLOOKUP("[S05_ContinuousEmissionsMeasurementDetail][17][InstallationIDCO2]",Submission!$O:$O,Submission!$H:$N,""))</f>
        <v/>
      </c>
      <c r="D1343" s="285"/>
      <c r="E1343" s="284" t="str">
        <f>_xlfn.CONCAT(_xlfn.XLOOKUP("[S05_ContinuousEmissionsMeasurementDetail][17][InstallationIDN2O]",Submission!$O:$O,Submission!$H:$N,""))</f>
        <v/>
      </c>
      <c r="F1343" s="285"/>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84" t="str">
        <f>_xlfn.CONCAT(_xlfn.XLOOKUP("[S05_ContinuousEmissionsMeasurementDetail][18][InstallationIDCO2]",Submission!$O:$O,Submission!$H:$N,""))</f>
        <v/>
      </c>
      <c r="D1344" s="285"/>
      <c r="E1344" s="284" t="str">
        <f>_xlfn.CONCAT(_xlfn.XLOOKUP("[S05_ContinuousEmissionsMeasurementDetail][18][InstallationIDN2O]",Submission!$O:$O,Submission!$H:$N,""))</f>
        <v/>
      </c>
      <c r="F1344" s="285"/>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84" t="str">
        <f>_xlfn.CONCAT(_xlfn.XLOOKUP("[S05_ContinuousEmissionsMeasurementDetail][19][InstallationIDCO2]",Submission!$O:$O,Submission!$H:$N,""))</f>
        <v/>
      </c>
      <c r="D1345" s="285"/>
      <c r="E1345" s="284" t="str">
        <f>_xlfn.CONCAT(_xlfn.XLOOKUP("[S05_ContinuousEmissionsMeasurementDetail][19][InstallationIDN2O]",Submission!$O:$O,Submission!$H:$N,""))</f>
        <v/>
      </c>
      <c r="F1345" s="285"/>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84" t="str">
        <f>_xlfn.CONCAT(_xlfn.XLOOKUP("[S05_ContinuousEmissionsMeasurementDetail][20][InstallationIDCO2]",Submission!$O:$O,Submission!$H:$N,""))</f>
        <v/>
      </c>
      <c r="D1346" s="285"/>
      <c r="E1346" s="284" t="str">
        <f>_xlfn.CONCAT(_xlfn.XLOOKUP("[S05_ContinuousEmissionsMeasurementDetail][20][InstallationIDN2O]",Submission!$O:$O,Submission!$H:$N,""))</f>
        <v/>
      </c>
      <c r="F1346" s="285"/>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84" t="str">
        <f>_xlfn.CONCAT(_xlfn.XLOOKUP("[S05_ContinuousEmissionsMeasurementDetail][21][InstallationIDCO2]",Submission!$O:$O,Submission!$H:$N,""))</f>
        <v/>
      </c>
      <c r="D1347" s="285"/>
      <c r="E1347" s="284" t="str">
        <f>_xlfn.CONCAT(_xlfn.XLOOKUP("[S05_ContinuousEmissionsMeasurementDetail][21][InstallationIDN2O]",Submission!$O:$O,Submission!$H:$N,""))</f>
        <v/>
      </c>
      <c r="F1347" s="285"/>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84" t="str">
        <f>_xlfn.CONCAT(_xlfn.XLOOKUP("[S05_ContinuousEmissionsMeasurementDetail][22][InstallationIDCO2]",Submission!$O:$O,Submission!$H:$N,""))</f>
        <v/>
      </c>
      <c r="D1348" s="285"/>
      <c r="E1348" s="284" t="str">
        <f>_xlfn.CONCAT(_xlfn.XLOOKUP("[S05_ContinuousEmissionsMeasurementDetail][22][InstallationIDN2O]",Submission!$O:$O,Submission!$H:$N,""))</f>
        <v/>
      </c>
      <c r="F1348" s="285"/>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84" t="str">
        <f>_xlfn.CONCAT(_xlfn.XLOOKUP("[S05_ContinuousEmissionsMeasurementDetail][23][InstallationIDCO2]",Submission!$O:$O,Submission!$H:$N,""))</f>
        <v/>
      </c>
      <c r="D1349" s="285"/>
      <c r="E1349" s="284" t="str">
        <f>_xlfn.CONCAT(_xlfn.XLOOKUP("[S05_ContinuousEmissionsMeasurementDetail][23][InstallationIDN2O]",Submission!$O:$O,Submission!$H:$N,""))</f>
        <v/>
      </c>
      <c r="F1349" s="285"/>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84" t="str">
        <f>_xlfn.CONCAT(_xlfn.XLOOKUP("[S05_ContinuousEmissionsMeasurementDetail][24][InstallationIDCO2]",Submission!$O:$O,Submission!$H:$N,""))</f>
        <v/>
      </c>
      <c r="D1350" s="285"/>
      <c r="E1350" s="284" t="str">
        <f>_xlfn.CONCAT(_xlfn.XLOOKUP("[S05_ContinuousEmissionsMeasurementDetail][24][InstallationIDN2O]",Submission!$O:$O,Submission!$H:$N,""))</f>
        <v/>
      </c>
      <c r="F1350" s="285"/>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84" t="str">
        <f>_xlfn.CONCAT(_xlfn.XLOOKUP("[S05_ContinuousEmissionsMeasurementDetail][25][InstallationIDCO2]",Submission!$O:$O,Submission!$H:$N,""))</f>
        <v/>
      </c>
      <c r="D1351" s="285"/>
      <c r="E1351" s="284" t="str">
        <f>_xlfn.CONCAT(_xlfn.XLOOKUP("[S05_ContinuousEmissionsMeasurementDetail][25][InstallationIDN2O]",Submission!$O:$O,Submission!$H:$N,""))</f>
        <v/>
      </c>
      <c r="F1351" s="285"/>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84" t="str">
        <f>_xlfn.CONCAT(_xlfn.XLOOKUP("[S05_ContinuousEmissionsMeasurementDetail][26][InstallationIDCO2]",Submission!$O:$O,Submission!$H:$N,""))</f>
        <v/>
      </c>
      <c r="D1352" s="285"/>
      <c r="E1352" s="284" t="str">
        <f>_xlfn.CONCAT(_xlfn.XLOOKUP("[S05_ContinuousEmissionsMeasurementDetail][26][InstallationIDN2O]",Submission!$O:$O,Submission!$H:$N,""))</f>
        <v/>
      </c>
      <c r="F1352" s="285"/>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84" t="str">
        <f>_xlfn.CONCAT(_xlfn.XLOOKUP("[S05_ContinuousEmissionsMeasurementDetail][27][InstallationIDCO2]",Submission!$O:$O,Submission!$H:$N,""))</f>
        <v/>
      </c>
      <c r="D1353" s="285"/>
      <c r="E1353" s="284" t="str">
        <f>_xlfn.CONCAT(_xlfn.XLOOKUP("[S05_ContinuousEmissionsMeasurementDetail][27][InstallationIDN2O]",Submission!$O:$O,Submission!$H:$N,""))</f>
        <v/>
      </c>
      <c r="F1353" s="285"/>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84" t="str">
        <f>_xlfn.CONCAT(_xlfn.XLOOKUP("[S05_ContinuousEmissionsMeasurementDetail][28][InstallationIDCO2]",Submission!$O:$O,Submission!$H:$N,""))</f>
        <v/>
      </c>
      <c r="D1354" s="285"/>
      <c r="E1354" s="284" t="str">
        <f>_xlfn.CONCAT(_xlfn.XLOOKUP("[S05_ContinuousEmissionsMeasurementDetail][28][InstallationIDN2O]",Submission!$O:$O,Submission!$H:$N,""))</f>
        <v/>
      </c>
      <c r="F1354" s="285"/>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84" t="str">
        <f>_xlfn.CONCAT(_xlfn.XLOOKUP("[S05_ContinuousEmissionsMeasurementDetail][29][InstallationIDCO2]",Submission!$O:$O,Submission!$H:$N,""))</f>
        <v/>
      </c>
      <c r="D1355" s="285"/>
      <c r="E1355" s="284" t="str">
        <f>_xlfn.CONCAT(_xlfn.XLOOKUP("[S05_ContinuousEmissionsMeasurementDetail][29][InstallationIDN2O]",Submission!$O:$O,Submission!$H:$N,""))</f>
        <v/>
      </c>
      <c r="F1355" s="285"/>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84" t="str">
        <f>_xlfn.CONCAT(_xlfn.XLOOKUP("[S05_ContinuousEmissionsMeasurementDetail][30][InstallationIDCO2]",Submission!$O:$O,Submission!$H:$N,""))</f>
        <v/>
      </c>
      <c r="D1356" s="285"/>
      <c r="E1356" s="284" t="str">
        <f>_xlfn.CONCAT(_xlfn.XLOOKUP("[S05_ContinuousEmissionsMeasurementDetail][30][InstallationIDN2O]",Submission!$O:$O,Submission!$H:$N,""))</f>
        <v/>
      </c>
      <c r="F1356" s="285"/>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84" t="str">
        <f>_xlfn.CONCAT(_xlfn.XLOOKUP("[S05_ContinuousEmissionsMeasurementDetail][31][InstallationIDCO2]",Submission!$O:$O,Submission!$H:$N,""))</f>
        <v/>
      </c>
      <c r="D1357" s="285"/>
      <c r="E1357" s="284" t="str">
        <f>_xlfn.CONCAT(_xlfn.XLOOKUP("[S05_ContinuousEmissionsMeasurementDetail][31][InstallationIDN2O]",Submission!$O:$O,Submission!$H:$N,""))</f>
        <v/>
      </c>
      <c r="F1357" s="285"/>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84" t="str">
        <f>_xlfn.CONCAT(_xlfn.XLOOKUP("[S05_ContinuousEmissionsMeasurementDetail][32][InstallationIDCO2]",Submission!$O:$O,Submission!$H:$N,""))</f>
        <v/>
      </c>
      <c r="D1358" s="285"/>
      <c r="E1358" s="284" t="str">
        <f>_xlfn.CONCAT(_xlfn.XLOOKUP("[S05_ContinuousEmissionsMeasurementDetail][32][InstallationIDN2O]",Submission!$O:$O,Submission!$H:$N,""))</f>
        <v/>
      </c>
      <c r="F1358" s="285"/>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84" t="str">
        <f>_xlfn.CONCAT(_xlfn.XLOOKUP("[S05_ContinuousEmissionsMeasurementDetail][33][InstallationIDCO2]",Submission!$O:$O,Submission!$H:$N,""))</f>
        <v/>
      </c>
      <c r="D1359" s="285"/>
      <c r="E1359" s="284" t="str">
        <f>_xlfn.CONCAT(_xlfn.XLOOKUP("[S05_ContinuousEmissionsMeasurementDetail][33][InstallationIDN2O]",Submission!$O:$O,Submission!$H:$N,""))</f>
        <v/>
      </c>
      <c r="F1359" s="285"/>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84" t="str">
        <f>_xlfn.CONCAT(_xlfn.XLOOKUP("[S05_ContinuousEmissionsMeasurementDetail][34][InstallationIDCO2]",Submission!$O:$O,Submission!$H:$N,""))</f>
        <v/>
      </c>
      <c r="D1360" s="285"/>
      <c r="E1360" s="284" t="str">
        <f>_xlfn.CONCAT(_xlfn.XLOOKUP("[S05_ContinuousEmissionsMeasurementDetail][34][InstallationIDN2O]",Submission!$O:$O,Submission!$H:$N,""))</f>
        <v/>
      </c>
      <c r="F1360" s="285"/>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84" t="str">
        <f>_xlfn.CONCAT(_xlfn.XLOOKUP("[S05_ContinuousEmissionsMeasurementDetail][35][InstallationIDCO2]",Submission!$O:$O,Submission!$H:$N,""))</f>
        <v/>
      </c>
      <c r="D1361" s="285"/>
      <c r="E1361" s="284" t="str">
        <f>_xlfn.CONCAT(_xlfn.XLOOKUP("[S05_ContinuousEmissionsMeasurementDetail][35][InstallationIDN2O]",Submission!$O:$O,Submission!$H:$N,""))</f>
        <v/>
      </c>
      <c r="F1361" s="285"/>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84" t="str">
        <f>_xlfn.CONCAT(_xlfn.XLOOKUP("[S05_ContinuousEmissionsMeasurementDetail][36][InstallationIDCO2]",Submission!$O:$O,Submission!$H:$N,""))</f>
        <v/>
      </c>
      <c r="D1362" s="285"/>
      <c r="E1362" s="284" t="str">
        <f>_xlfn.CONCAT(_xlfn.XLOOKUP("[S05_ContinuousEmissionsMeasurementDetail][36][InstallationIDN2O]",Submission!$O:$O,Submission!$H:$N,""))</f>
        <v/>
      </c>
      <c r="F1362" s="285"/>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84" t="str">
        <f>_xlfn.CONCAT(_xlfn.XLOOKUP("[S05_ContinuousEmissionsMeasurementDetail][37][InstallationIDCO2]",Submission!$O:$O,Submission!$H:$N,""))</f>
        <v/>
      </c>
      <c r="D1363" s="285"/>
      <c r="E1363" s="284" t="str">
        <f>_xlfn.CONCAT(_xlfn.XLOOKUP("[S05_ContinuousEmissionsMeasurementDetail][37][InstallationIDN2O]",Submission!$O:$O,Submission!$H:$N,""))</f>
        <v/>
      </c>
      <c r="F1363" s="285"/>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84" t="str">
        <f>_xlfn.CONCAT(_xlfn.XLOOKUP("[S05_ContinuousEmissionsMeasurementDetail][38][InstallationIDCO2]",Submission!$O:$O,Submission!$H:$N,""))</f>
        <v/>
      </c>
      <c r="D1364" s="285"/>
      <c r="E1364" s="284" t="str">
        <f>_xlfn.CONCAT(_xlfn.XLOOKUP("[S05_ContinuousEmissionsMeasurementDetail][38][InstallationIDN2O]",Submission!$O:$O,Submission!$H:$N,""))</f>
        <v/>
      </c>
      <c r="F1364" s="285"/>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84" t="str">
        <f>_xlfn.CONCAT(_xlfn.XLOOKUP("[S05_ContinuousEmissionsMeasurementDetail][39][InstallationIDCO2]",Submission!$O:$O,Submission!$H:$N,""))</f>
        <v/>
      </c>
      <c r="D1365" s="285"/>
      <c r="E1365" s="284" t="str">
        <f>_xlfn.CONCAT(_xlfn.XLOOKUP("[S05_ContinuousEmissionsMeasurementDetail][39][InstallationIDN2O]",Submission!$O:$O,Submission!$H:$N,""))</f>
        <v/>
      </c>
      <c r="F1365" s="285"/>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84" t="str">
        <f>_xlfn.CONCAT(_xlfn.XLOOKUP("[S05_ContinuousEmissionsMeasurementDetail][40][InstallationIDCO2]",Submission!$O:$O,Submission!$H:$N,""))</f>
        <v/>
      </c>
      <c r="D1366" s="285"/>
      <c r="E1366" s="284" t="str">
        <f>_xlfn.CONCAT(_xlfn.XLOOKUP("[S05_ContinuousEmissionsMeasurementDetail][40][InstallationIDN2O]",Submission!$O:$O,Submission!$H:$N,""))</f>
        <v/>
      </c>
      <c r="F1366" s="285"/>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84" t="str">
        <f>_xlfn.CONCAT(_xlfn.XLOOKUP("[S05_ContinuousEmissionsMeasurementDetail][41][InstallationIDCO2]",Submission!$O:$O,Submission!$H:$N,""))</f>
        <v/>
      </c>
      <c r="D1367" s="285"/>
      <c r="E1367" s="284" t="str">
        <f>_xlfn.CONCAT(_xlfn.XLOOKUP("[S05_ContinuousEmissionsMeasurementDetail][41][InstallationIDN2O]",Submission!$O:$O,Submission!$H:$N,""))</f>
        <v/>
      </c>
      <c r="F1367" s="285"/>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84" t="str">
        <f>_xlfn.CONCAT(_xlfn.XLOOKUP("[S05_ContinuousEmissionsMeasurementDetail][42][InstallationIDCO2]",Submission!$O:$O,Submission!$H:$N,""))</f>
        <v/>
      </c>
      <c r="D1368" s="285"/>
      <c r="E1368" s="284" t="str">
        <f>_xlfn.CONCAT(_xlfn.XLOOKUP("[S05_ContinuousEmissionsMeasurementDetail][42][InstallationIDN2O]",Submission!$O:$O,Submission!$H:$N,""))</f>
        <v/>
      </c>
      <c r="F1368" s="285"/>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84" t="str">
        <f>_xlfn.CONCAT(_xlfn.XLOOKUP("[S05_ContinuousEmissionsMeasurementDetail][43][InstallationIDCO2]",Submission!$O:$O,Submission!$H:$N,""))</f>
        <v/>
      </c>
      <c r="D1369" s="285"/>
      <c r="E1369" s="284" t="str">
        <f>_xlfn.CONCAT(_xlfn.XLOOKUP("[S05_ContinuousEmissionsMeasurementDetail][43][InstallationIDN2O]",Submission!$O:$O,Submission!$H:$N,""))</f>
        <v/>
      </c>
      <c r="F1369" s="285"/>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84" t="str">
        <f>_xlfn.CONCAT(_xlfn.XLOOKUP("[S05_ContinuousEmissionsMeasurementDetail][44][InstallationIDCO2]",Submission!$O:$O,Submission!$H:$N,""))</f>
        <v/>
      </c>
      <c r="D1370" s="285"/>
      <c r="E1370" s="284" t="str">
        <f>_xlfn.CONCAT(_xlfn.XLOOKUP("[S05_ContinuousEmissionsMeasurementDetail][44][InstallationIDN2O]",Submission!$O:$O,Submission!$H:$N,""))</f>
        <v/>
      </c>
      <c r="F1370" s="285"/>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84" t="str">
        <f>_xlfn.CONCAT(_xlfn.XLOOKUP("[S05_ContinuousEmissionsMeasurementDetail][45][InstallationIDCO2]",Submission!$O:$O,Submission!$H:$N,""))</f>
        <v/>
      </c>
      <c r="D1371" s="285"/>
      <c r="E1371" s="284" t="str">
        <f>_xlfn.CONCAT(_xlfn.XLOOKUP("[S05_ContinuousEmissionsMeasurementDetail][45][InstallationIDN2O]",Submission!$O:$O,Submission!$H:$N,""))</f>
        <v/>
      </c>
      <c r="F1371" s="285"/>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84" t="str">
        <f>_xlfn.CONCAT(_xlfn.XLOOKUP("[S05_ContinuousEmissionsMeasurementDetail][46][InstallationIDCO2]",Submission!$O:$O,Submission!$H:$N,""))</f>
        <v/>
      </c>
      <c r="D1372" s="285"/>
      <c r="E1372" s="284" t="str">
        <f>_xlfn.CONCAT(_xlfn.XLOOKUP("[S05_ContinuousEmissionsMeasurementDetail][46][InstallationIDN2O]",Submission!$O:$O,Submission!$H:$N,""))</f>
        <v/>
      </c>
      <c r="F1372" s="285"/>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84" t="str">
        <f>_xlfn.CONCAT(_xlfn.XLOOKUP("[S05_ContinuousEmissionsMeasurementDetail][47][InstallationIDCO2]",Submission!$O:$O,Submission!$H:$N,""))</f>
        <v/>
      </c>
      <c r="D1373" s="285"/>
      <c r="E1373" s="284" t="str">
        <f>_xlfn.CONCAT(_xlfn.XLOOKUP("[S05_ContinuousEmissionsMeasurementDetail][47][InstallationIDN2O]",Submission!$O:$O,Submission!$H:$N,""))</f>
        <v/>
      </c>
      <c r="F1373" s="285"/>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84" t="str">
        <f>_xlfn.CONCAT(_xlfn.XLOOKUP("[S05_ContinuousEmissionsMeasurementDetail][48][InstallationIDCO2]",Submission!$O:$O,Submission!$H:$N,""))</f>
        <v/>
      </c>
      <c r="D1374" s="285"/>
      <c r="E1374" s="284" t="str">
        <f>_xlfn.CONCAT(_xlfn.XLOOKUP("[S05_ContinuousEmissionsMeasurementDetail][48][InstallationIDN2O]",Submission!$O:$O,Submission!$H:$N,""))</f>
        <v/>
      </c>
      <c r="F1374" s="285"/>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84" t="str">
        <f>_xlfn.CONCAT(_xlfn.XLOOKUP("[S05_ContinuousEmissionsMeasurementDetail][49][InstallationIDCO2]",Submission!$O:$O,Submission!$H:$N,""))</f>
        <v/>
      </c>
      <c r="D1375" s="285"/>
      <c r="E1375" s="284" t="str">
        <f>_xlfn.CONCAT(_xlfn.XLOOKUP("[S05_ContinuousEmissionsMeasurementDetail][49][InstallationIDN2O]",Submission!$O:$O,Submission!$H:$N,""))</f>
        <v/>
      </c>
      <c r="F1375" s="285"/>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84" t="str">
        <f>_xlfn.CONCAT(_xlfn.XLOOKUP("[S05_ContinuousEmissionsMeasurementDetail][50][InstallationIDCO2]",Submission!$O:$O,Submission!$H:$N,""))</f>
        <v/>
      </c>
      <c r="D1376" s="285"/>
      <c r="E1376" s="284" t="str">
        <f>_xlfn.CONCAT(_xlfn.XLOOKUP("[S05_ContinuousEmissionsMeasurementDetail][50][InstallationIDN2O]",Submission!$O:$O,Submission!$H:$N,""))</f>
        <v/>
      </c>
      <c r="F1376" s="285"/>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67" t="s">
        <v>916</v>
      </c>
      <c r="D1378" s="380"/>
      <c r="E1378" s="380"/>
      <c r="F1378" s="380"/>
      <c r="G1378" s="380"/>
      <c r="H1378" s="380"/>
      <c r="I1378" s="380"/>
    </row>
    <row r="1379" spans="1:11" ht="15.9" customHeight="1" x14ac:dyDescent="0.3">
      <c r="C1379" s="385"/>
      <c r="D1379" s="378"/>
      <c r="E1379" s="378"/>
      <c r="F1379" s="378"/>
      <c r="G1379" s="378"/>
      <c r="H1379" s="378"/>
      <c r="I1379" s="378"/>
      <c r="J1379" s="378"/>
    </row>
    <row r="1380" spans="1:11" ht="15.9" customHeight="1" x14ac:dyDescent="0.3">
      <c r="A1380" s="12" t="s">
        <v>287</v>
      </c>
      <c r="B1380" s="271" t="s">
        <v>917</v>
      </c>
      <c r="C1380" s="272"/>
      <c r="D1380" s="272"/>
      <c r="E1380" s="272"/>
      <c r="F1380" s="272"/>
      <c r="G1380" s="272"/>
      <c r="H1380" s="272"/>
      <c r="I1380" s="272"/>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10" t="s">
        <v>919</v>
      </c>
      <c r="D1382" s="310"/>
      <c r="E1382" s="310"/>
      <c r="F1382" s="310"/>
      <c r="G1382" s="310"/>
      <c r="H1382" s="310"/>
      <c r="I1382" s="310"/>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20 - Combustion of fuels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0</v>
      </c>
      <c r="F1389" s="126" t="str">
        <f>_xlfn.CONCAT(_xlfn.XLOOKUP("[S05_BiomassInstallations][1][EmissionsBiomassSustainabilitySatisfied]",Submission!$O:$O,Submission!$H:$N,""))</f>
        <v>0</v>
      </c>
      <c r="G1389" s="126" t="str">
        <f>_xlfn.CONCAT(_xlfn.XLOOKUP("[S05_BiomassInstallations][1][EmissionsBiomassSustainabilityNotSatisfied]",Submission!$O:$O,Submission!$H:$N,""))</f>
        <v>0</v>
      </c>
      <c r="H1389" s="126" t="str">
        <f>_xlfn.CONCAT(_xlfn.XLOOKUP("[S05_BiomassInstallations][1][EmissionsFossil]",Submission!$O:$O,Submission!$H:$N,""))</f>
        <v>0</v>
      </c>
      <c r="I1389" s="126" t="str">
        <f>_xlfn.CONCAT(_xlfn.XLOOKUP("[S05_BiomassInstallations][1][EnergyZeroRatedBiomass]",Submission!$O:$O,Submission!$H:$N,""))</f>
        <v>0</v>
      </c>
      <c r="J1389" s="126" t="str">
        <f>_xlfn.CONCAT(_xlfn.XLOOKUP("[S05_BiomassInstallations][1][EnergyNonZeroRatedBiomass]",Submission!$O:$O,Submission!$H:$N,""))</f>
        <v>0</v>
      </c>
      <c r="K1389" s="126" t="str">
        <f>_xlfn.CONCAT(_xlfn.XLOOKUP("[S05_BiomassInstallations][1][EnergyFossil]",Submission!$O:$O,Submission!$H:$N,""))</f>
        <v>0</v>
      </c>
    </row>
    <row r="1390" spans="1:11" ht="44.4" customHeight="1" x14ac:dyDescent="0.3">
      <c r="A1390" s="12"/>
      <c r="C1390" s="125" t="str">
        <f>_xlfn.CONCAT(_xlfn.XLOOKUP("[S05_BiomassInstallations][2][Annex1Activity]",Submission!$O:$O,Submission!$H:$N,""))</f>
        <v>20 - Combustion of fuels as specified in Annex I of Directive 2003/87/EC</v>
      </c>
      <c r="D1390" s="128" t="str">
        <f>_xlfn.CONCAT(_xlfn.XLOOKUP("[S05_BiomassInstallations][2][BiomassInstallationCategory]",Submission!$O:$O,Submission!$H:$N,""))</f>
        <v>Category B</v>
      </c>
      <c r="E1390" s="126" t="str">
        <f>_xlfn.CONCAT(_xlfn.XLOOKUP("[S05_BiomassInstallations][2][NumberUsingBiomass]",Submission!$O:$O,Submission!$H:$N,""))</f>
        <v>0</v>
      </c>
      <c r="F1390" s="126" t="str">
        <f>_xlfn.CONCAT(_xlfn.XLOOKUP("[S05_BiomassInstallations][2][EmissionsBiomassSustainabilitySatisfied]",Submission!$O:$O,Submission!$H:$N,""))</f>
        <v>0</v>
      </c>
      <c r="G1390" s="126" t="str">
        <f>_xlfn.CONCAT(_xlfn.XLOOKUP("[S05_BiomassInstallations][2][EmissionsBiomassSustainabilityNotSatisfied]",Submission!$O:$O,Submission!$H:$N,""))</f>
        <v>0</v>
      </c>
      <c r="H1390" s="126" t="str">
        <f>_xlfn.CONCAT(_xlfn.XLOOKUP("[S05_BiomassInstallations][2][EmissionsFossil]",Submission!$O:$O,Submission!$H:$N,""))</f>
        <v>0</v>
      </c>
      <c r="I1390" s="126" t="str">
        <f>_xlfn.CONCAT(_xlfn.XLOOKUP("[S05_BiomassInstallations][2][EnergyZeroRatedBiomass]",Submission!$O:$O,Submission!$H:$N,""))</f>
        <v>0</v>
      </c>
      <c r="J1390" s="126" t="str">
        <f>_xlfn.CONCAT(_xlfn.XLOOKUP("[S05_BiomassInstallations][2][EnergyNonZeroRatedBiomass]",Submission!$O:$O,Submission!$H:$N,""))</f>
        <v>0</v>
      </c>
      <c r="K1390" s="126" t="str">
        <f>_xlfn.CONCAT(_xlfn.XLOOKUP("[S05_BiomassInstallations][2][EnergyFossil]",Submission!$O:$O,Submission!$H:$N,""))</f>
        <v>0</v>
      </c>
    </row>
    <row r="1391" spans="1:11" ht="44.4" customHeight="1" x14ac:dyDescent="0.3">
      <c r="A1391" s="12"/>
      <c r="C1391" s="125" t="str">
        <f>_xlfn.CONCAT(_xlfn.XLOOKUP("[S05_BiomassInstallations][3][Annex1Activity]",Submission!$O:$O,Submission!$H:$N,""))</f>
        <v>20 - Combustion of fuels as specified in Annex I of Directive 2003/87/EC</v>
      </c>
      <c r="D1391" s="128" t="str">
        <f>_xlfn.CONCAT(_xlfn.XLOOKUP("[S05_BiomassInstallations][3][BiomassInstallationCategory]",Submission!$O:$O,Submission!$H:$N,""))</f>
        <v>Category C</v>
      </c>
      <c r="E1391" s="126" t="str">
        <f>_xlfn.CONCAT(_xlfn.XLOOKUP("[S05_BiomassInstallations][3][NumberUsingBiomass]",Submission!$O:$O,Submission!$H:$N,""))</f>
        <v>0</v>
      </c>
      <c r="F1391" s="126" t="str">
        <f>_xlfn.CONCAT(_xlfn.XLOOKUP("[S05_BiomassInstallations][3][EmissionsBiomassSustainabilitySatisfied]",Submission!$O:$O,Submission!$H:$N,""))</f>
        <v>0</v>
      </c>
      <c r="G1391" s="126" t="str">
        <f>_xlfn.CONCAT(_xlfn.XLOOKUP("[S05_BiomassInstallations][3][EmissionsBiomassSustainabilityNotSatisfied]",Submission!$O:$O,Submission!$H:$N,""))</f>
        <v>0</v>
      </c>
      <c r="H1391" s="126" t="str">
        <f>_xlfn.CONCAT(_xlfn.XLOOKUP("[S05_BiomassInstallations][3][EmissionsFossil]",Submission!$O:$O,Submission!$H:$N,""))</f>
        <v>0</v>
      </c>
      <c r="I1391" s="126" t="str">
        <f>_xlfn.CONCAT(_xlfn.XLOOKUP("[S05_BiomassInstallations][3][EnergyZeroRatedBiomass]",Submission!$O:$O,Submission!$H:$N,""))</f>
        <v>0</v>
      </c>
      <c r="J1391" s="126" t="str">
        <f>_xlfn.CONCAT(_xlfn.XLOOKUP("[S05_BiomassInstallations][3][EnergyNonZeroRatedBiomass]",Submission!$O:$O,Submission!$H:$N,""))</f>
        <v>0</v>
      </c>
      <c r="K1391" s="126" t="str">
        <f>_xlfn.CONCAT(_xlfn.XLOOKUP("[S05_BiomassInstallations][3][EnergyFossil]",Submission!$O:$O,Submission!$H:$N,""))</f>
        <v>0</v>
      </c>
    </row>
    <row r="1392" spans="1:11" ht="44.4" customHeight="1" x14ac:dyDescent="0.3">
      <c r="A1392" s="12"/>
      <c r="C1392" s="125" t="str">
        <f>_xlfn.CONCAT(_xlfn.XLOOKUP("[S05_BiomassInstallations][4][Annex1Activity]",Submission!$O:$O,Submission!$H:$N,""))</f>
        <v/>
      </c>
      <c r="D1392" s="128" t="str">
        <f>_xlfn.CONCAT(_xlfn.XLOOKUP("[S05_BiomassInstallations][4][BiomassInstallationCategory]",Submission!$O:$O,Submission!$H:$N,""))</f>
        <v/>
      </c>
      <c r="E1392" s="126" t="str">
        <f>_xlfn.CONCAT(_xlfn.XLOOKUP("[S05_BiomassInstallations][4][NumberUsingBiomass]",Submission!$O:$O,Submission!$H:$N,""))</f>
        <v/>
      </c>
      <c r="F1392" s="126" t="str">
        <f>_xlfn.CONCAT(_xlfn.XLOOKUP("[S05_BiomassInstallations][4][EmissionsBiomassSustainabilitySatisfied]",Submission!$O:$O,Submission!$H:$N,""))</f>
        <v/>
      </c>
      <c r="G1392" s="126" t="str">
        <f>_xlfn.CONCAT(_xlfn.XLOOKUP("[S05_BiomassInstallations][4][EmissionsBiomassSustainabilityNotSatisfied]",Submission!$O:$O,Submission!$H:$N,""))</f>
        <v/>
      </c>
      <c r="H1392" s="126" t="str">
        <f>_xlfn.CONCAT(_xlfn.XLOOKUP("[S05_BiomassInstallations][4][EmissionsFossil]",Submission!$O:$O,Submission!$H:$N,""))</f>
        <v/>
      </c>
      <c r="I1392" s="126" t="str">
        <f>_xlfn.CONCAT(_xlfn.XLOOKUP("[S05_BiomassInstallations][4][EnergyZeroRatedBiomass]",Submission!$O:$O,Submission!$H:$N,""))</f>
        <v/>
      </c>
      <c r="J1392" s="126" t="str">
        <f>_xlfn.CONCAT(_xlfn.XLOOKUP("[S05_BiomassInstallations][4][EnergyNonZeroRatedBiomass]",Submission!$O:$O,Submission!$H:$N,""))</f>
        <v/>
      </c>
      <c r="K1392" s="126" t="str">
        <f>_xlfn.CONCAT(_xlfn.XLOOKUP("[S05_BiomassInstallations][4][EnergyFossil]",Submission!$O:$O,Submission!$H:$N,""))</f>
        <v/>
      </c>
    </row>
    <row r="1393" spans="1:11" ht="44.4" customHeight="1" x14ac:dyDescent="0.3">
      <c r="A1393" s="12"/>
      <c r="C1393" s="125" t="str">
        <f>_xlfn.CONCAT(_xlfn.XLOOKUP("[S05_BiomassInstallations][5][Annex1Activity]",Submission!$O:$O,Submission!$H:$N,""))</f>
        <v/>
      </c>
      <c r="D1393" s="128" t="str">
        <f>_xlfn.CONCAT(_xlfn.XLOOKUP("[S05_BiomassInstallations][5][BiomassInstallationCategory]",Submission!$O:$O,Submission!$H:$N,""))</f>
        <v/>
      </c>
      <c r="E1393" s="126" t="str">
        <f>_xlfn.CONCAT(_xlfn.XLOOKUP("[S05_BiomassInstallations][5][NumberUsingBiomass]",Submission!$O:$O,Submission!$H:$N,""))</f>
        <v/>
      </c>
      <c r="F1393" s="126" t="str">
        <f>_xlfn.CONCAT(_xlfn.XLOOKUP("[S05_BiomassInstallations][5][EmissionsBiomassSustainabilitySatisfied]",Submission!$O:$O,Submission!$H:$N,""))</f>
        <v/>
      </c>
      <c r="G1393" s="126" t="str">
        <f>_xlfn.CONCAT(_xlfn.XLOOKUP("[S05_BiomassInstallations][5][EmissionsBiomassSustainabilityNotSatisfied]",Submission!$O:$O,Submission!$H:$N,""))</f>
        <v/>
      </c>
      <c r="H1393" s="126" t="str">
        <f>_xlfn.CONCAT(_xlfn.XLOOKUP("[S05_BiomassInstallations][5][EmissionsFossil]",Submission!$O:$O,Submission!$H:$N,""))</f>
        <v/>
      </c>
      <c r="I1393" s="126" t="str">
        <f>_xlfn.CONCAT(_xlfn.XLOOKUP("[S05_BiomassInstallations][5][EnergyZeroRatedBiomass]",Submission!$O:$O,Submission!$H:$N,""))</f>
        <v/>
      </c>
      <c r="J1393" s="126" t="str">
        <f>_xlfn.CONCAT(_xlfn.XLOOKUP("[S05_BiomassInstallations][5][EnergyNonZeroRatedBiomass]",Submission!$O:$O,Submission!$H:$N,""))</f>
        <v/>
      </c>
      <c r="K1393" s="126" t="str">
        <f>_xlfn.CONCAT(_xlfn.XLOOKUP("[S05_BiomassInstallations][5][EnergyFossil]",Submission!$O:$O,Submission!$H:$N,""))</f>
        <v/>
      </c>
    </row>
    <row r="1394" spans="1:11" ht="44.4" customHeight="1" x14ac:dyDescent="0.3">
      <c r="A1394" s="12"/>
      <c r="C1394" s="125" t="str">
        <f>_xlfn.CONCAT(_xlfn.XLOOKUP("[S05_BiomassInstallations][6][Annex1Activity]",Submission!$O:$O,Submission!$H:$N,""))</f>
        <v/>
      </c>
      <c r="D1394" s="128" t="str">
        <f>_xlfn.CONCAT(_xlfn.XLOOKUP("[S05_BiomassInstallations][6][BiomassInstallationCategory]",Submission!$O:$O,Submission!$H:$N,""))</f>
        <v/>
      </c>
      <c r="E1394" s="126" t="str">
        <f>_xlfn.CONCAT(_xlfn.XLOOKUP("[S05_BiomassInstallations][6][NumberUsingBiomass]",Submission!$O:$O,Submission!$H:$N,""))</f>
        <v/>
      </c>
      <c r="F1394" s="126" t="str">
        <f>_xlfn.CONCAT(_xlfn.XLOOKUP("[S05_BiomassInstallations][6][EmissionsBiomassSustainabilitySatisfied]",Submission!$O:$O,Submission!$H:$N,""))</f>
        <v/>
      </c>
      <c r="G1394" s="126" t="str">
        <f>_xlfn.CONCAT(_xlfn.XLOOKUP("[S05_BiomassInstallations][6][EmissionsBiomassSustainabilityNotSatisfied]",Submission!$O:$O,Submission!$H:$N,""))</f>
        <v/>
      </c>
      <c r="H1394" s="126" t="str">
        <f>_xlfn.CONCAT(_xlfn.XLOOKUP("[S05_BiomassInstallations][6][EmissionsFossil]",Submission!$O:$O,Submission!$H:$N,""))</f>
        <v/>
      </c>
      <c r="I1394" s="126" t="str">
        <f>_xlfn.CONCAT(_xlfn.XLOOKUP("[S05_BiomassInstallations][6][EnergyZeroRatedBiomass]",Submission!$O:$O,Submission!$H:$N,""))</f>
        <v/>
      </c>
      <c r="J1394" s="126" t="str">
        <f>_xlfn.CONCAT(_xlfn.XLOOKUP("[S05_BiomassInstallations][6][EnergyNonZeroRatedBiomass]",Submission!$O:$O,Submission!$H:$N,""))</f>
        <v/>
      </c>
      <c r="K1394" s="126" t="str">
        <f>_xlfn.CONCAT(_xlfn.XLOOKUP("[S05_BiomassInstallations][6][EnergyFossil]",Submission!$O:$O,Submission!$H:$N,""))</f>
        <v/>
      </c>
    </row>
    <row r="1395" spans="1:11" ht="44.4" customHeight="1" x14ac:dyDescent="0.3">
      <c r="A1395" s="12"/>
      <c r="C1395" s="125" t="str">
        <f>_xlfn.CONCAT(_xlfn.XLOOKUP("[S05_BiomassInstallations][7][Annex1Activity]",Submission!$O:$O,Submission!$H:$N,""))</f>
        <v/>
      </c>
      <c r="D1395" s="128" t="str">
        <f>_xlfn.CONCAT(_xlfn.XLOOKUP("[S05_BiomassInstallations][7][BiomassInstallationCategory]",Submission!$O:$O,Submission!$H:$N,""))</f>
        <v/>
      </c>
      <c r="E1395" s="126" t="str">
        <f>_xlfn.CONCAT(_xlfn.XLOOKUP("[S05_BiomassInstallations][7][NumberUsingBiomass]",Submission!$O:$O,Submission!$H:$N,""))</f>
        <v/>
      </c>
      <c r="F1395" s="126" t="str">
        <f>_xlfn.CONCAT(_xlfn.XLOOKUP("[S05_BiomassInstallations][7][EmissionsBiomassSustainabilitySatisfied]",Submission!$O:$O,Submission!$H:$N,""))</f>
        <v/>
      </c>
      <c r="G1395" s="126" t="str">
        <f>_xlfn.CONCAT(_xlfn.XLOOKUP("[S05_BiomassInstallations][7][EmissionsBiomassSustainabilityNotSatisfied]",Submission!$O:$O,Submission!$H:$N,""))</f>
        <v/>
      </c>
      <c r="H1395" s="126" t="str">
        <f>_xlfn.CONCAT(_xlfn.XLOOKUP("[S05_BiomassInstallations][7][EmissionsFossil]",Submission!$O:$O,Submission!$H:$N,""))</f>
        <v/>
      </c>
      <c r="I1395" s="126" t="str">
        <f>_xlfn.CONCAT(_xlfn.XLOOKUP("[S05_BiomassInstallations][7][EnergyZeroRatedBiomass]",Submission!$O:$O,Submission!$H:$N,""))</f>
        <v/>
      </c>
      <c r="J1395" s="126" t="str">
        <f>_xlfn.CONCAT(_xlfn.XLOOKUP("[S05_BiomassInstallations][7][EnergyNonZeroRatedBiomass]",Submission!$O:$O,Submission!$H:$N,""))</f>
        <v/>
      </c>
      <c r="K1395" s="126" t="str">
        <f>_xlfn.CONCAT(_xlfn.XLOOKUP("[S05_BiomassInstallations][7][EnergyFossil]",Submission!$O:$O,Submission!$H:$N,""))</f>
        <v/>
      </c>
    </row>
    <row r="1396" spans="1:11" ht="44.4" customHeight="1" x14ac:dyDescent="0.3">
      <c r="A1396" s="12"/>
      <c r="C1396" s="125" t="str">
        <f>_xlfn.CONCAT(_xlfn.XLOOKUP("[S05_BiomassInstallations][8][Annex1Activity]",Submission!$O:$O,Submission!$H:$N,""))</f>
        <v/>
      </c>
      <c r="D1396" s="128" t="str">
        <f>_xlfn.CONCAT(_xlfn.XLOOKUP("[S05_BiomassInstallations][8][BiomassInstallationCategory]",Submission!$O:$O,Submission!$H:$N,""))</f>
        <v/>
      </c>
      <c r="E1396" s="126" t="str">
        <f>_xlfn.CONCAT(_xlfn.XLOOKUP("[S05_BiomassInstallations][8][NumberUsingBiomass]",Submission!$O:$O,Submission!$H:$N,""))</f>
        <v/>
      </c>
      <c r="F1396" s="126" t="str">
        <f>_xlfn.CONCAT(_xlfn.XLOOKUP("[S05_BiomassInstallations][8][EmissionsBiomassSustainabilitySatisfied]",Submission!$O:$O,Submission!$H:$N,""))</f>
        <v/>
      </c>
      <c r="G1396" s="126" t="str">
        <f>_xlfn.CONCAT(_xlfn.XLOOKUP("[S05_BiomassInstallations][8][EmissionsBiomassSustainabilityNotSatisfied]",Submission!$O:$O,Submission!$H:$N,""))</f>
        <v/>
      </c>
      <c r="H1396" s="126" t="str">
        <f>_xlfn.CONCAT(_xlfn.XLOOKUP("[S05_BiomassInstallations][8][EmissionsFossil]",Submission!$O:$O,Submission!$H:$N,""))</f>
        <v/>
      </c>
      <c r="I1396" s="126" t="str">
        <f>_xlfn.CONCAT(_xlfn.XLOOKUP("[S05_BiomassInstallations][8][EnergyZeroRatedBiomass]",Submission!$O:$O,Submission!$H:$N,""))</f>
        <v/>
      </c>
      <c r="J1396" s="126" t="str">
        <f>_xlfn.CONCAT(_xlfn.XLOOKUP("[S05_BiomassInstallations][8][EnergyNonZeroRatedBiomass]",Submission!$O:$O,Submission!$H:$N,""))</f>
        <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
      </c>
      <c r="D1397" s="128" t="str">
        <f>_xlfn.CONCAT(_xlfn.XLOOKUP("[S05_BiomassInstallations][9][BiomassInstallationCategory]",Submission!$O:$O,Submission!$H:$N,""))</f>
        <v/>
      </c>
      <c r="E1397" s="126" t="str">
        <f>_xlfn.CONCAT(_xlfn.XLOOKUP("[S05_BiomassInstallations][9][NumberUsingBiomass]",Submission!$O:$O,Submission!$H:$N,""))</f>
        <v/>
      </c>
      <c r="F1397" s="126" t="str">
        <f>_xlfn.CONCAT(_xlfn.XLOOKUP("[S05_BiomassInstallations][9][EmissionsBiomassSustainabilitySatisfied]",Submission!$O:$O,Submission!$H:$N,""))</f>
        <v/>
      </c>
      <c r="G1397" s="126" t="str">
        <f>_xlfn.CONCAT(_xlfn.XLOOKUP("[S05_BiomassInstallations][9][EmissionsBiomassSustainabilityNotSatisfied]",Submission!$O:$O,Submission!$H:$N,""))</f>
        <v/>
      </c>
      <c r="H1397" s="126" t="str">
        <f>_xlfn.CONCAT(_xlfn.XLOOKUP("[S05_BiomassInstallations][9][EmissionsFossil]",Submission!$O:$O,Submission!$H:$N,""))</f>
        <v/>
      </c>
      <c r="I1397" s="126" t="str">
        <f>_xlfn.CONCAT(_xlfn.XLOOKUP("[S05_BiomassInstallations][9][EnergyZeroRatedBiomass]",Submission!$O:$O,Submission!$H:$N,""))</f>
        <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40" t="s">
        <v>932</v>
      </c>
      <c r="C1441" s="294"/>
      <c r="D1441" s="294"/>
      <c r="E1441" s="294"/>
      <c r="F1441" s="294"/>
      <c r="G1441" s="294"/>
      <c r="H1441" s="294"/>
      <c r="I1441" s="294"/>
    </row>
    <row r="1442" spans="1:9" ht="32.4" customHeight="1" x14ac:dyDescent="0.3">
      <c r="B1442" s="23"/>
      <c r="C1442" s="284" t="str">
        <f>_xlfn.CONCAT(_xlfn.XLOOKUP("[SustainabilityComplianceDemonstrate][0][SustainabilityComplianceDemonstrate]",Submission!$O:$O,Submission!$H:$N,""))</f>
        <v>Not applicable.</v>
      </c>
      <c r="D1442" s="349"/>
      <c r="E1442" s="349"/>
      <c r="F1442" s="349"/>
      <c r="G1442" s="349"/>
      <c r="H1442" s="349"/>
      <c r="I1442" s="282"/>
    </row>
    <row r="1443" spans="1:9" ht="15.9" customHeight="1" x14ac:dyDescent="0.3">
      <c r="B1443" s="23"/>
      <c r="D1443" s="11"/>
      <c r="E1443" s="11"/>
      <c r="F1443" s="11"/>
      <c r="G1443" s="11"/>
    </row>
    <row r="1444" spans="1:9" ht="33" customHeight="1" x14ac:dyDescent="0.3">
      <c r="A1444" s="12" t="s">
        <v>299</v>
      </c>
      <c r="B1444" s="271" t="s">
        <v>933</v>
      </c>
      <c r="C1444" s="272"/>
      <c r="D1444" s="272"/>
      <c r="E1444" s="272"/>
      <c r="F1444" s="272"/>
      <c r="G1444" s="272"/>
      <c r="H1444" s="272"/>
      <c r="I1444" s="272"/>
    </row>
    <row r="1445" spans="1:9" ht="15.9" customHeight="1" x14ac:dyDescent="0.3">
      <c r="A1445" s="13"/>
      <c r="C1445" s="384"/>
      <c r="D1445" s="384"/>
      <c r="E1445" s="384"/>
      <c r="F1445" s="384"/>
      <c r="G1445" s="365" t="s">
        <v>934</v>
      </c>
      <c r="H1445" s="365"/>
      <c r="I1445" s="365"/>
    </row>
    <row r="1446" spans="1:9" ht="15.9" customHeight="1" x14ac:dyDescent="0.3">
      <c r="A1446" s="13"/>
      <c r="C1446" s="381" t="s">
        <v>935</v>
      </c>
      <c r="D1446" s="382"/>
      <c r="E1446" s="382"/>
      <c r="F1446" s="382"/>
      <c r="G1446" s="383" t="str">
        <f>_xlfn.CONCAT(_xlfn.XLOOKUP("[WasteFuelFossilCO2][0][WasteFuelFossilCO2]",Submission!$O:$O,Submission!$H:$N,""))</f>
        <v>0</v>
      </c>
      <c r="H1446" s="383"/>
      <c r="I1446" s="383"/>
    </row>
    <row r="1447" spans="1:9" ht="15.9" customHeight="1" x14ac:dyDescent="0.3">
      <c r="B1447" s="14"/>
      <c r="C1447" s="19"/>
      <c r="E1447" s="11"/>
      <c r="F1447" s="11"/>
      <c r="G1447" s="11"/>
      <c r="H1447" s="11"/>
    </row>
    <row r="1448" spans="1:9" ht="15.9" customHeight="1" x14ac:dyDescent="0.3">
      <c r="A1448" s="12" t="s">
        <v>308</v>
      </c>
      <c r="B1448" s="385" t="s">
        <v>936</v>
      </c>
      <c r="C1448" s="378"/>
      <c r="D1448" s="378"/>
      <c r="E1448" s="378"/>
      <c r="F1448" s="378"/>
      <c r="G1448" s="378"/>
      <c r="H1448" s="378"/>
      <c r="I1448" s="378"/>
    </row>
    <row r="1449" spans="1:9" ht="32.1" customHeight="1" x14ac:dyDescent="0.3">
      <c r="A1449" s="12"/>
      <c r="B1449" s="293" t="s">
        <v>937</v>
      </c>
      <c r="C1449" s="294"/>
      <c r="D1449" s="294"/>
      <c r="E1449" s="294"/>
      <c r="F1449" s="294"/>
      <c r="G1449" s="294"/>
      <c r="H1449" s="295"/>
      <c r="I1449" s="41" t="str">
        <f>_xlfn.CONCAT(_xlfn.XLOOKUP("[SimplifiedMonitoringArt13][0][SimplifiedMonitoringArt13]",Submission!$O:$O,Submission!$H:$N,""))</f>
        <v>No</v>
      </c>
    </row>
    <row r="1450" spans="1:9" ht="15.9" customHeight="1" x14ac:dyDescent="0.3">
      <c r="B1450" s="271" t="s">
        <v>938</v>
      </c>
      <c r="C1450" s="272"/>
      <c r="D1450" s="272"/>
      <c r="E1450" s="272"/>
      <c r="F1450" s="272"/>
      <c r="G1450" s="272"/>
      <c r="H1450" s="272"/>
      <c r="I1450" s="272"/>
    </row>
    <row r="1451" spans="1:9" ht="15.9" customHeight="1" x14ac:dyDescent="0.3">
      <c r="A1451" s="13"/>
      <c r="C1451" s="365" t="s">
        <v>939</v>
      </c>
      <c r="D1451" s="365"/>
      <c r="E1451" s="365"/>
      <c r="F1451" s="365"/>
      <c r="G1451" s="365" t="s">
        <v>940</v>
      </c>
      <c r="H1451" s="365"/>
      <c r="I1451" s="365"/>
    </row>
    <row r="1452" spans="1:9" ht="26.4" customHeight="1" x14ac:dyDescent="0.3">
      <c r="A1452" s="13"/>
      <c r="C1452" s="281" t="str">
        <f>_xlfn.CONCAT(_xlfn.XLOOKUP("[S05_SimplifiedMonitoringArt13Detail][1][Art13RiskAssessmentType]",Submission!$O:$O,Submission!$H:$N,""))</f>
        <v/>
      </c>
      <c r="D1452" s="348"/>
      <c r="E1452" s="348"/>
      <c r="F1452" s="285"/>
      <c r="G1452" s="376" t="str">
        <f>_xlfn.CONCAT(_xlfn.XLOOKUP("[S05_SimplifiedMonitoringArt13Detail][1][Art13RiskAssessmentPrinciples]",Submission!$O:$O,Submission!$H:$N,""))</f>
        <v/>
      </c>
      <c r="H1452" s="376"/>
      <c r="I1452" s="376"/>
    </row>
    <row r="1453" spans="1:9" ht="26.4" customHeight="1" x14ac:dyDescent="0.3">
      <c r="A1453" s="13"/>
      <c r="C1453" s="281" t="str">
        <f>_xlfn.CONCAT(_xlfn.XLOOKUP("[S05_SimplifiedMonitoringArt13Detail][2][Art13RiskAssessmentType]",Submission!$O:$O,Submission!$H:$N,""))</f>
        <v/>
      </c>
      <c r="D1453" s="348"/>
      <c r="E1453" s="348"/>
      <c r="F1453" s="285"/>
      <c r="G1453" s="376" t="str">
        <f>_xlfn.CONCAT(_xlfn.XLOOKUP("[S05_SimplifiedMonitoringArt13Detail][2][Art13RiskAssessmentPrinciples]",Submission!$O:$O,Submission!$H:$N,""))</f>
        <v/>
      </c>
      <c r="H1453" s="376"/>
      <c r="I1453" s="376"/>
    </row>
    <row r="1454" spans="1:9" ht="26.4" hidden="1" customHeight="1" outlineLevel="1" x14ac:dyDescent="0.3">
      <c r="A1454" s="13"/>
      <c r="C1454" s="281" t="str">
        <f>_xlfn.CONCAT(_xlfn.XLOOKUP("[S05_SimplifiedMonitoringArt13Detail][3][Art13RiskAssessmentType]",Submission!$O:$O,Submission!$H:$N,""))</f>
        <v/>
      </c>
      <c r="D1454" s="348"/>
      <c r="E1454" s="348"/>
      <c r="F1454" s="285"/>
      <c r="G1454" s="376" t="str">
        <f>_xlfn.CONCAT(_xlfn.XLOOKUP("[S05_SimplifiedMonitoringArt13Detail][3][Art13RiskAssessmentPrinciples]",Submission!$O:$O,Submission!$H:$N,""))</f>
        <v/>
      </c>
      <c r="H1454" s="376"/>
      <c r="I1454" s="376"/>
    </row>
    <row r="1455" spans="1:9" ht="26.4" hidden="1" customHeight="1" outlineLevel="1" x14ac:dyDescent="0.3">
      <c r="A1455" s="13"/>
      <c r="C1455" s="281" t="str">
        <f>_xlfn.CONCAT(_xlfn.XLOOKUP("[S05_SimplifiedMonitoringArt13Detail][4][Art13RiskAssessmentType]",Submission!$O:$O,Submission!$H:$N,""))</f>
        <v/>
      </c>
      <c r="D1455" s="348"/>
      <c r="E1455" s="348"/>
      <c r="F1455" s="285"/>
      <c r="G1455" s="376" t="str">
        <f>_xlfn.CONCAT(_xlfn.XLOOKUP("[S05_SimplifiedMonitoringArt13Detail][4][Art13RiskAssessmentPrinciples]",Submission!$O:$O,Submission!$H:$N,""))</f>
        <v/>
      </c>
      <c r="H1455" s="376"/>
      <c r="I1455" s="376"/>
    </row>
    <row r="1456" spans="1:9" ht="26.4" hidden="1" customHeight="1" outlineLevel="1" x14ac:dyDescent="0.3">
      <c r="A1456" s="13"/>
      <c r="C1456" s="281" t="str">
        <f>_xlfn.CONCAT(_xlfn.XLOOKUP("[S05_SimplifiedMonitoringArt13Detail][5][Art13RiskAssessmentType]",Submission!$O:$O,Submission!$H:$N,""))</f>
        <v/>
      </c>
      <c r="D1456" s="348"/>
      <c r="E1456" s="348"/>
      <c r="F1456" s="285"/>
      <c r="G1456" s="376" t="str">
        <f>_xlfn.CONCAT(_xlfn.XLOOKUP("[S05_SimplifiedMonitoringArt13Detail][5][Art13RiskAssessmentPrinciples]",Submission!$O:$O,Submission!$H:$N,""))</f>
        <v/>
      </c>
      <c r="H1456" s="376"/>
      <c r="I1456" s="376"/>
    </row>
    <row r="1457" spans="1:9" ht="15.9" customHeight="1" collapsed="1" x14ac:dyDescent="0.3">
      <c r="C1457" s="360" t="s">
        <v>941</v>
      </c>
      <c r="D1457" s="361"/>
      <c r="E1457" s="361"/>
      <c r="F1457" s="361"/>
      <c r="G1457" s="361"/>
      <c r="H1457" s="361"/>
      <c r="I1457" s="361"/>
    </row>
    <row r="1458" spans="1:9" ht="15.9" customHeight="1" x14ac:dyDescent="0.3"/>
    <row r="1459" spans="1:9" ht="18.899999999999999" customHeight="1" x14ac:dyDescent="0.35">
      <c r="A1459" s="48" t="s">
        <v>942</v>
      </c>
      <c r="B1459" s="325" t="s">
        <v>97</v>
      </c>
      <c r="C1459" s="325"/>
      <c r="D1459" s="325"/>
      <c r="E1459" s="325"/>
      <c r="F1459" s="325"/>
      <c r="G1459" s="325"/>
      <c r="H1459" s="325"/>
      <c r="I1459" s="326"/>
    </row>
    <row r="1460" spans="1:9" ht="15.9" customHeight="1" x14ac:dyDescent="0.3">
      <c r="A1460" s="12" t="s">
        <v>313</v>
      </c>
      <c r="B1460" s="328" t="s">
        <v>943</v>
      </c>
      <c r="C1460" s="329"/>
      <c r="D1460" s="329"/>
      <c r="E1460" s="329"/>
      <c r="F1460" s="329"/>
      <c r="G1460" s="329"/>
      <c r="H1460" s="329"/>
      <c r="I1460" s="329"/>
    </row>
    <row r="1461" spans="1:9" ht="26.1" customHeight="1" x14ac:dyDescent="0.3">
      <c r="C1461" s="365" t="s">
        <v>944</v>
      </c>
      <c r="D1461" s="365"/>
      <c r="E1461" s="365" t="s">
        <v>945</v>
      </c>
      <c r="F1461" s="365"/>
      <c r="G1461" s="315" t="s">
        <v>946</v>
      </c>
      <c r="H1461" s="379"/>
      <c r="I1461" s="336"/>
    </row>
    <row r="1462" spans="1:9" ht="15.9" customHeight="1" x14ac:dyDescent="0.3">
      <c r="C1462" s="366" t="s">
        <v>947</v>
      </c>
      <c r="D1462" s="366"/>
      <c r="E1462" s="359" t="str">
        <f>_xlfn.CONCAT(_xlfn.XLOOKUP("[S05_AircraftMethodFuelConsumption][1][CountAircraftOperators]",Submission!$O:$O,Submission!$H:$N,""))</f>
        <v>3</v>
      </c>
      <c r="F1462" s="359"/>
      <c r="G1462" s="364" t="str">
        <f>_xlfn.CONCAT(_xlfn.XLOOKUP("[S05_AircraftMethodFuelConsumption][1][SmallEmittersShare]",Submission!$O:$O,Submission!$H:$N,""))</f>
        <v>0</v>
      </c>
      <c r="H1462" s="364"/>
      <c r="I1462" s="364"/>
    </row>
    <row r="1463" spans="1:9" ht="15.9" customHeight="1" x14ac:dyDescent="0.3">
      <c r="A1463" s="13"/>
      <c r="C1463" s="366" t="s">
        <v>948</v>
      </c>
      <c r="D1463" s="366"/>
      <c r="E1463" s="359" t="str">
        <f>_xlfn.CONCAT(_xlfn.XLOOKUP("[S05_AircraftMethodFuelConsumption][2][CountAircraftOperators]",Submission!$O:$O,Submission!$H:$N,""))</f>
        <v>4</v>
      </c>
      <c r="F1463" s="359"/>
      <c r="G1463" s="364" t="str">
        <f>_xlfn.CONCAT(_xlfn.XLOOKUP("[S05_AircraftMethodFuelConsumption][2][SmallEmittersShare]",Submission!$O:$O,Submission!$H:$N,""))</f>
        <v>0</v>
      </c>
      <c r="H1463" s="364"/>
      <c r="I1463" s="364"/>
    </row>
    <row r="1464" spans="1:9" ht="15.9" customHeight="1" x14ac:dyDescent="0.3">
      <c r="A1464" s="13"/>
      <c r="C1464" s="366" t="s">
        <v>949</v>
      </c>
      <c r="D1464" s="366"/>
      <c r="E1464" s="359" t="str">
        <f>_xlfn.CONCAT(_xlfn.XLOOKUP("[S05_AircraftMethodFuelConsumption][3][CountAircraftOperators]",Submission!$O:$O,Submission!$H:$N,""))</f>
        <v>0</v>
      </c>
      <c r="F1464" s="359"/>
      <c r="G1464" s="364" t="str">
        <f>_xlfn.CONCAT(_xlfn.XLOOKUP("[S05_AircraftMethodFuelConsumption][3][SmallEmittersShare]",Submission!$O:$O,Submission!$H:$N,""))</f>
        <v>0</v>
      </c>
      <c r="H1464" s="364"/>
      <c r="I1464" s="364"/>
    </row>
    <row r="1465" spans="1:9" ht="15.9" customHeight="1" x14ac:dyDescent="0.3"/>
    <row r="1466" spans="1:9" ht="19.2" customHeight="1" x14ac:dyDescent="0.3">
      <c r="A1466" s="12" t="s">
        <v>318</v>
      </c>
      <c r="B1466" s="271" t="s">
        <v>950</v>
      </c>
      <c r="C1466" s="272"/>
      <c r="D1466" s="272"/>
      <c r="E1466" s="272"/>
      <c r="F1466" s="272"/>
      <c r="G1466" s="272"/>
      <c r="H1466" s="272"/>
      <c r="I1466" s="272"/>
    </row>
    <row r="1467" spans="1:9" ht="15" customHeight="1" x14ac:dyDescent="0.3">
      <c r="A1467" s="12"/>
      <c r="B1467" s="36" t="s">
        <v>8</v>
      </c>
      <c r="C1467" s="362" t="s">
        <v>951</v>
      </c>
      <c r="D1467" s="362"/>
      <c r="E1467" s="362"/>
      <c r="F1467" s="362"/>
      <c r="G1467" s="362"/>
      <c r="H1467" s="362"/>
      <c r="I1467" s="362"/>
    </row>
    <row r="1468" spans="1:9" ht="14.4" customHeight="1" x14ac:dyDescent="0.3">
      <c r="A1468" s="12"/>
      <c r="B1468" s="36" t="s">
        <v>8</v>
      </c>
      <c r="C1468" s="362" t="s">
        <v>952</v>
      </c>
      <c r="D1468" s="362"/>
      <c r="E1468" s="362"/>
      <c r="F1468" s="362"/>
      <c r="G1468" s="362"/>
      <c r="H1468" s="362"/>
      <c r="I1468" s="362"/>
    </row>
    <row r="1469" spans="1:9" ht="14.4" customHeight="1" x14ac:dyDescent="0.3">
      <c r="A1469" s="12"/>
      <c r="B1469" s="36" t="s">
        <v>8</v>
      </c>
      <c r="C1469" s="362" t="s">
        <v>953</v>
      </c>
      <c r="D1469" s="362"/>
      <c r="E1469" s="362"/>
      <c r="F1469" s="362"/>
      <c r="G1469" s="362"/>
      <c r="H1469" s="362"/>
      <c r="I1469" s="362"/>
    </row>
    <row r="1470" spans="1:9" ht="16.2" customHeight="1" x14ac:dyDescent="0.3">
      <c r="A1470" s="12"/>
      <c r="B1470" s="36" t="s">
        <v>8</v>
      </c>
      <c r="C1470" s="363" t="s">
        <v>954</v>
      </c>
      <c r="D1470" s="363"/>
      <c r="E1470" s="363"/>
      <c r="F1470" s="363"/>
      <c r="G1470" s="363"/>
      <c r="H1470" s="363"/>
      <c r="I1470" s="363"/>
    </row>
    <row r="1471" spans="1:9" ht="15.6" customHeight="1" x14ac:dyDescent="0.3">
      <c r="C1471" s="408"/>
      <c r="D1471" s="409"/>
      <c r="E1471" s="409"/>
      <c r="F1471" s="409"/>
      <c r="G1471" s="371" t="s">
        <v>955</v>
      </c>
      <c r="H1471" s="374"/>
      <c r="I1471" s="374"/>
    </row>
    <row r="1472" spans="1:9" ht="28.5" customHeight="1" x14ac:dyDescent="0.3">
      <c r="C1472" s="354" t="s">
        <v>956</v>
      </c>
      <c r="D1472" s="366"/>
      <c r="E1472" s="366"/>
      <c r="F1472" s="366"/>
      <c r="G1472" s="357" t="str">
        <f>_xlfn.CONCAT(_xlfn.XLOOKUP("[S05_TotalFlightEmissions][1][TotalFlightEmissions]",Submission!$O:$O,Submission!$H:$N,""))</f>
        <v>253120</v>
      </c>
      <c r="H1472" s="357"/>
      <c r="I1472" s="357"/>
    </row>
    <row r="1473" spans="1:10" ht="28.95" customHeight="1" x14ac:dyDescent="0.3">
      <c r="C1473" s="354" t="s">
        <v>957</v>
      </c>
      <c r="D1473" s="354"/>
      <c r="E1473" s="354"/>
      <c r="F1473" s="354"/>
      <c r="G1473" s="357" t="str">
        <f>_xlfn.CONCAT(_xlfn.XLOOKUP("[S05_TotalFlightEmissions][2][TotalFlightEmissions]",Submission!$O:$O,Submission!$H:$N,""))</f>
        <v>8374</v>
      </c>
      <c r="H1473" s="357"/>
      <c r="I1473" s="357"/>
    </row>
    <row r="1474" spans="1:10" ht="28.95" customHeight="1" x14ac:dyDescent="0.3">
      <c r="C1474" s="354" t="s">
        <v>958</v>
      </c>
      <c r="D1474" s="354"/>
      <c r="E1474" s="354"/>
      <c r="F1474" s="354"/>
      <c r="G1474" s="357" t="str">
        <f>_xlfn.CONCAT(_xlfn.XLOOKUP("[S05_TotalFlightEmissions][3][TotalFlightEmissions]",Submission!$O:$O,Submission!$H:$N,""))</f>
        <v>268548</v>
      </c>
      <c r="H1474" s="357"/>
      <c r="I1474" s="357"/>
    </row>
    <row r="1475" spans="1:10" ht="28.95" customHeight="1" x14ac:dyDescent="0.3">
      <c r="C1475" s="354" t="s">
        <v>959</v>
      </c>
      <c r="D1475" s="354"/>
      <c r="E1475" s="354"/>
      <c r="F1475" s="354"/>
      <c r="G1475" s="357" t="str">
        <f>_xlfn.CONCAT(_xlfn.XLOOKUP("[S05_TotalFlightEmissions][4][TotalFlightEmissions]",Submission!$O:$O,Submission!$H:$N,""))</f>
        <v>161858</v>
      </c>
      <c r="H1475" s="357"/>
      <c r="I1475" s="357"/>
    </row>
    <row r="1476" spans="1:10" ht="28.95" customHeight="1" x14ac:dyDescent="0.3">
      <c r="C1476" s="354" t="s">
        <v>960</v>
      </c>
      <c r="D1476" s="354"/>
      <c r="E1476" s="354"/>
      <c r="F1476" s="354"/>
      <c r="G1476" s="357" t="str">
        <f>_xlfn.CONCAT(_xlfn.XLOOKUP("[S05_TotalFlightEmissions][5][TotalFlightEmissions]",Submission!$O:$O,Submission!$H:$N,""))</f>
        <v>7255</v>
      </c>
      <c r="H1476" s="357"/>
      <c r="I1476" s="357"/>
    </row>
    <row r="1477" spans="1:10" ht="17.399999999999999" customHeight="1" x14ac:dyDescent="0.3">
      <c r="C1477" s="37"/>
      <c r="D1477" s="37"/>
      <c r="E1477" s="37"/>
      <c r="F1477" s="37"/>
      <c r="G1477" s="11"/>
      <c r="H1477" s="11"/>
      <c r="I1477" s="11"/>
    </row>
    <row r="1478" spans="1:10" ht="28.2" customHeight="1" x14ac:dyDescent="0.3">
      <c r="C1478" s="358" t="s">
        <v>961</v>
      </c>
      <c r="D1478" s="358"/>
      <c r="E1478" s="358"/>
      <c r="F1478" s="358"/>
      <c r="G1478" s="358"/>
      <c r="H1478" s="358"/>
      <c r="I1478" s="358"/>
    </row>
    <row r="1479" spans="1:10" ht="15.9" customHeight="1" x14ac:dyDescent="0.3">
      <c r="C1479" s="368" t="s">
        <v>962</v>
      </c>
      <c r="D1479" s="369"/>
      <c r="E1479" s="369"/>
      <c r="F1479" s="369"/>
      <c r="G1479" s="370" t="str">
        <f>_xlfn.CONCAT(_xlfn.XLOOKUP("[CountOperatorsThirdCountries][0][CountOperatorsThirdCountries]",Submission!$O:$O,Submission!$H:$N,""))</f>
        <v>13</v>
      </c>
      <c r="H1479" s="370"/>
      <c r="I1479" s="370"/>
    </row>
    <row r="1480" spans="1:10" ht="15.9" customHeight="1" x14ac:dyDescent="0.3">
      <c r="C1480" s="37"/>
      <c r="D1480" s="11"/>
      <c r="E1480" s="11"/>
      <c r="F1480" s="11"/>
      <c r="G1480" s="11"/>
      <c r="H1480" s="11"/>
      <c r="I1480" s="11"/>
      <c r="J1480" s="11"/>
    </row>
    <row r="1481" spans="1:10" ht="15.9" customHeight="1" x14ac:dyDescent="0.3">
      <c r="A1481" s="12" t="s">
        <v>326</v>
      </c>
      <c r="B1481" s="271" t="s">
        <v>963</v>
      </c>
      <c r="C1481" s="272"/>
      <c r="D1481" s="272"/>
      <c r="E1481" s="272"/>
      <c r="F1481" s="272"/>
      <c r="G1481" s="272"/>
      <c r="H1481" s="272"/>
      <c r="I1481" s="272"/>
    </row>
    <row r="1482" spans="1:10" ht="15.9" customHeight="1" x14ac:dyDescent="0.3">
      <c r="B1482" s="15" t="s">
        <v>8</v>
      </c>
      <c r="C1482" s="310" t="s">
        <v>964</v>
      </c>
      <c r="D1482" s="410"/>
      <c r="E1482" s="410"/>
      <c r="F1482" s="410"/>
      <c r="G1482" s="410"/>
      <c r="H1482" s="410"/>
      <c r="I1482" s="410"/>
    </row>
    <row r="1483" spans="1:10" ht="15.9" customHeight="1" x14ac:dyDescent="0.3">
      <c r="B1483" s="15" t="s">
        <v>8</v>
      </c>
      <c r="C1483" s="310" t="s">
        <v>965</v>
      </c>
      <c r="D1483" s="410"/>
      <c r="E1483" s="410"/>
      <c r="F1483" s="410"/>
      <c r="G1483" s="410"/>
      <c r="H1483" s="410"/>
      <c r="I1483" s="410"/>
    </row>
    <row r="1484" spans="1:10" ht="16.5" customHeight="1" x14ac:dyDescent="0.3">
      <c r="B1484" s="15" t="s">
        <v>8</v>
      </c>
      <c r="C1484" s="310" t="s">
        <v>966</v>
      </c>
      <c r="D1484" s="410"/>
      <c r="E1484" s="410"/>
      <c r="F1484" s="410"/>
      <c r="G1484" s="410"/>
      <c r="H1484" s="410"/>
      <c r="I1484" s="410"/>
    </row>
    <row r="1485" spans="1:10" ht="42.6" customHeight="1" x14ac:dyDescent="0.3">
      <c r="C1485" s="371" t="s">
        <v>967</v>
      </c>
      <c r="D1485" s="371"/>
      <c r="E1485" s="371" t="s">
        <v>968</v>
      </c>
      <c r="F1485" s="374"/>
      <c r="G1485" s="371" t="s">
        <v>969</v>
      </c>
      <c r="H1485" s="371"/>
      <c r="I1485" s="371"/>
    </row>
    <row r="1486" spans="1:10" ht="15.9" customHeight="1" x14ac:dyDescent="0.3">
      <c r="C1486" s="372" t="str">
        <f>_xlfn.CONCAT(_xlfn.XLOOKUP("[CountOperatorsUsingBiofuels][0][CountOperatorsUsingBiofuels]",Submission!$O:$O,Submission!$H:$N,""))</f>
        <v>0</v>
      </c>
      <c r="D1486" s="372"/>
      <c r="E1486" s="373" t="str">
        <f>_xlfn.CONCAT(_xlfn.XLOOKUP("[EmissionsBiofuelsSustainabilitySatisfied][0][EmissionsBiofuelsSustainabilitySatisfied]",Submission!$O:$O,Submission!$H:$N,""))</f>
        <v>0</v>
      </c>
      <c r="F1486" s="373"/>
      <c r="G1486" s="375" t="str">
        <f>_xlfn.CONCAT(_xlfn.XLOOKUP("[EmissionsBiofuelsSustainabilityNotSatisfied][0][EmissionsBiofuelsSustainabilityNotSatisfied]",Submission!$O:$O,Submission!$H:$N,""))</f>
        <v>0</v>
      </c>
      <c r="H1486" s="375"/>
      <c r="I1486" s="375"/>
    </row>
    <row r="1487" spans="1:10" ht="15.9" customHeight="1" x14ac:dyDescent="0.3">
      <c r="D1487" s="11"/>
      <c r="E1487" s="11"/>
      <c r="F1487" s="11"/>
      <c r="G1487" s="11"/>
    </row>
    <row r="1488" spans="1:10" ht="17.25" customHeight="1" x14ac:dyDescent="0.3">
      <c r="A1488" s="12" t="s">
        <v>332</v>
      </c>
      <c r="B1488" s="271" t="s">
        <v>963</v>
      </c>
      <c r="C1488" s="272"/>
      <c r="D1488" s="272"/>
      <c r="E1488" s="272"/>
      <c r="F1488" s="272"/>
      <c r="G1488" s="272"/>
      <c r="H1488" s="272"/>
      <c r="I1488" s="272"/>
    </row>
    <row r="1489" spans="1:9" ht="16.5" customHeight="1" x14ac:dyDescent="0.3">
      <c r="A1489" s="12"/>
      <c r="B1489" s="15" t="s">
        <v>8</v>
      </c>
      <c r="C1489" s="310" t="s">
        <v>970</v>
      </c>
      <c r="D1489" s="410"/>
      <c r="E1489" s="410"/>
      <c r="F1489" s="410"/>
      <c r="G1489" s="410"/>
      <c r="H1489" s="410"/>
      <c r="I1489" s="410"/>
    </row>
    <row r="1490" spans="1:9" ht="30" customHeight="1" x14ac:dyDescent="0.3">
      <c r="A1490" s="12"/>
      <c r="B1490" s="15" t="s">
        <v>8</v>
      </c>
      <c r="C1490" s="310" t="s">
        <v>971</v>
      </c>
      <c r="D1490" s="410"/>
      <c r="E1490" s="410"/>
      <c r="F1490" s="410"/>
      <c r="G1490" s="410"/>
      <c r="H1490" s="410"/>
      <c r="I1490" s="410"/>
    </row>
    <row r="1491" spans="1:9" ht="15" customHeight="1" x14ac:dyDescent="0.3">
      <c r="A1491" s="12"/>
      <c r="B1491" s="15" t="s">
        <v>8</v>
      </c>
      <c r="C1491" s="310" t="s">
        <v>972</v>
      </c>
      <c r="D1491" s="410"/>
      <c r="E1491" s="410"/>
      <c r="F1491" s="410"/>
      <c r="G1491" s="410"/>
      <c r="H1491" s="410"/>
      <c r="I1491" s="410"/>
    </row>
    <row r="1492" spans="1:9" ht="16.5" customHeight="1" x14ac:dyDescent="0.3">
      <c r="A1492" s="12"/>
      <c r="B1492" s="15" t="s">
        <v>8</v>
      </c>
      <c r="C1492" s="314" t="s">
        <v>973</v>
      </c>
      <c r="D1492" s="411"/>
      <c r="E1492" s="411"/>
      <c r="F1492" s="411"/>
      <c r="G1492" s="411"/>
      <c r="H1492" s="411"/>
      <c r="I1492" s="411"/>
    </row>
    <row r="1493" spans="1:9" s="58" customFormat="1" ht="32.25" customHeight="1" x14ac:dyDescent="0.3">
      <c r="A1493" s="75"/>
      <c r="C1493" s="260" t="s">
        <v>974</v>
      </c>
      <c r="D1493" s="261"/>
      <c r="E1493" s="261"/>
      <c r="F1493" s="261"/>
      <c r="G1493" s="262"/>
      <c r="H1493" s="341" t="str">
        <f>_xlfn.CONCAT(_xlfn.XLOOKUP("[S05_SmallEmittersTool][1][CountSmallEmitters]",Submission!$O:$O,Submission!$H:$N,""))</f>
        <v>0</v>
      </c>
      <c r="I1493" s="356"/>
    </row>
    <row r="1494" spans="1:9" s="58" customFormat="1" ht="32.25" customHeight="1" x14ac:dyDescent="0.3">
      <c r="A1494" s="75"/>
      <c r="C1494" s="260" t="s">
        <v>975</v>
      </c>
      <c r="D1494" s="261"/>
      <c r="E1494" s="261"/>
      <c r="F1494" s="261"/>
      <c r="G1494" s="262"/>
      <c r="H1494" s="341" t="str">
        <f>_xlfn.CONCAT(_xlfn.XLOOKUP("[S05_SmallEmittersTool][2][CountSmallEmitters]",Submission!$O:$O,Submission!$H:$N,""))</f>
        <v>0</v>
      </c>
      <c r="I1494" s="356"/>
    </row>
    <row r="1495" spans="1:9" s="58" customFormat="1" ht="32.25" customHeight="1" x14ac:dyDescent="0.3">
      <c r="A1495" s="75"/>
      <c r="C1495" s="260" t="s">
        <v>976</v>
      </c>
      <c r="D1495" s="261"/>
      <c r="E1495" s="261"/>
      <c r="F1495" s="261"/>
      <c r="G1495" s="262"/>
      <c r="H1495" s="341" t="str">
        <f>_xlfn.CONCAT(_xlfn.XLOOKUP("[S05_SmallEmittersTool][3][CountSmallEmitters]",Submission!$O:$O,Submission!$H:$N,""))</f>
        <v>3</v>
      </c>
      <c r="I1495" s="356"/>
    </row>
    <row r="1496" spans="1:9" s="58" customFormat="1" ht="32.25" customHeight="1" x14ac:dyDescent="0.3">
      <c r="A1496" s="75"/>
      <c r="C1496" s="260" t="s">
        <v>977</v>
      </c>
      <c r="D1496" s="261"/>
      <c r="E1496" s="261"/>
      <c r="F1496" s="261"/>
      <c r="G1496" s="262"/>
      <c r="H1496" s="341" t="str">
        <f>_xlfn.CONCAT(_xlfn.XLOOKUP("[S05_SmallEmittersTool][4][CountSmallEmitters]",Submission!$O:$O,Submission!$H:$N,""))</f>
        <v>2</v>
      </c>
      <c r="I1496" s="356"/>
    </row>
    <row r="1497" spans="1:9" ht="15.9" customHeight="1" x14ac:dyDescent="0.3">
      <c r="D1497" s="11"/>
      <c r="E1497" s="11"/>
      <c r="F1497" s="11"/>
      <c r="G1497" s="11"/>
    </row>
    <row r="1498" spans="1:9" ht="32.1" customHeight="1" x14ac:dyDescent="0.3">
      <c r="A1498" s="12" t="s">
        <v>337</v>
      </c>
      <c r="B1498" s="271" t="s">
        <v>978</v>
      </c>
      <c r="C1498" s="272"/>
      <c r="D1498" s="272"/>
      <c r="E1498" s="272"/>
      <c r="F1498" s="272"/>
      <c r="G1498" s="272"/>
      <c r="H1498" s="272"/>
      <c r="I1498" s="272"/>
    </row>
    <row r="1499" spans="1:9" ht="15.9" customHeight="1" x14ac:dyDescent="0.3">
      <c r="A1499" s="13"/>
      <c r="C1499" s="303" t="s">
        <v>979</v>
      </c>
      <c r="D1499" s="330"/>
      <c r="E1499" s="330"/>
      <c r="F1499" s="309"/>
      <c r="G1499" s="303" t="s">
        <v>980</v>
      </c>
      <c r="H1499" s="330"/>
      <c r="I1499" s="309"/>
    </row>
    <row r="1500" spans="1:9" ht="15.9" customHeight="1" x14ac:dyDescent="0.3">
      <c r="A1500" s="13"/>
      <c r="C1500" s="341" t="str">
        <f>_xlfn.CONCAT(_xlfn.XLOOKUP("[AircraftImprovementReportRequired][0][AircraftImprovementReportRequired]",Submission!$O:$O,Submission!$H:$N,""))</f>
        <v/>
      </c>
      <c r="D1500" s="355"/>
      <c r="E1500" s="355"/>
      <c r="F1500" s="356"/>
      <c r="G1500" s="341" t="str">
        <f>_xlfn.CONCAT(_xlfn.XLOOKUP("[AircraftImprovementReportSubmitted][0][AircraftImprovementReportSubmitted]",Submission!$O:$O,Submission!$H:$N,""))</f>
        <v/>
      </c>
      <c r="H1500" s="355"/>
      <c r="I1500" s="356"/>
    </row>
    <row r="1501" spans="1:9" ht="15.9" customHeight="1" x14ac:dyDescent="0.3">
      <c r="A1501" s="13"/>
      <c r="C1501" s="29"/>
      <c r="D1501" s="29"/>
    </row>
    <row r="1502" spans="1:9" ht="15.9" customHeight="1" x14ac:dyDescent="0.3">
      <c r="A1502" s="12" t="s">
        <v>343</v>
      </c>
      <c r="B1502" s="377" t="s">
        <v>981</v>
      </c>
      <c r="C1502" s="378"/>
      <c r="D1502" s="378"/>
      <c r="E1502" s="378"/>
      <c r="F1502" s="378"/>
      <c r="G1502" s="378"/>
      <c r="H1502" s="378"/>
      <c r="I1502" s="378"/>
    </row>
    <row r="1503" spans="1:9" ht="32.1" customHeight="1" x14ac:dyDescent="0.3">
      <c r="A1503" s="13"/>
      <c r="B1503" s="293" t="s">
        <v>937</v>
      </c>
      <c r="C1503" s="294"/>
      <c r="D1503" s="294"/>
      <c r="E1503" s="294"/>
      <c r="F1503" s="294"/>
      <c r="G1503" s="294"/>
      <c r="H1503" s="295"/>
      <c r="I1503" s="41" t="str">
        <f>_xlfn.CONCAT(_xlfn.XLOOKUP("[AircraftSimplifiedMonitoringArt13][0][AircraftSimplifiedMonitoringArt13]",Submission!$O:$O,Submission!$H:$N,""))</f>
        <v>No</v>
      </c>
    </row>
    <row r="1504" spans="1:9" ht="15.9" customHeight="1" x14ac:dyDescent="0.3">
      <c r="A1504" s="12"/>
      <c r="B1504" s="271" t="s">
        <v>982</v>
      </c>
      <c r="C1504" s="272"/>
      <c r="D1504" s="272"/>
      <c r="E1504" s="272"/>
      <c r="F1504" s="272"/>
      <c r="G1504" s="272"/>
      <c r="H1504" s="272"/>
      <c r="I1504" s="272"/>
    </row>
    <row r="1505" spans="1:9" ht="15.9" customHeight="1" x14ac:dyDescent="0.3">
      <c r="A1505" s="13"/>
      <c r="C1505" s="365" t="s">
        <v>939</v>
      </c>
      <c r="D1505" s="365"/>
      <c r="E1505" s="365"/>
      <c r="F1505" s="365"/>
      <c r="G1505" s="365" t="s">
        <v>940</v>
      </c>
      <c r="H1505" s="365"/>
      <c r="I1505" s="365"/>
    </row>
    <row r="1506" spans="1:9" ht="26.4" customHeight="1" x14ac:dyDescent="0.3">
      <c r="A1506" s="13"/>
      <c r="C1506" s="281" t="str">
        <f>_xlfn.CONCAT(_xlfn.XLOOKUP("[S05_AircraftSimplifiedMonitoringArt13Detail][1][AircraftRiskAssessmentType]",Submission!$O:$O,Submission!$H:$N,""))</f>
        <v/>
      </c>
      <c r="D1506" s="348"/>
      <c r="E1506" s="348"/>
      <c r="F1506" s="285"/>
      <c r="G1506" s="376" t="str">
        <f>_xlfn.CONCAT(_xlfn.XLOOKUP("[S05_AircraftSimplifiedMonitoringArt13Detail][1][AircraftGeneralRiskAssessmentPrinciples]",Submission!$O:$O,Submission!$H:$N,""))</f>
        <v/>
      </c>
      <c r="H1506" s="376"/>
      <c r="I1506" s="376"/>
    </row>
    <row r="1507" spans="1:9" ht="26.4" customHeight="1" x14ac:dyDescent="0.3">
      <c r="A1507" s="13"/>
      <c r="C1507" s="281" t="str">
        <f>_xlfn.CONCAT(_xlfn.XLOOKUP("[S05_AircraftSimplifiedMonitoringArt13Detail][2][AircraftRiskAssessmentType]",Submission!$O:$O,Submission!$H:$N,""))</f>
        <v/>
      </c>
      <c r="D1507" s="348"/>
      <c r="E1507" s="348"/>
      <c r="F1507" s="285"/>
      <c r="G1507" s="376" t="str">
        <f>_xlfn.CONCAT(_xlfn.XLOOKUP("[S05_AircraftSimplifiedMonitoringArt13Detail][2][AircraftGeneralRiskAssessmentPrinciples]",Submission!$O:$O,Submission!$H:$N,""))</f>
        <v/>
      </c>
      <c r="H1507" s="376"/>
      <c r="I1507" s="376"/>
    </row>
    <row r="1508" spans="1:9" ht="26.4" hidden="1" customHeight="1" outlineLevel="1" x14ac:dyDescent="0.3">
      <c r="A1508" s="13"/>
      <c r="C1508" s="281" t="str">
        <f>_xlfn.CONCAT(_xlfn.XLOOKUP("[S05_AircraftSimplifiedMonitoringArt13Detail][3][AircraftRiskAssessmentType]",Submission!$O:$O,Submission!$H:$N,""))</f>
        <v/>
      </c>
      <c r="D1508" s="348"/>
      <c r="E1508" s="348"/>
      <c r="F1508" s="285"/>
      <c r="G1508" s="376" t="str">
        <f>_xlfn.CONCAT(_xlfn.XLOOKUP("[S05_AircraftSimplifiedMonitoringArt13Detail][3][AircraftGeneralRiskAssessmentPrinciples]",Submission!$O:$O,Submission!$H:$N,""))</f>
        <v/>
      </c>
      <c r="H1508" s="376"/>
      <c r="I1508" s="376"/>
    </row>
    <row r="1509" spans="1:9" ht="26.4" hidden="1" customHeight="1" outlineLevel="1" x14ac:dyDescent="0.3">
      <c r="A1509" s="13"/>
      <c r="C1509" s="281" t="str">
        <f>_xlfn.CONCAT(_xlfn.XLOOKUP("[S05_AircraftSimplifiedMonitoringArt13Detail][4][AircraftRiskAssessmentType]",Submission!$O:$O,Submission!$H:$N,""))</f>
        <v/>
      </c>
      <c r="D1509" s="348"/>
      <c r="E1509" s="348"/>
      <c r="F1509" s="285"/>
      <c r="G1509" s="376" t="str">
        <f>_xlfn.CONCAT(_xlfn.XLOOKUP("[S05_AircraftSimplifiedMonitoringArt13Detail][4][AircraftGeneralRiskAssessmentPrinciples]",Submission!$O:$O,Submission!$H:$N,""))</f>
        <v/>
      </c>
      <c r="H1509" s="376"/>
      <c r="I1509" s="376"/>
    </row>
    <row r="1510" spans="1:9" ht="26.4" hidden="1" customHeight="1" outlineLevel="1" x14ac:dyDescent="0.3">
      <c r="A1510" s="13"/>
      <c r="C1510" s="281" t="str">
        <f>_xlfn.CONCAT(_xlfn.XLOOKUP("[S05_AircraftSimplifiedMonitoringArt13Detail][5][AircraftRiskAssessmentType]",Submission!$O:$O,Submission!$H:$N,""))</f>
        <v/>
      </c>
      <c r="D1510" s="348"/>
      <c r="E1510" s="348"/>
      <c r="F1510" s="285"/>
      <c r="G1510" s="376" t="str">
        <f>_xlfn.CONCAT(_xlfn.XLOOKUP("[S05_AircraftSimplifiedMonitoringArt13Detail][5][AircraftGeneralRiskAssessmentPrinciples]",Submission!$O:$O,Submission!$H:$N,""))</f>
        <v/>
      </c>
      <c r="H1510" s="376"/>
      <c r="I1510" s="376"/>
    </row>
    <row r="1511" spans="1:9" ht="15.9" customHeight="1" collapsed="1" x14ac:dyDescent="0.3">
      <c r="C1511" s="360" t="s">
        <v>941</v>
      </c>
      <c r="D1511" s="361"/>
      <c r="E1511" s="361"/>
      <c r="F1511" s="361"/>
      <c r="G1511" s="361"/>
      <c r="H1511" s="361"/>
      <c r="I1511" s="361"/>
    </row>
  </sheetData>
  <mergeCells count="1737">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
      <c r="A3" s="114">
        <v>6</v>
      </c>
      <c r="B3" s="419" t="s">
        <v>983</v>
      </c>
      <c r="C3" s="419"/>
      <c r="D3" s="419"/>
      <c r="E3" s="419"/>
      <c r="F3" s="419"/>
      <c r="G3" s="419"/>
      <c r="H3" s="419"/>
      <c r="I3" s="419"/>
    </row>
    <row r="4" spans="1:9" s="7" customFormat="1" ht="18.899999999999999" customHeight="1" x14ac:dyDescent="0.3">
      <c r="A4" s="115" t="s">
        <v>984</v>
      </c>
      <c r="B4" s="420" t="s">
        <v>145</v>
      </c>
      <c r="C4" s="420"/>
      <c r="D4" s="420"/>
      <c r="E4" s="420"/>
      <c r="F4" s="420"/>
      <c r="G4" s="420"/>
      <c r="H4" s="420"/>
      <c r="I4" s="421"/>
    </row>
    <row r="5" spans="1:9" ht="34.200000000000003" customHeight="1" x14ac:dyDescent="0.3">
      <c r="A5" s="12" t="s">
        <v>350</v>
      </c>
      <c r="B5" s="328" t="s">
        <v>985</v>
      </c>
      <c r="C5" s="329"/>
      <c r="D5" s="329"/>
      <c r="E5" s="329"/>
      <c r="F5" s="329"/>
      <c r="G5" s="329"/>
      <c r="H5" s="329"/>
      <c r="I5" s="329"/>
    </row>
    <row r="6" spans="1:9" ht="22.95" customHeight="1" x14ac:dyDescent="0.3">
      <c r="C6" s="408"/>
      <c r="D6" s="408"/>
      <c r="E6" s="408"/>
      <c r="F6" s="422" t="s">
        <v>986</v>
      </c>
      <c r="G6" s="423"/>
      <c r="H6" s="424" t="s">
        <v>987</v>
      </c>
      <c r="I6" s="424"/>
    </row>
    <row r="7" spans="1:9" ht="29.4" customHeight="1" x14ac:dyDescent="0.3">
      <c r="C7" s="408"/>
      <c r="D7" s="408"/>
      <c r="E7" s="408"/>
      <c r="F7" s="46" t="s">
        <v>726</v>
      </c>
      <c r="G7" s="46" t="s">
        <v>988</v>
      </c>
      <c r="H7" s="116" t="s">
        <v>726</v>
      </c>
      <c r="I7" s="117" t="s">
        <v>989</v>
      </c>
    </row>
    <row r="8" spans="1:9" s="58" customFormat="1" ht="33.6" customHeight="1" x14ac:dyDescent="0.3">
      <c r="A8" s="75"/>
      <c r="C8" s="415" t="s">
        <v>990</v>
      </c>
      <c r="D8" s="416"/>
      <c r="E8" s="417"/>
      <c r="F8" s="105" t="str">
        <f>_xlfn.CONCAT(_xlfn.XLOOKUP("[S06_TotalVerifiers][1][CountVerifiersInstallations]",Submission!$O:$O,Submission!$H:$N,""))</f>
        <v>0</v>
      </c>
      <c r="G8" s="119"/>
      <c r="H8" s="105" t="str">
        <f>_xlfn.CONCAT(_xlfn.XLOOKUP("[S06_TotalVerifiers][1][CountVerifiersAviation]",Submission!$O:$O,Submission!$H:$N,""))</f>
        <v>0</v>
      </c>
      <c r="I8" s="119"/>
    </row>
    <row r="9" spans="1:9" s="58" customFormat="1" ht="33.6" customHeight="1" x14ac:dyDescent="0.3">
      <c r="A9" s="75"/>
      <c r="C9" s="415" t="s">
        <v>991</v>
      </c>
      <c r="D9" s="416"/>
      <c r="E9" s="417"/>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15" t="s">
        <v>992</v>
      </c>
      <c r="D10" s="416"/>
      <c r="E10" s="417"/>
      <c r="F10" s="105" t="str">
        <f>_xlfn.CONCAT(_xlfn.XLOOKUP("[S06_TotalVerifiers][3][CountVerifiersInstallations]",Submission!$O:$O,Submission!$H:$N,""))</f>
        <v>1</v>
      </c>
      <c r="G10" s="72" t="str">
        <f>_xlfn.CONCAT(_xlfn.XLOOKUP("[S06_TotalVerifiers][3][MSVerifiersInstallations]",Submission!$O:$O,Submission!$H:$N,""))</f>
        <v>EL</v>
      </c>
      <c r="H10" s="105" t="str">
        <f>_xlfn.CONCAT(_xlfn.XLOOKUP("[S06_TotalVerifiers][3][CountVerifiersAviation]",Submission!$O:$O,Submission!$H:$N,""))</f>
        <v>3</v>
      </c>
      <c r="I10" s="47" t="str">
        <f>_xlfn.CONCAT(_xlfn.XLOOKUP("[S06_TotalVerifiers][3][MSVerifiersAviation]",Submission!$O:$O,Submission!$H:$N,""))</f>
        <v>DE, FR, LV</v>
      </c>
    </row>
    <row r="11" spans="1:9" s="58" customFormat="1" ht="33.6" customHeight="1" x14ac:dyDescent="0.3">
      <c r="A11" s="75"/>
      <c r="C11" s="418" t="s">
        <v>993</v>
      </c>
      <c r="D11" s="418"/>
      <c r="E11" s="418"/>
      <c r="F11" s="105" t="str">
        <f>_xlfn.CONCAT(_xlfn.XLOOKUP("[S06_TotalVerifiers][4][CountVerifiersInstallations]",Submission!$O:$O,Submission!$H:$N,""))</f>
        <v>0</v>
      </c>
      <c r="G11" s="72"/>
      <c r="H11" s="105" t="str">
        <f>_xlfn.CONCAT(_xlfn.XLOOKUP("[S06_TotalVerifiers][4][CountVerifiersAviation]",Submission!$O:$O,Submission!$H:$N,""))</f>
        <v>0</v>
      </c>
      <c r="I11" s="47" t="str">
        <f>_xlfn.CONCAT(_xlfn.XLOOKUP("[S06_TotalVerifiers][4][MSVerifiersAviation]",Submission!$O:$O,Submission!$H:$N,""))</f>
        <v/>
      </c>
    </row>
    <row r="12" spans="1:9" ht="15.9" customHeight="1" x14ac:dyDescent="0.3">
      <c r="B12" s="277" t="s">
        <v>994</v>
      </c>
      <c r="C12" s="277"/>
      <c r="D12" s="277"/>
      <c r="E12" s="277"/>
      <c r="F12" s="277"/>
      <c r="G12" s="277"/>
      <c r="H12" s="277"/>
      <c r="I12" s="277"/>
    </row>
    <row r="13" spans="1:9" ht="15.9" customHeight="1" x14ac:dyDescent="0.3">
      <c r="B13" s="277" t="s">
        <v>995</v>
      </c>
      <c r="C13" s="277"/>
      <c r="D13" s="277"/>
      <c r="E13" s="277"/>
      <c r="F13" s="277"/>
      <c r="G13" s="277"/>
      <c r="H13" s="277"/>
      <c r="I13" s="277"/>
    </row>
    <row r="14" spans="1:9" ht="15.9" customHeight="1" x14ac:dyDescent="0.3">
      <c r="B14" s="20"/>
      <c r="C14" s="20"/>
      <c r="D14" s="20"/>
      <c r="E14" s="20"/>
      <c r="F14" s="20"/>
      <c r="G14" s="20"/>
      <c r="H14" s="20"/>
      <c r="I14" s="20"/>
    </row>
    <row r="15" spans="1:9" ht="49.95" customHeight="1" x14ac:dyDescent="0.3">
      <c r="B15" s="271" t="s">
        <v>996</v>
      </c>
      <c r="C15" s="271"/>
      <c r="D15" s="271"/>
      <c r="E15" s="271"/>
      <c r="F15" s="271"/>
      <c r="G15" s="271"/>
      <c r="H15" s="271"/>
      <c r="I15" s="271"/>
    </row>
    <row r="16" spans="1:9" ht="39.75" customHeight="1" x14ac:dyDescent="0.3">
      <c r="B16" s="20"/>
      <c r="C16" s="303" t="s">
        <v>997</v>
      </c>
      <c r="D16" s="304"/>
      <c r="E16" s="304"/>
      <c r="F16" s="304"/>
      <c r="G16" s="305"/>
      <c r="H16" s="45" t="s">
        <v>998</v>
      </c>
      <c r="I16" s="45" t="s">
        <v>999</v>
      </c>
    </row>
    <row r="17" spans="2:9" ht="27.6" customHeight="1" x14ac:dyDescent="0.3">
      <c r="B17" s="20"/>
      <c r="C17" s="412" t="str">
        <f>_xlfn.CONCAT(_xlfn.XLOOKUP("[S06_AccredCertVerifiersAnnexI][1][AccredCertScope]",Submission!$O:$O,Submission!$H:$N,""))</f>
        <v/>
      </c>
      <c r="D17" s="413"/>
      <c r="E17" s="413"/>
      <c r="F17" s="413"/>
      <c r="G17" s="414"/>
      <c r="H17" s="132" t="str">
        <f>_xlfn.CONCAT(_xlfn.XLOOKUP("[S06_AccredCertVerifiersAnnexI][1][NumberAccredited]",Submission!$O:$O,Submission!$H:$N,""))</f>
        <v/>
      </c>
      <c r="I17" s="132" t="str">
        <f>_xlfn.CONCAT(_xlfn.XLOOKUP("[S06_AccredCertVerifiersAnnexI][1][NumberCertified]",Submission!$O:$O,Submission!$H:$N,""))</f>
        <v/>
      </c>
    </row>
    <row r="18" spans="2:9" ht="27.6" customHeight="1" x14ac:dyDescent="0.3">
      <c r="B18" s="20"/>
      <c r="C18" s="412" t="str">
        <f>_xlfn.CONCAT(_xlfn.XLOOKUP("[S06_AccredCertVerifiersAnnexI][2][AccredCertScope]",Submission!$O:$O,Submission!$H:$N,""))</f>
        <v/>
      </c>
      <c r="D18" s="413"/>
      <c r="E18" s="413"/>
      <c r="F18" s="413"/>
      <c r="G18" s="414"/>
      <c r="H18" s="132" t="str">
        <f>_xlfn.CONCAT(_xlfn.XLOOKUP("[S06_AccredCertVerifiersAnnexI][2][NumberAccredited]",Submission!$O:$O,Submission!$H:$N,""))</f>
        <v/>
      </c>
      <c r="I18" s="132" t="str">
        <f>_xlfn.CONCAT(_xlfn.XLOOKUP("[S06_AccredCertVerifiersAnnexI][2][NumberCertified]",Submission!$O:$O,Submission!$H:$N,""))</f>
        <v/>
      </c>
    </row>
    <row r="19" spans="2:9" ht="27.6" customHeight="1" x14ac:dyDescent="0.3">
      <c r="B19" s="20"/>
      <c r="C19" s="412" t="str">
        <f>_xlfn.CONCAT(_xlfn.XLOOKUP("[S06_AccredCertVerifiersAnnexI][3][AccredCertScope]",Submission!$O:$O,Submission!$H:$N,""))</f>
        <v/>
      </c>
      <c r="D19" s="413"/>
      <c r="E19" s="413"/>
      <c r="F19" s="413"/>
      <c r="G19" s="414"/>
      <c r="H19" s="132" t="str">
        <f>_xlfn.CONCAT(_xlfn.XLOOKUP("[S06_AccredCertVerifiersAnnexI][3][NumberAccredited]",Submission!$O:$O,Submission!$H:$N,""))</f>
        <v/>
      </c>
      <c r="I19" s="132" t="str">
        <f>_xlfn.CONCAT(_xlfn.XLOOKUP("[S06_AccredCertVerifiersAnnexI][3][NumberCertified]",Submission!$O:$O,Submission!$H:$N,""))</f>
        <v/>
      </c>
    </row>
    <row r="20" spans="2:9" ht="27.6" customHeight="1" x14ac:dyDescent="0.3">
      <c r="B20" s="20"/>
      <c r="C20" s="412" t="str">
        <f>_xlfn.CONCAT(_xlfn.XLOOKUP("[S06_AccredCertVerifiersAnnexI][4][AccredCertScope]",Submission!$O:$O,Submission!$H:$N,""))</f>
        <v/>
      </c>
      <c r="D20" s="413"/>
      <c r="E20" s="413"/>
      <c r="F20" s="413"/>
      <c r="G20" s="414"/>
      <c r="H20" s="132" t="str">
        <f>_xlfn.CONCAT(_xlfn.XLOOKUP("[S06_AccredCertVerifiersAnnexI][4][NumberAccredited]",Submission!$O:$O,Submission!$H:$N,""))</f>
        <v/>
      </c>
      <c r="I20" s="132" t="str">
        <f>_xlfn.CONCAT(_xlfn.XLOOKUP("[S06_AccredCertVerifiersAnnexI][4][NumberCertified]",Submission!$O:$O,Submission!$H:$N,""))</f>
        <v/>
      </c>
    </row>
    <row r="21" spans="2:9" ht="27.6" customHeight="1" x14ac:dyDescent="0.3">
      <c r="B21" s="20"/>
      <c r="C21" s="412" t="str">
        <f>_xlfn.CONCAT(_xlfn.XLOOKUP("[S06_AccredCertVerifiersAnnexI][5][AccredCertScope]",Submission!$O:$O,Submission!$H:$N,""))</f>
        <v/>
      </c>
      <c r="D21" s="413"/>
      <c r="E21" s="413"/>
      <c r="F21" s="413"/>
      <c r="G21" s="414"/>
      <c r="H21" s="132" t="str">
        <f>_xlfn.CONCAT(_xlfn.XLOOKUP("[S06_AccredCertVerifiersAnnexI][5][NumberAccredited]",Submission!$O:$O,Submission!$H:$N,""))</f>
        <v/>
      </c>
      <c r="I21" s="132" t="str">
        <f>_xlfn.CONCAT(_xlfn.XLOOKUP("[S06_AccredCertVerifiersAnnexI][5][NumberCertified]",Submission!$O:$O,Submission!$H:$N,""))</f>
        <v/>
      </c>
    </row>
    <row r="22" spans="2:9" ht="27.6" customHeight="1" x14ac:dyDescent="0.3">
      <c r="B22" s="20"/>
      <c r="C22" s="412" t="str">
        <f>_xlfn.CONCAT(_xlfn.XLOOKUP("[S06_AccredCertVerifiersAnnexI][6][AccredCertScope]",Submission!$O:$O,Submission!$H:$N,""))</f>
        <v/>
      </c>
      <c r="D22" s="413"/>
      <c r="E22" s="413"/>
      <c r="F22" s="413"/>
      <c r="G22" s="414"/>
      <c r="H22" s="132" t="str">
        <f>_xlfn.CONCAT(_xlfn.XLOOKUP("[S06_AccredCertVerifiersAnnexI][6][NumberAccredited]",Submission!$O:$O,Submission!$H:$N,""))</f>
        <v/>
      </c>
      <c r="I22" s="132" t="str">
        <f>_xlfn.CONCAT(_xlfn.XLOOKUP("[S06_AccredCertVerifiersAnnexI][6][NumberCertified]",Submission!$O:$O,Submission!$H:$N,""))</f>
        <v/>
      </c>
    </row>
    <row r="23" spans="2:9" ht="27.6" customHeight="1" x14ac:dyDescent="0.3">
      <c r="B23" s="20"/>
      <c r="C23" s="412" t="str">
        <f>_xlfn.CONCAT(_xlfn.XLOOKUP("[S06_AccredCertVerifiersAnnexI][7][AccredCertScope]",Submission!$O:$O,Submission!$H:$N,""))</f>
        <v/>
      </c>
      <c r="D23" s="413"/>
      <c r="E23" s="413"/>
      <c r="F23" s="413"/>
      <c r="G23" s="414"/>
      <c r="H23" s="132" t="str">
        <f>_xlfn.CONCAT(_xlfn.XLOOKUP("[S06_AccredCertVerifiersAnnexI][7][NumberAccredited]",Submission!$O:$O,Submission!$H:$N,""))</f>
        <v/>
      </c>
      <c r="I23" s="132" t="str">
        <f>_xlfn.CONCAT(_xlfn.XLOOKUP("[S06_AccredCertVerifiersAnnexI][7][NumberCertified]",Submission!$O:$O,Submission!$H:$N,""))</f>
        <v/>
      </c>
    </row>
    <row r="24" spans="2:9" ht="27.6" customHeight="1" x14ac:dyDescent="0.3">
      <c r="B24" s="20"/>
      <c r="C24" s="412" t="str">
        <f>_xlfn.CONCAT(_xlfn.XLOOKUP("[S06_AccredCertVerifiersAnnexI][8][AccredCertScope]",Submission!$O:$O,Submission!$H:$N,""))</f>
        <v/>
      </c>
      <c r="D24" s="413"/>
      <c r="E24" s="413"/>
      <c r="F24" s="413"/>
      <c r="G24" s="414"/>
      <c r="H24" s="132" t="str">
        <f>_xlfn.CONCAT(_xlfn.XLOOKUP("[S06_AccredCertVerifiersAnnexI][8][NumberAccredited]",Submission!$O:$O,Submission!$H:$N,""))</f>
        <v/>
      </c>
      <c r="I24" s="132" t="str">
        <f>_xlfn.CONCAT(_xlfn.XLOOKUP("[S06_AccredCertVerifiersAnnexI][8][NumberCertified]",Submission!$O:$O,Submission!$H:$N,""))</f>
        <v/>
      </c>
    </row>
    <row r="25" spans="2:9" ht="27.6" customHeight="1" x14ac:dyDescent="0.3">
      <c r="B25" s="20"/>
      <c r="C25" s="412" t="str">
        <f>_xlfn.CONCAT(_xlfn.XLOOKUP("[S06_AccredCertVerifiersAnnexI][9][AccredCertScope]",Submission!$O:$O,Submission!$H:$N,""))</f>
        <v/>
      </c>
      <c r="D25" s="413"/>
      <c r="E25" s="413"/>
      <c r="F25" s="413"/>
      <c r="G25" s="414"/>
      <c r="H25" s="132" t="str">
        <f>_xlfn.CONCAT(_xlfn.XLOOKUP("[S06_AccredCertVerifiersAnnexI][9][NumberAccredited]",Submission!$O:$O,Submission!$H:$N,""))</f>
        <v/>
      </c>
      <c r="I25" s="132" t="str">
        <f>_xlfn.CONCAT(_xlfn.XLOOKUP("[S06_AccredCertVerifiersAnnexI][9][NumberCertified]",Submission!$O:$O,Submission!$H:$N,""))</f>
        <v/>
      </c>
    </row>
    <row r="26" spans="2:9" ht="27.6" customHeight="1" x14ac:dyDescent="0.3">
      <c r="B26" s="20"/>
      <c r="C26" s="412" t="str">
        <f>_xlfn.CONCAT(_xlfn.XLOOKUP("[S06_AccredCertVerifiersAnnexI][10][AccredCertScope]",Submission!$O:$O,Submission!$H:$N,""))</f>
        <v/>
      </c>
      <c r="D26" s="413"/>
      <c r="E26" s="413"/>
      <c r="F26" s="413"/>
      <c r="G26" s="414"/>
      <c r="H26" s="132" t="str">
        <f>_xlfn.CONCAT(_xlfn.XLOOKUP("[S06_AccredCertVerifiersAnnexI][10][NumberAccredited]",Submission!$O:$O,Submission!$H:$N,""))</f>
        <v/>
      </c>
      <c r="I26" s="132" t="str">
        <f>_xlfn.CONCAT(_xlfn.XLOOKUP("[S06_AccredCertVerifiersAnnexI][10][NumberCertified]",Submission!$O:$O,Submission!$H:$N,""))</f>
        <v/>
      </c>
    </row>
    <row r="27" spans="2:9" ht="27.6" customHeight="1" x14ac:dyDescent="0.3">
      <c r="B27" s="20"/>
      <c r="C27" s="412" t="str">
        <f>_xlfn.CONCAT(_xlfn.XLOOKUP("[S06_AccredCertVerifiersAnnexI][11][AccredCertScope]",Submission!$O:$O,Submission!$H:$N,""))</f>
        <v/>
      </c>
      <c r="D27" s="413"/>
      <c r="E27" s="413"/>
      <c r="F27" s="413"/>
      <c r="G27" s="414"/>
      <c r="H27" s="132" t="str">
        <f>_xlfn.CONCAT(_xlfn.XLOOKUP("[S06_AccredCertVerifiersAnnexI][11][NumberAccredited]",Submission!$O:$O,Submission!$H:$N,""))</f>
        <v/>
      </c>
      <c r="I27" s="132" t="str">
        <f>_xlfn.CONCAT(_xlfn.XLOOKUP("[S06_AccredCertVerifiersAnnexI][11][NumberCertified]",Submission!$O:$O,Submission!$H:$N,""))</f>
        <v/>
      </c>
    </row>
    <row r="28" spans="2:9" ht="27.6" customHeight="1" x14ac:dyDescent="0.3">
      <c r="B28" s="20"/>
      <c r="C28" s="412" t="str">
        <f>_xlfn.CONCAT(_xlfn.XLOOKUP("[S06_AccredCertVerifiersAnnexI][12][AccredCertScope]",Submission!$O:$O,Submission!$H:$N,""))</f>
        <v/>
      </c>
      <c r="D28" s="413"/>
      <c r="E28" s="413"/>
      <c r="F28" s="413"/>
      <c r="G28" s="414"/>
      <c r="H28" s="132" t="str">
        <f>_xlfn.CONCAT(_xlfn.XLOOKUP("[S06_AccredCertVerifiersAnnexI][12][NumberAccredited]",Submission!$O:$O,Submission!$H:$N,""))</f>
        <v/>
      </c>
      <c r="I28" s="132" t="str">
        <f>_xlfn.CONCAT(_xlfn.XLOOKUP("[S06_AccredCertVerifiersAnnexI][12][NumberCertified]",Submission!$O:$O,Submission!$H:$N,""))</f>
        <v/>
      </c>
    </row>
    <row r="29" spans="2:9" ht="27.6" hidden="1" customHeight="1" outlineLevel="1" x14ac:dyDescent="0.3">
      <c r="B29" s="20"/>
      <c r="C29" s="412" t="str">
        <f>_xlfn.CONCAT(_xlfn.XLOOKUP("[S06_AccredCertVerifiersAnnexI][13][AccredCertScope]",Submission!$O:$O,Submission!$H:$N,""))</f>
        <v/>
      </c>
      <c r="D29" s="413"/>
      <c r="E29" s="413"/>
      <c r="F29" s="413"/>
      <c r="G29" s="414"/>
      <c r="H29" s="132" t="str">
        <f>_xlfn.CONCAT(_xlfn.XLOOKUP("[S06_AccredCertVerifiersAnnexI][13][NumberAccredited]",Submission!$O:$O,Submission!$H:$N,""))</f>
        <v/>
      </c>
      <c r="I29" s="132" t="str">
        <f>_xlfn.CONCAT(_xlfn.XLOOKUP("[S06_AccredCertVerifiersAnnexI][13][NumberCertified]",Submission!$O:$O,Submission!$H:$N,""))</f>
        <v/>
      </c>
    </row>
    <row r="30" spans="2:9" ht="27.6" hidden="1" customHeight="1" outlineLevel="1" x14ac:dyDescent="0.3">
      <c r="B30" s="20"/>
      <c r="C30" s="412" t="str">
        <f>_xlfn.CONCAT(_xlfn.XLOOKUP("[S06_AccredCertVerifiersAnnexI][14][AccredCertScope]",Submission!$O:$O,Submission!$H:$N,""))</f>
        <v/>
      </c>
      <c r="D30" s="413"/>
      <c r="E30" s="413"/>
      <c r="F30" s="413"/>
      <c r="G30" s="414"/>
      <c r="H30" s="132" t="str">
        <f>_xlfn.CONCAT(_xlfn.XLOOKUP("[S06_AccredCertVerifiersAnnexI][14][NumberAccredited]",Submission!$O:$O,Submission!$H:$N,""))</f>
        <v/>
      </c>
      <c r="I30" s="132" t="str">
        <f>_xlfn.CONCAT(_xlfn.XLOOKUP("[S06_AccredCertVerifiersAnnexI][14][NumberCertified]",Submission!$O:$O,Submission!$H:$N,""))</f>
        <v/>
      </c>
    </row>
    <row r="31" spans="2:9" ht="27.6" hidden="1" customHeight="1" outlineLevel="1" x14ac:dyDescent="0.3">
      <c r="B31" s="20"/>
      <c r="C31" s="412" t="str">
        <f>_xlfn.CONCAT(_xlfn.XLOOKUP("[S06_AccredCertVerifiersAnnexI][15][AccredCertScope]",Submission!$O:$O,Submission!$H:$N,""))</f>
        <v/>
      </c>
      <c r="D31" s="413"/>
      <c r="E31" s="413"/>
      <c r="F31" s="413"/>
      <c r="G31" s="414"/>
      <c r="H31" s="132" t="str">
        <f>_xlfn.CONCAT(_xlfn.XLOOKUP("[S06_AccredCertVerifiersAnnexI][15][NumberAccredited]",Submission!$O:$O,Submission!$H:$N,""))</f>
        <v/>
      </c>
      <c r="I31" s="132" t="str">
        <f>_xlfn.CONCAT(_xlfn.XLOOKUP("[S06_AccredCertVerifiersAnnexI][15][NumberCertified]",Submission!$O:$O,Submission!$H:$N,""))</f>
        <v/>
      </c>
    </row>
    <row r="32" spans="2:9" ht="27.6" hidden="1" customHeight="1" outlineLevel="1" x14ac:dyDescent="0.3">
      <c r="B32" s="20"/>
      <c r="C32" s="412" t="str">
        <f>_xlfn.CONCAT(_xlfn.XLOOKUP("[S06_AccredCertVerifiersAnnexI][16][AccredCertScope]",Submission!$O:$O,Submission!$H:$N,""))</f>
        <v/>
      </c>
      <c r="D32" s="413"/>
      <c r="E32" s="413"/>
      <c r="F32" s="413"/>
      <c r="G32" s="414"/>
      <c r="H32" s="132" t="str">
        <f>_xlfn.CONCAT(_xlfn.XLOOKUP("[S06_AccredCertVerifiersAnnexI][16][NumberAccredited]",Submission!$O:$O,Submission!$H:$N,""))</f>
        <v/>
      </c>
      <c r="I32" s="132" t="str">
        <f>_xlfn.CONCAT(_xlfn.XLOOKUP("[S06_AccredCertVerifiersAnnexI][16][NumberCertified]",Submission!$O:$O,Submission!$H:$N,""))</f>
        <v/>
      </c>
    </row>
    <row r="33" spans="2:9" ht="27.6" hidden="1" customHeight="1" outlineLevel="1" x14ac:dyDescent="0.3">
      <c r="B33" s="20"/>
      <c r="C33" s="412" t="str">
        <f>_xlfn.CONCAT(_xlfn.XLOOKUP("[S06_AccredCertVerifiersAnnexI][17][AccredCertScope]",Submission!$O:$O,Submission!$H:$N,""))</f>
        <v/>
      </c>
      <c r="D33" s="413"/>
      <c r="E33" s="413"/>
      <c r="F33" s="413"/>
      <c r="G33" s="414"/>
      <c r="H33" s="132" t="str">
        <f>_xlfn.CONCAT(_xlfn.XLOOKUP("[S06_AccredCertVerifiersAnnexI][17][NumberAccredited]",Submission!$O:$O,Submission!$H:$N,""))</f>
        <v/>
      </c>
      <c r="I33" s="132" t="str">
        <f>_xlfn.CONCAT(_xlfn.XLOOKUP("[S06_AccredCertVerifiersAnnexI][17][NumberCertified]",Submission!$O:$O,Submission!$H:$N,""))</f>
        <v/>
      </c>
    </row>
    <row r="34" spans="2:9" ht="27.6" hidden="1" customHeight="1" outlineLevel="1" x14ac:dyDescent="0.3">
      <c r="B34" s="20"/>
      <c r="C34" s="412" t="str">
        <f>_xlfn.CONCAT(_xlfn.XLOOKUP("[S06_AccredCertVerifiersAnnexI][18][AccredCertScope]",Submission!$O:$O,Submission!$H:$N,""))</f>
        <v/>
      </c>
      <c r="D34" s="413"/>
      <c r="E34" s="413"/>
      <c r="F34" s="413"/>
      <c r="G34" s="414"/>
      <c r="H34" s="132" t="str">
        <f>_xlfn.CONCAT(_xlfn.XLOOKUP("[S06_AccredCertVerifiersAnnexI][18][NumberAccredited]",Submission!$O:$O,Submission!$H:$N,""))</f>
        <v/>
      </c>
      <c r="I34" s="132" t="str">
        <f>_xlfn.CONCAT(_xlfn.XLOOKUP("[S06_AccredCertVerifiersAnnexI][18][NumberCertified]",Submission!$O:$O,Submission!$H:$N,""))</f>
        <v/>
      </c>
    </row>
    <row r="35" spans="2:9" ht="27.6" hidden="1" customHeight="1" outlineLevel="1" x14ac:dyDescent="0.3">
      <c r="B35" s="20"/>
      <c r="C35" s="412" t="str">
        <f>_xlfn.CONCAT(_xlfn.XLOOKUP("[S06_AccredCertVerifiersAnnexI][19][AccredCertScope]",Submission!$O:$O,Submission!$H:$N,""))</f>
        <v/>
      </c>
      <c r="D35" s="413"/>
      <c r="E35" s="413"/>
      <c r="F35" s="413"/>
      <c r="G35" s="414"/>
      <c r="H35" s="132" t="str">
        <f>_xlfn.CONCAT(_xlfn.XLOOKUP("[S06_AccredCertVerifiersAnnexI][19][NumberAccredited]",Submission!$O:$O,Submission!$H:$N,""))</f>
        <v/>
      </c>
      <c r="I35" s="132" t="str">
        <f>_xlfn.CONCAT(_xlfn.XLOOKUP("[S06_AccredCertVerifiersAnnexI][19][NumberCertified]",Submission!$O:$O,Submission!$H:$N,""))</f>
        <v/>
      </c>
    </row>
    <row r="36" spans="2:9" ht="27.6" hidden="1" customHeight="1" outlineLevel="1" x14ac:dyDescent="0.3">
      <c r="B36" s="20"/>
      <c r="C36" s="412" t="str">
        <f>_xlfn.CONCAT(_xlfn.XLOOKUP("[S06_AccredCertVerifiersAnnexI][20][AccredCertScope]",Submission!$O:$O,Submission!$H:$N,""))</f>
        <v/>
      </c>
      <c r="D36" s="413"/>
      <c r="E36" s="413"/>
      <c r="F36" s="413"/>
      <c r="G36" s="414"/>
      <c r="H36" s="132" t="str">
        <f>_xlfn.CONCAT(_xlfn.XLOOKUP("[S06_AccredCertVerifiersAnnexI][20][NumberAccredited]",Submission!$O:$O,Submission!$H:$N,""))</f>
        <v/>
      </c>
      <c r="I36" s="132" t="str">
        <f>_xlfn.CONCAT(_xlfn.XLOOKUP("[S06_AccredCertVerifiersAnnexI][20][NumberCertified]",Submission!$O:$O,Submission!$H:$N,""))</f>
        <v/>
      </c>
    </row>
    <row r="37" spans="2:9" ht="27.6" hidden="1" customHeight="1" outlineLevel="1" x14ac:dyDescent="0.3">
      <c r="B37" s="20"/>
      <c r="C37" s="412" t="str">
        <f>_xlfn.CONCAT(_xlfn.XLOOKUP("[S06_AccredCertVerifiersAnnexI][21][AccredCertScope]",Submission!$O:$O,Submission!$H:$N,""))</f>
        <v/>
      </c>
      <c r="D37" s="413"/>
      <c r="E37" s="413"/>
      <c r="F37" s="413"/>
      <c r="G37" s="414"/>
      <c r="H37" s="132" t="str">
        <f>_xlfn.CONCAT(_xlfn.XLOOKUP("[S06_AccredCertVerifiersAnnexI][21][NumberAccredited]",Submission!$O:$O,Submission!$H:$N,""))</f>
        <v/>
      </c>
      <c r="I37" s="132" t="str">
        <f>_xlfn.CONCAT(_xlfn.XLOOKUP("[S06_AccredCertVerifiersAnnexI][21][NumberCertified]",Submission!$O:$O,Submission!$H:$N,""))</f>
        <v/>
      </c>
    </row>
    <row r="38" spans="2:9" ht="27.6" hidden="1" customHeight="1" outlineLevel="1" x14ac:dyDescent="0.3">
      <c r="B38" s="20"/>
      <c r="C38" s="412" t="str">
        <f>_xlfn.CONCAT(_xlfn.XLOOKUP("[S06_AccredCertVerifiersAnnexI][22][AccredCertScope]",Submission!$O:$O,Submission!$H:$N,""))</f>
        <v/>
      </c>
      <c r="D38" s="413"/>
      <c r="E38" s="413"/>
      <c r="F38" s="413"/>
      <c r="G38" s="414"/>
      <c r="H38" s="132" t="str">
        <f>_xlfn.CONCAT(_xlfn.XLOOKUP("[S06_AccredCertVerifiersAnnexI][22][NumberAccredited]",Submission!$O:$O,Submission!$H:$N,""))</f>
        <v/>
      </c>
      <c r="I38" s="132" t="str">
        <f>_xlfn.CONCAT(_xlfn.XLOOKUP("[S06_AccredCertVerifiersAnnexI][22][NumberCertified]",Submission!$O:$O,Submission!$H:$N,""))</f>
        <v/>
      </c>
    </row>
    <row r="39" spans="2:9" ht="27.6" hidden="1" customHeight="1" outlineLevel="1" x14ac:dyDescent="0.3">
      <c r="B39" s="20"/>
      <c r="C39" s="412" t="str">
        <f>_xlfn.CONCAT(_xlfn.XLOOKUP("[S06_AccredCertVerifiersAnnexI][23][AccredCertScope]",Submission!$O:$O,Submission!$H:$N,""))</f>
        <v/>
      </c>
      <c r="D39" s="413"/>
      <c r="E39" s="413"/>
      <c r="F39" s="413"/>
      <c r="G39" s="414"/>
      <c r="H39" s="132" t="str">
        <f>_xlfn.CONCAT(_xlfn.XLOOKUP("[S06_AccredCertVerifiersAnnexI][23][NumberAccredited]",Submission!$O:$O,Submission!$H:$N,""))</f>
        <v/>
      </c>
      <c r="I39" s="132" t="str">
        <f>_xlfn.CONCAT(_xlfn.XLOOKUP("[S06_AccredCertVerifiersAnnexI][23][NumberCertified]",Submission!$O:$O,Submission!$H:$N,""))</f>
        <v/>
      </c>
    </row>
    <row r="40" spans="2:9" ht="27.6" hidden="1" customHeight="1" outlineLevel="1" x14ac:dyDescent="0.3">
      <c r="B40" s="20"/>
      <c r="C40" s="412" t="str">
        <f>_xlfn.CONCAT(_xlfn.XLOOKUP("[S06_AccredCertVerifiersAnnexI][24][AccredCertScope]",Submission!$O:$O,Submission!$H:$N,""))</f>
        <v/>
      </c>
      <c r="D40" s="413"/>
      <c r="E40" s="413"/>
      <c r="F40" s="413"/>
      <c r="G40" s="414"/>
      <c r="H40" s="132" t="str">
        <f>_xlfn.CONCAT(_xlfn.XLOOKUP("[S06_AccredCertVerifiersAnnexI][24][NumberAccredited]",Submission!$O:$O,Submission!$H:$N,""))</f>
        <v/>
      </c>
      <c r="I40" s="132" t="str">
        <f>_xlfn.CONCAT(_xlfn.XLOOKUP("[S06_AccredCertVerifiersAnnexI][24][NumberCertified]",Submission!$O:$O,Submission!$H:$N,""))</f>
        <v/>
      </c>
    </row>
    <row r="41" spans="2:9" ht="27.6" hidden="1" customHeight="1" outlineLevel="1" x14ac:dyDescent="0.3">
      <c r="B41" s="20"/>
      <c r="C41" s="412" t="str">
        <f>_xlfn.CONCAT(_xlfn.XLOOKUP("[S06_AccredCertVerifiersAnnexI][25][AccredCertScope]",Submission!$O:$O,Submission!$H:$N,""))</f>
        <v/>
      </c>
      <c r="D41" s="413"/>
      <c r="E41" s="413"/>
      <c r="F41" s="413"/>
      <c r="G41" s="414"/>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2" t="str">
        <f>_xlfn.CONCAT(_xlfn.XLOOKUP("[S06_AccredCertVerifiersAnnexI][26][AccredCertScope]",Submission!$O:$O,Submission!$H:$N,""))</f>
        <v/>
      </c>
      <c r="D42" s="413"/>
      <c r="E42" s="413"/>
      <c r="F42" s="413"/>
      <c r="G42" s="414"/>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2" t="str">
        <f>_xlfn.CONCAT(_xlfn.XLOOKUP("[S06_AccredCertVerifiersAnnexI][27][AccredCertScope]",Submission!$O:$O,Submission!$H:$N,""))</f>
        <v/>
      </c>
      <c r="D43" s="413"/>
      <c r="E43" s="413"/>
      <c r="F43" s="413"/>
      <c r="G43" s="414"/>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2" t="str">
        <f>_xlfn.CONCAT(_xlfn.XLOOKUP("[S06_AccredCertVerifiersAnnexI][28][AccredCertScope]",Submission!$O:$O,Submission!$H:$N,""))</f>
        <v/>
      </c>
      <c r="D44" s="413"/>
      <c r="E44" s="413"/>
      <c r="F44" s="413"/>
      <c r="G44" s="414"/>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2" t="str">
        <f>_xlfn.CONCAT(_xlfn.XLOOKUP("[S06_AccredCertVerifiersAnnexI][29][AccredCertScope]",Submission!$O:$O,Submission!$H:$N,""))</f>
        <v/>
      </c>
      <c r="D45" s="413"/>
      <c r="E45" s="413"/>
      <c r="F45" s="413"/>
      <c r="G45" s="414"/>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2" t="str">
        <f>_xlfn.CONCAT(_xlfn.XLOOKUP("[S06_AccredCertVerifiersAnnexI][30][AccredCertScope]",Submission!$O:$O,Submission!$H:$N,""))</f>
        <v/>
      </c>
      <c r="D46" s="413"/>
      <c r="E46" s="413"/>
      <c r="F46" s="413"/>
      <c r="G46" s="414"/>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2" t="str">
        <f>_xlfn.CONCAT(_xlfn.XLOOKUP("[S06_AccredCertVerifiersAnnexI][31][AccredCertScope]",Submission!$O:$O,Submission!$H:$N,""))</f>
        <v/>
      </c>
      <c r="D47" s="413"/>
      <c r="E47" s="413"/>
      <c r="F47" s="413"/>
      <c r="G47" s="414"/>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2" t="str">
        <f>_xlfn.CONCAT(_xlfn.XLOOKUP("[S06_AccredCertVerifiersAnnexI][32][AccredCertScope]",Submission!$O:$O,Submission!$H:$N,""))</f>
        <v/>
      </c>
      <c r="D48" s="413"/>
      <c r="E48" s="413"/>
      <c r="F48" s="413"/>
      <c r="G48" s="414"/>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2" t="str">
        <f>_xlfn.CONCAT(_xlfn.XLOOKUP("[S06_AccredCertVerifiersAnnexI][33][AccredCertScope]",Submission!$O:$O,Submission!$H:$N,""))</f>
        <v/>
      </c>
      <c r="D49" s="413"/>
      <c r="E49" s="413"/>
      <c r="F49" s="413"/>
      <c r="G49" s="414"/>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2" t="str">
        <f>_xlfn.CONCAT(_xlfn.XLOOKUP("[S06_AccredCertVerifiersAnnexI][34][AccredCertScope]",Submission!$O:$O,Submission!$H:$N,""))</f>
        <v/>
      </c>
      <c r="D50" s="413"/>
      <c r="E50" s="413"/>
      <c r="F50" s="413"/>
      <c r="G50" s="414"/>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40" t="s">
        <v>1001</v>
      </c>
      <c r="C53" s="294"/>
      <c r="D53" s="294"/>
      <c r="E53" s="294"/>
      <c r="F53" s="294"/>
      <c r="G53" s="294"/>
      <c r="H53" s="294"/>
      <c r="I53" s="294"/>
    </row>
    <row r="54" spans="1:9" ht="15.9" customHeight="1" x14ac:dyDescent="0.3">
      <c r="A54" s="13"/>
      <c r="C54" s="303" t="s">
        <v>1002</v>
      </c>
      <c r="D54" s="304"/>
      <c r="E54" s="304"/>
      <c r="F54" s="304"/>
      <c r="G54" s="304"/>
      <c r="H54" s="304"/>
      <c r="I54" s="305"/>
    </row>
    <row r="55" spans="1:9" ht="43.95" customHeight="1" x14ac:dyDescent="0.3">
      <c r="A55" s="13"/>
      <c r="C55" s="434" t="s">
        <v>1003</v>
      </c>
      <c r="D55" s="435"/>
      <c r="E55" s="435"/>
      <c r="F55" s="436"/>
      <c r="G55" s="303" t="s">
        <v>1004</v>
      </c>
      <c r="H55" s="305"/>
      <c r="I55" s="42" t="s">
        <v>1005</v>
      </c>
    </row>
    <row r="56" spans="1:9" ht="24" customHeight="1" x14ac:dyDescent="0.3">
      <c r="A56" s="13"/>
      <c r="C56" s="437"/>
      <c r="D56" s="438"/>
      <c r="E56" s="438"/>
      <c r="F56" s="439"/>
      <c r="G56" s="284" t="str">
        <f>_xlfn.CONCAT(_xlfn.XLOOKUP("[S06_ApplicationInformationExchangeRequirements1][1][FromOwnMS]",Submission!$O:$O,Submission!$H:$N,""))</f>
        <v/>
      </c>
      <c r="H56" s="285"/>
      <c r="I56" s="47" t="str">
        <f>_xlfn.CONCAT(_xlfn.XLOOKUP("[S06_ApplicationInformationExchangeRequirements1][1][FromOtherMS]",Submission!$O:$O,Submission!$H:$N,""))</f>
        <v>Partially</v>
      </c>
    </row>
    <row r="57" spans="1:9" ht="43.95" customHeight="1" x14ac:dyDescent="0.3">
      <c r="A57" s="13"/>
      <c r="C57" s="434" t="s">
        <v>1006</v>
      </c>
      <c r="D57" s="435"/>
      <c r="E57" s="435"/>
      <c r="F57" s="436"/>
      <c r="G57" s="303" t="s">
        <v>1004</v>
      </c>
      <c r="H57" s="305"/>
      <c r="I57" s="42" t="s">
        <v>1005</v>
      </c>
    </row>
    <row r="58" spans="1:9" ht="24" customHeight="1" x14ac:dyDescent="0.3">
      <c r="A58" s="13"/>
      <c r="C58" s="437"/>
      <c r="D58" s="438"/>
      <c r="E58" s="438"/>
      <c r="F58" s="439"/>
      <c r="G58" s="284" t="str">
        <f>_xlfn.CONCAT(_xlfn.XLOOKUP("[S06_ApplicationInformationExchangeRequirements1][2][FromOwnMS]",Submission!$O:$O,Submission!$H:$N,""))</f>
        <v/>
      </c>
      <c r="H58" s="285"/>
      <c r="I58" s="47" t="str">
        <f>_xlfn.CONCAT(_xlfn.XLOOKUP("[S06_ApplicationInformationExchangeRequirements1][2][FromOtherMS]",Submission!$O:$O,Submission!$H:$N,""))</f>
        <v>Partially</v>
      </c>
    </row>
    <row r="59" spans="1:9" ht="43.95" customHeight="1" x14ac:dyDescent="0.3">
      <c r="A59" s="13"/>
      <c r="C59" s="434" t="s">
        <v>1007</v>
      </c>
      <c r="D59" s="435"/>
      <c r="E59" s="435"/>
      <c r="F59" s="436"/>
      <c r="G59" s="303" t="s">
        <v>1008</v>
      </c>
      <c r="H59" s="305"/>
      <c r="I59" s="42" t="s">
        <v>1009</v>
      </c>
    </row>
    <row r="60" spans="1:9" ht="24" customHeight="1" x14ac:dyDescent="0.3">
      <c r="A60" s="13"/>
      <c r="C60" s="437"/>
      <c r="D60" s="438"/>
      <c r="E60" s="438"/>
      <c r="F60" s="439"/>
      <c r="G60" s="284" t="str">
        <f>_xlfn.CONCAT(_xlfn.XLOOKUP("[S06_ApplicationInformationExchangeRequirements1][3][FromOwnMS]",Submission!$O:$O,Submission!$H:$N,""))</f>
        <v/>
      </c>
      <c r="H60" s="285"/>
      <c r="I60" s="47" t="str">
        <f>_xlfn.CONCAT(_xlfn.XLOOKUP("[S06_ApplicationInformationExchangeRequirements1][3][FromOtherMS]",Submission!$O:$O,Submission!$H:$N,""))</f>
        <v/>
      </c>
    </row>
    <row r="61" spans="1:9" ht="26.4" customHeight="1" x14ac:dyDescent="0.3">
      <c r="A61" s="13"/>
      <c r="C61" s="434" t="s">
        <v>1010</v>
      </c>
      <c r="D61" s="435"/>
      <c r="E61" s="435"/>
      <c r="F61" s="436"/>
      <c r="G61" s="42" t="s">
        <v>1011</v>
      </c>
      <c r="H61" s="42" t="s">
        <v>1012</v>
      </c>
      <c r="I61" s="42" t="s">
        <v>1013</v>
      </c>
    </row>
    <row r="62" spans="1:9" ht="24" customHeight="1" x14ac:dyDescent="0.3">
      <c r="A62" s="13"/>
      <c r="C62" s="437"/>
      <c r="D62" s="438"/>
      <c r="E62" s="438"/>
      <c r="F62" s="439"/>
      <c r="G62" s="105" t="str">
        <f>_xlfn.CONCAT(_xlfn.XLOOKUP("[S06_ApplicationInformationExchangeRequirements2][1][NumberImposedOnVerifiersSuspension]",Submission!$O:$O,Submission!$H:$N,""))</f>
        <v/>
      </c>
      <c r="H62" s="105" t="str">
        <f>_xlfn.CONCAT(_xlfn.XLOOKUP("[S06_ApplicationInformationExchangeRequirements2][1][NumberImposedOnVerifiersWithdrawal]",Submission!$O:$O,Submission!$H:$N,""))</f>
        <v/>
      </c>
      <c r="I62" s="105" t="str">
        <f>_xlfn.CONCAT(_xlfn.XLOOKUP("[S06_ApplicationInformationExchangeRequirements2][1][NumberImposedOnVerifiersReductionOfScope]",Submission!$O:$O,Submission!$H:$N,""))</f>
        <v/>
      </c>
    </row>
    <row r="63" spans="1:9" ht="26.4" customHeight="1" x14ac:dyDescent="0.3">
      <c r="A63" s="13"/>
      <c r="C63" s="434" t="s">
        <v>1014</v>
      </c>
      <c r="D63" s="435"/>
      <c r="E63" s="435"/>
      <c r="F63" s="436"/>
      <c r="G63" s="42" t="s">
        <v>1011</v>
      </c>
      <c r="H63" s="42" t="s">
        <v>1012</v>
      </c>
      <c r="I63" s="42" t="s">
        <v>1013</v>
      </c>
    </row>
    <row r="64" spans="1:9" ht="24" customHeight="1" x14ac:dyDescent="0.3">
      <c r="A64" s="13"/>
      <c r="C64" s="437"/>
      <c r="D64" s="438"/>
      <c r="E64" s="438"/>
      <c r="F64" s="439"/>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6" t="s">
        <v>1015</v>
      </c>
      <c r="D65" s="263"/>
      <c r="E65" s="263"/>
      <c r="F65" s="264"/>
      <c r="G65" s="341" t="str">
        <f>_xlfn.CONCAT(_xlfn.XLOOKUP("[S06_ApplicationInformationExchangeRequirements3][0][TimesSurveillanceRequested]",Submission!$O:$O,Submission!$H:$N,""))</f>
        <v>0</v>
      </c>
      <c r="H65" s="355"/>
      <c r="I65" s="356"/>
    </row>
    <row r="66" spans="1:9" ht="43.95" customHeight="1" x14ac:dyDescent="0.3">
      <c r="A66" s="13"/>
      <c r="C66" s="434" t="s">
        <v>1016</v>
      </c>
      <c r="D66" s="435"/>
      <c r="E66" s="435"/>
      <c r="F66" s="436"/>
      <c r="G66" s="42" t="s">
        <v>1017</v>
      </c>
      <c r="H66" s="42" t="s">
        <v>1018</v>
      </c>
      <c r="I66" s="42" t="s">
        <v>1019</v>
      </c>
    </row>
    <row r="67" spans="1:9" ht="24" customHeight="1" x14ac:dyDescent="0.3">
      <c r="A67" s="13"/>
      <c r="C67" s="437"/>
      <c r="D67" s="438"/>
      <c r="E67" s="438"/>
      <c r="F67" s="439"/>
      <c r="G67" s="105" t="str">
        <f>_xlfn.CONCAT(_xlfn.XLOOKUP("[S06_ApplicationInformationExchangeRequirements4][1][NumberOfIssues]",Submission!$O:$O,Submission!$H:$N,""))</f>
        <v>0</v>
      </c>
      <c r="H67" s="105" t="str">
        <f>_xlfn.CONCAT(_xlfn.XLOOKUP("[S06_ApplicationInformationExchangeRequirements4][1][NumberOfIssuesResolved]",Submission!$O:$O,Submission!$H:$N,""))</f>
        <v/>
      </c>
      <c r="I67" s="105" t="str">
        <f>_xlfn.CONCAT(_xlfn.XLOOKUP("[S06_ApplicationInformationExchangeRequirements4][1][NumberOfPriorIssuesResolved]",Submission!$O:$O,Submission!$H:$N,""))</f>
        <v/>
      </c>
    </row>
    <row r="68" spans="1:9" ht="43.95" customHeight="1" x14ac:dyDescent="0.3">
      <c r="C68" s="434" t="s">
        <v>1020</v>
      </c>
      <c r="D68" s="435"/>
      <c r="E68" s="435"/>
      <c r="F68" s="436"/>
      <c r="G68" s="42" t="s">
        <v>1017</v>
      </c>
      <c r="H68" s="42" t="s">
        <v>1018</v>
      </c>
      <c r="I68" s="42" t="s">
        <v>1019</v>
      </c>
    </row>
    <row r="69" spans="1:9" ht="24" customHeight="1" x14ac:dyDescent="0.3">
      <c r="A69" s="13"/>
      <c r="C69" s="437"/>
      <c r="D69" s="438"/>
      <c r="E69" s="438"/>
      <c r="F69" s="439"/>
      <c r="G69" s="105" t="str">
        <f>_xlfn.CONCAT(_xlfn.XLOOKUP("[S06_ApplicationInformationExchangeRequirements4][2][NumberOfIssues]",Submission!$O:$O,Submission!$H:$N,""))</f>
        <v>0</v>
      </c>
      <c r="H69" s="105" t="str">
        <f>_xlfn.CONCAT(_xlfn.XLOOKUP("[S06_ApplicationInformationExchangeRequirements4][2][NumberOfIssuesResolved]",Submission!$O:$O,Submission!$H:$N,""))</f>
        <v/>
      </c>
      <c r="I69" s="105" t="str">
        <f>_xlfn.CONCAT(_xlfn.XLOOKUP("[S06_ApplicationInformationExchangeRequirements4][2][NumberOfPriorIssuesResolved]",Submission!$O:$O,Submission!$H:$N,""))</f>
        <v/>
      </c>
    </row>
    <row r="70" spans="1:9" ht="43.95" customHeight="1" x14ac:dyDescent="0.3">
      <c r="C70" s="434" t="s">
        <v>1021</v>
      </c>
      <c r="D70" s="435"/>
      <c r="E70" s="435"/>
      <c r="F70" s="436"/>
      <c r="G70" s="42" t="s">
        <v>1022</v>
      </c>
      <c r="H70" s="42" t="s">
        <v>1018</v>
      </c>
      <c r="I70" s="42" t="s">
        <v>1019</v>
      </c>
    </row>
    <row r="71" spans="1:9" ht="24" customHeight="1" x14ac:dyDescent="0.3">
      <c r="A71" s="13"/>
      <c r="C71" s="437"/>
      <c r="D71" s="438"/>
      <c r="E71" s="438"/>
      <c r="F71" s="439"/>
      <c r="G71" s="105" t="str">
        <f>_xlfn.CONCAT(_xlfn.XLOOKUP("[S06_ApplicationInformationExchangeRequirements4][3][NumberOfIssues]",Submission!$O:$O,Submission!$H:$N,""))</f>
        <v>0</v>
      </c>
      <c r="H71" s="105" t="str">
        <f>_xlfn.CONCAT(_xlfn.XLOOKUP("[S06_ApplicationInformationExchangeRequirements4][3][NumberOfIssuesResolved]",Submission!$O:$O,Submission!$H:$N,""))</f>
        <v/>
      </c>
      <c r="I71" s="105" t="str">
        <f>_xlfn.CONCAT(_xlfn.XLOOKUP("[S06_ApplicationInformationExchangeRequirements4][3][NumberOfPriorIssuesResolved]",Submission!$O:$O,Submission!$H:$N,""))</f>
        <v/>
      </c>
    </row>
    <row r="72" spans="1:9" ht="15.9" customHeight="1" x14ac:dyDescent="0.3">
      <c r="A72" s="13"/>
      <c r="C72" s="395" t="s">
        <v>1023</v>
      </c>
      <c r="D72" s="395"/>
      <c r="E72" s="395"/>
      <c r="F72" s="395"/>
      <c r="G72" s="395"/>
      <c r="H72" s="395"/>
      <c r="I72" s="395"/>
    </row>
    <row r="73" spans="1:9" ht="15.9" customHeight="1" x14ac:dyDescent="0.3">
      <c r="A73" s="13"/>
      <c r="C73" s="248" t="s">
        <v>1024</v>
      </c>
      <c r="D73" s="248"/>
      <c r="E73" s="248"/>
      <c r="F73" s="248"/>
      <c r="G73" s="248"/>
      <c r="H73" s="248"/>
      <c r="I73" s="248"/>
    </row>
    <row r="74" spans="1:9" ht="15.9" customHeight="1" x14ac:dyDescent="0.3">
      <c r="A74" s="13"/>
      <c r="C74" s="24"/>
      <c r="D74" s="24"/>
      <c r="E74" s="24"/>
      <c r="F74" s="24"/>
      <c r="G74" s="118"/>
      <c r="H74" s="118"/>
      <c r="I74" s="24"/>
    </row>
    <row r="75" spans="1:9" ht="18.899999999999999" customHeight="1" x14ac:dyDescent="0.35">
      <c r="A75" s="85" t="s">
        <v>1025</v>
      </c>
      <c r="B75" s="325" t="s">
        <v>74</v>
      </c>
      <c r="C75" s="325"/>
      <c r="D75" s="325"/>
      <c r="E75" s="325"/>
      <c r="F75" s="325"/>
      <c r="G75" s="325"/>
      <c r="H75" s="325"/>
      <c r="I75" s="326"/>
    </row>
    <row r="76" spans="1:9" ht="36.6" customHeight="1" x14ac:dyDescent="0.3">
      <c r="A76" s="12" t="s">
        <v>365</v>
      </c>
      <c r="B76" s="328" t="s">
        <v>1026</v>
      </c>
      <c r="C76" s="329"/>
      <c r="D76" s="329"/>
      <c r="E76" s="329"/>
      <c r="F76" s="329"/>
      <c r="G76" s="329"/>
      <c r="H76" s="329"/>
      <c r="I76" s="329"/>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
      </c>
      <c r="D78" s="105" t="str">
        <f>_xlfn.CONCAT(_xlfn.XLOOKUP("[S06_InstallationsConservativeEstimates][1][InstallationAnnualEmissionstCO2e]",Submission!$O:$O,Submission!$H:$N,""))</f>
        <v/>
      </c>
      <c r="E78" s="157" t="str">
        <f>_xlfn.CONCAT(_xlfn.XLOOKUP("[S06_InstallationsConservativeEstimates][1][ReasonConservativeEstimate]",Submission!$O:$O,Submission!$H:$N,""))</f>
        <v/>
      </c>
      <c r="F78" s="183" t="str">
        <f>_xlfn.CONCAT(_xlfn.XLOOKUP("[S06_InstallationsConservativeEstimates][1][InstallationConservativeShare]",Submission!$O:$O,Submission!$H:$N,""))</f>
        <v/>
      </c>
      <c r="G78" s="72" t="str">
        <f>_xlfn.CONCAT(_xlfn.XLOOKUP("[S06_InstallationsConservativeEstimates][1][ConservativeMethod]",Submission!$O:$O,Submission!$H:$N,""))</f>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3"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3"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3"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3"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3"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3"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3"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3"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3"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3"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3"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3"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3"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3"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3"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3"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3"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3"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3"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3"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3"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3"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3"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3"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3"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3"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3"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3"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3"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3"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3"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3"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3"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3"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3"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3"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3"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3"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3"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48" t="s">
        <v>1033</v>
      </c>
      <c r="D119" s="249"/>
      <c r="E119" s="249"/>
      <c r="F119" s="249"/>
      <c r="G119" s="249"/>
      <c r="H119" s="249"/>
      <c r="I119" s="249"/>
    </row>
    <row r="120" spans="1:9" s="11" customFormat="1" ht="41.25" customHeight="1" x14ac:dyDescent="0.3">
      <c r="C120" s="248" t="s">
        <v>1034</v>
      </c>
      <c r="D120" s="249"/>
      <c r="E120" s="249"/>
      <c r="F120" s="249"/>
      <c r="G120" s="249"/>
      <c r="H120" s="249"/>
      <c r="I120" s="249"/>
    </row>
    <row r="121" spans="1:9" s="11" customFormat="1" ht="28.95" customHeight="1" x14ac:dyDescent="0.3">
      <c r="C121" s="248" t="s">
        <v>1035</v>
      </c>
      <c r="D121" s="249"/>
      <c r="E121" s="249"/>
      <c r="F121" s="249"/>
      <c r="G121" s="249"/>
      <c r="H121" s="249"/>
      <c r="I121" s="249"/>
    </row>
    <row r="122" spans="1:9" s="11" customFormat="1" ht="14.4" x14ac:dyDescent="0.3"/>
    <row r="123" spans="1:9" ht="18.600000000000001" customHeight="1" x14ac:dyDescent="0.3">
      <c r="B123" s="271" t="s">
        <v>1036</v>
      </c>
      <c r="C123" s="271"/>
      <c r="D123" s="271"/>
      <c r="E123" s="271"/>
      <c r="F123" s="271"/>
      <c r="G123" s="271"/>
      <c r="H123" s="271"/>
      <c r="I123" s="271"/>
    </row>
    <row r="124" spans="1:9" ht="15.9" customHeight="1" x14ac:dyDescent="0.3">
      <c r="C124" s="315" t="s">
        <v>1037</v>
      </c>
      <c r="D124" s="379"/>
      <c r="E124" s="379"/>
      <c r="F124" s="379"/>
      <c r="G124" s="336"/>
      <c r="H124" s="315" t="s">
        <v>76</v>
      </c>
      <c r="I124" s="317"/>
    </row>
    <row r="125" spans="1:9" ht="18" customHeight="1" x14ac:dyDescent="0.3">
      <c r="C125" s="246" t="s">
        <v>1038</v>
      </c>
      <c r="D125" s="263"/>
      <c r="E125" s="263"/>
      <c r="F125" s="263"/>
      <c r="G125" s="264"/>
      <c r="H125" s="341" t="str">
        <f>_xlfn.CONCAT(_xlfn.XLOOKUP("[S06_NegativeOpinionInstallations][1][CountNegativeOpinions]",Submission!$O:$O,Submission!$H:$N,""))</f>
        <v>0</v>
      </c>
      <c r="I125" s="356"/>
    </row>
    <row r="126" spans="1:9" ht="18" customHeight="1" x14ac:dyDescent="0.3">
      <c r="C126" s="246" t="s">
        <v>1039</v>
      </c>
      <c r="D126" s="263"/>
      <c r="E126" s="263"/>
      <c r="F126" s="263"/>
      <c r="G126" s="264"/>
      <c r="H126" s="341" t="str">
        <f>_xlfn.CONCAT(_xlfn.XLOOKUP("[S06_NegativeOpinionInstallations][2][CountNegativeOpinions]",Submission!$O:$O,Submission!$H:$N,""))</f>
        <v>0</v>
      </c>
      <c r="I126" s="356"/>
    </row>
    <row r="127" spans="1:9" ht="18" customHeight="1" x14ac:dyDescent="0.3">
      <c r="C127" s="246" t="s">
        <v>1040</v>
      </c>
      <c r="D127" s="263"/>
      <c r="E127" s="263"/>
      <c r="F127" s="263"/>
      <c r="G127" s="264"/>
      <c r="H127" s="341" t="str">
        <f>_xlfn.CONCAT(_xlfn.XLOOKUP("[S06_NegativeOpinionInstallations][3][CountNegativeOpinions]",Submission!$O:$O,Submission!$H:$N,""))</f>
        <v>0</v>
      </c>
      <c r="I127" s="356"/>
    </row>
    <row r="128" spans="1:9" ht="18" customHeight="1" x14ac:dyDescent="0.3">
      <c r="C128" s="246" t="s">
        <v>1041</v>
      </c>
      <c r="D128" s="263"/>
      <c r="E128" s="263"/>
      <c r="F128" s="263"/>
      <c r="G128" s="264"/>
      <c r="H128" s="341" t="str">
        <f>_xlfn.CONCAT(_xlfn.XLOOKUP("[S06_NegativeOpinionInstallations][4][CountNegativeOpinions]",Submission!$O:$O,Submission!$H:$N,""))</f>
        <v>0</v>
      </c>
      <c r="I128" s="356"/>
    </row>
    <row r="129" spans="1:9" ht="19.2" customHeight="1" x14ac:dyDescent="0.3">
      <c r="D129" s="11"/>
      <c r="E129" s="11"/>
      <c r="F129" s="11"/>
      <c r="G129" s="11"/>
    </row>
    <row r="130" spans="1:9" ht="32.1" customHeight="1" x14ac:dyDescent="0.3">
      <c r="A130" s="12" t="s">
        <v>376</v>
      </c>
      <c r="B130" s="293" t="s">
        <v>1042</v>
      </c>
      <c r="C130" s="294"/>
      <c r="D130" s="294"/>
      <c r="E130" s="294"/>
      <c r="F130" s="294"/>
      <c r="G130" s="294"/>
      <c r="H130" s="295"/>
      <c r="I130" s="41" t="str">
        <f>_xlfn.CONCAT(_xlfn.XLOOKUP("[InstallationsVerificationReportIssues][0][InstallationsVerificationReportIssues]",Submission!$O:$O,Submission!$H:$N,""))</f>
        <v>Yes</v>
      </c>
    </row>
    <row r="131" spans="1:9" ht="19.95" customHeight="1" x14ac:dyDescent="0.3">
      <c r="A131" s="12"/>
      <c r="B131" s="271" t="s">
        <v>1043</v>
      </c>
      <c r="C131" s="272"/>
      <c r="D131" s="272"/>
      <c r="E131" s="272"/>
      <c r="F131" s="272"/>
      <c r="G131" s="272"/>
      <c r="H131" s="272"/>
      <c r="I131" s="272"/>
    </row>
    <row r="132" spans="1:9" ht="70.2" customHeight="1" x14ac:dyDescent="0.3">
      <c r="A132" s="13"/>
      <c r="C132" s="303" t="s">
        <v>879</v>
      </c>
      <c r="D132" s="305"/>
      <c r="E132" s="303" t="s">
        <v>1044</v>
      </c>
      <c r="F132" s="305"/>
      <c r="G132" s="42" t="s">
        <v>1045</v>
      </c>
      <c r="H132" s="45" t="s">
        <v>1046</v>
      </c>
      <c r="I132" s="46" t="s">
        <v>1047</v>
      </c>
    </row>
    <row r="133" spans="1:9" ht="26.4" customHeight="1" x14ac:dyDescent="0.3">
      <c r="A133" s="13"/>
      <c r="C133" s="281" t="str">
        <f>_xlfn.CONCAT(_xlfn.XLOOKUP("[S06_InstallationsVerificationReportsIssueDetail]["&amp;1&amp;"][AnnexIActivity]",Submission!$O:$O,Submission!$H:$N,""))</f>
        <v>20 - Combustion of fuels as specified in Annex I of Directive 2003/87/EC</v>
      </c>
      <c r="D133" s="347"/>
      <c r="E133" s="281" t="str">
        <f>_xlfn.CONCAT(_xlfn.XLOOKUP("[S06_InstallationsVerificationReportsIssueDetail]["&amp;1&amp;"][TypeOfIssue]",Submission!$O:$O,Submission!$H:$N,""))</f>
        <v>Recommendations for improvement</v>
      </c>
      <c r="F133" s="347"/>
      <c r="G133" s="105" t="str">
        <f>_xlfn.CONCAT(_xlfn.XLOOKUP("[S06_InstallationsVerificationReportsIssueDetail]["&amp;1&amp;"][NumberOfInstallations]",Submission!$O:$O,Submission!$H:$N,""))</f>
        <v>1</v>
      </c>
      <c r="H133" s="108" t="str">
        <f>_xlfn.CONCAT(_xlfn.XLOOKUP("[S06_InstallationsVerificationReportsIssueDetail]["&amp;1&amp;"][NumberOfIssues]",Submission!$O:$O,Submission!$H:$N,""))</f>
        <v>1</v>
      </c>
      <c r="I133" s="183" t="str">
        <f>_xlfn.CONCAT(_xlfn.XLOOKUP("[S06_InstallationsVerificationReportsIssueDetail]["&amp;1&amp;"][ShareOfReportsConservativeEstimate]",Submission!$O:$O,Submission!$H:$N,""))</f>
        <v>0</v>
      </c>
    </row>
    <row r="134" spans="1:9" ht="26.4" customHeight="1" x14ac:dyDescent="0.3">
      <c r="A134" s="13"/>
      <c r="C134" s="281" t="str">
        <f>_xlfn.CONCAT(_xlfn.XLOOKUP("[S06_InstallationsVerificationReportsIssueDetail]["&amp;1+ROW(B134)-ROW($B$133)&amp;"][AnnexIActivity]",Submission!$O:$O,Submission!$H:$N,""))</f>
        <v/>
      </c>
      <c r="D134" s="347"/>
      <c r="E134" s="281" t="str">
        <f>_xlfn.CONCAT(_xlfn.XLOOKUP("[S06_InstallationsVerificationReportsIssueDetail]["&amp;1+ROW(B134)-ROW($B$133)&amp;"][TypeOfIssue]",Submission!$O:$O,Submission!$H:$N,""))</f>
        <v/>
      </c>
      <c r="F134" s="347"/>
      <c r="G134" s="105" t="str">
        <f>_xlfn.CONCAT(_xlfn.XLOOKUP("[S06_InstallationsVerificationReportsIssueDetail]["&amp;1+ROW(B134)-ROW($B$133)&amp;"][NumberOfInstallations]",Submission!$O:$O,Submission!$H:$N,""))</f>
        <v/>
      </c>
      <c r="H134" s="108" t="str">
        <f>_xlfn.CONCAT(_xlfn.XLOOKUP("[S06_InstallationsVerificationReportsIssueDetail]["&amp;1+ROW(B134)-ROW($B$133)&amp;"][NumberOfIssues]",Submission!$O:$O,Submission!$H:$N,""))</f>
        <v/>
      </c>
      <c r="I134" s="183" t="str">
        <f>_xlfn.CONCAT(_xlfn.XLOOKUP("[S06_InstallationsVerificationReportsIssueDetail]["&amp;1+ROW(B134)-ROW($B$133)&amp;"][ShareOfReportsConservativeEstimate]",Submission!$O:$O,Submission!$H:$N,""))</f>
        <v/>
      </c>
    </row>
    <row r="135" spans="1:9" ht="26.4" customHeight="1" x14ac:dyDescent="0.3">
      <c r="A135" s="13"/>
      <c r="C135" s="281" t="str">
        <f>_xlfn.CONCAT(_xlfn.XLOOKUP("[S06_InstallationsVerificationReportsIssueDetail]["&amp;1+ROW(B135)-ROW($B$133)&amp;"][AnnexIActivity]",Submission!$O:$O,Submission!$H:$N,""))</f>
        <v/>
      </c>
      <c r="D135" s="347"/>
      <c r="E135" s="281" t="str">
        <f>_xlfn.CONCAT(_xlfn.XLOOKUP("[S06_InstallationsVerificationReportsIssueDetail]["&amp;1+ROW(B135)-ROW($B$133)&amp;"][TypeOfIssue]",Submission!$O:$O,Submission!$H:$N,""))</f>
        <v/>
      </c>
      <c r="F135" s="347"/>
      <c r="G135" s="105" t="str">
        <f>_xlfn.CONCAT(_xlfn.XLOOKUP("[S06_InstallationsVerificationReportsIssueDetail]["&amp;1+ROW(B135)-ROW($B$133)&amp;"][NumberOfInstallations]",Submission!$O:$O,Submission!$H:$N,""))</f>
        <v/>
      </c>
      <c r="H135" s="108" t="str">
        <f>_xlfn.CONCAT(_xlfn.XLOOKUP("[S06_InstallationsVerificationReportsIssueDetail]["&amp;1+ROW(B135)-ROW($B$133)&amp;"][NumberOfIssues]",Submission!$O:$O,Submission!$H:$N,""))</f>
        <v/>
      </c>
      <c r="I135" s="183" t="str">
        <f>_xlfn.CONCAT(_xlfn.XLOOKUP("[S06_InstallationsVerificationReportsIssueDetail]["&amp;1+ROW(B135)-ROW($B$133)&amp;"][ShareOfReportsConservativeEstimate]",Submission!$O:$O,Submission!$H:$N,""))</f>
        <v/>
      </c>
    </row>
    <row r="136" spans="1:9" ht="26.4" customHeight="1" x14ac:dyDescent="0.3">
      <c r="A136" s="13"/>
      <c r="C136" s="281" t="str">
        <f>_xlfn.CONCAT(_xlfn.XLOOKUP("[S06_InstallationsVerificationReportsIssueDetail]["&amp;1+ROW(B136)-ROW($B$133)&amp;"][AnnexIActivity]",Submission!$O:$O,Submission!$H:$N,""))</f>
        <v/>
      </c>
      <c r="D136" s="347"/>
      <c r="E136" s="281" t="str">
        <f>_xlfn.CONCAT(_xlfn.XLOOKUP("[S06_InstallationsVerificationReportsIssueDetail]["&amp;1+ROW(B136)-ROW($B$133)&amp;"][TypeOfIssue]",Submission!$O:$O,Submission!$H:$N,""))</f>
        <v/>
      </c>
      <c r="F136" s="347"/>
      <c r="G136" s="105" t="str">
        <f>_xlfn.CONCAT(_xlfn.XLOOKUP("[S06_InstallationsVerificationReportsIssueDetail]["&amp;1+ROW(B136)-ROW($B$133)&amp;"][NumberOfInstallations]",Submission!$O:$O,Submission!$H:$N,""))</f>
        <v/>
      </c>
      <c r="H136" s="108" t="str">
        <f>_xlfn.CONCAT(_xlfn.XLOOKUP("[S06_InstallationsVerificationReportsIssueDetail]["&amp;1+ROW(B136)-ROW($B$133)&amp;"][NumberOfIssues]",Submission!$O:$O,Submission!$H:$N,""))</f>
        <v/>
      </c>
      <c r="I136" s="183" t="str">
        <f>_xlfn.CONCAT(_xlfn.XLOOKUP("[S06_InstallationsVerificationReportsIssueDetail]["&amp;1+ROW(B136)-ROW($B$133)&amp;"][ShareOfReportsConservativeEstimate]",Submission!$O:$O,Submission!$H:$N,""))</f>
        <v/>
      </c>
    </row>
    <row r="137" spans="1:9" ht="26.4" customHeight="1" x14ac:dyDescent="0.3">
      <c r="A137" s="13"/>
      <c r="C137" s="281" t="str">
        <f>_xlfn.CONCAT(_xlfn.XLOOKUP("[S06_InstallationsVerificationReportsIssueDetail]["&amp;1+ROW(B137)-ROW($B$133)&amp;"][AnnexIActivity]",Submission!$O:$O,Submission!$H:$N,""))</f>
        <v/>
      </c>
      <c r="D137" s="347"/>
      <c r="E137" s="281" t="str">
        <f>_xlfn.CONCAT(_xlfn.XLOOKUP("[S06_InstallationsVerificationReportsIssueDetail]["&amp;1+ROW(B137)-ROW($B$133)&amp;"][TypeOfIssue]",Submission!$O:$O,Submission!$H:$N,""))</f>
        <v/>
      </c>
      <c r="F137" s="347"/>
      <c r="G137" s="105" t="str">
        <f>_xlfn.CONCAT(_xlfn.XLOOKUP("[S06_InstallationsVerificationReportsIssueDetail]["&amp;1+ROW(B137)-ROW($B$133)&amp;"][NumberOfInstallations]",Submission!$O:$O,Submission!$H:$N,""))</f>
        <v/>
      </c>
      <c r="H137" s="108" t="str">
        <f>_xlfn.CONCAT(_xlfn.XLOOKUP("[S06_InstallationsVerificationReportsIssueDetail]["&amp;1+ROW(B137)-ROW($B$133)&amp;"][NumberOfIssues]",Submission!$O:$O,Submission!$H:$N,""))</f>
        <v/>
      </c>
      <c r="I137" s="183" t="str">
        <f>_xlfn.CONCAT(_xlfn.XLOOKUP("[S06_InstallationsVerificationReportsIssueDetail]["&amp;1+ROW(B137)-ROW($B$133)&amp;"][ShareOfReportsConservativeEstimate]",Submission!$O:$O,Submission!$H:$N,""))</f>
        <v/>
      </c>
    </row>
    <row r="138" spans="1:9" ht="26.4" customHeight="1" x14ac:dyDescent="0.3">
      <c r="A138" s="13"/>
      <c r="C138" s="281" t="str">
        <f>_xlfn.CONCAT(_xlfn.XLOOKUP("[S06_InstallationsVerificationReportsIssueDetail]["&amp;1+ROW(B138)-ROW($B$133)&amp;"][AnnexIActivity]",Submission!$O:$O,Submission!$H:$N,""))</f>
        <v/>
      </c>
      <c r="D138" s="347"/>
      <c r="E138" s="281" t="str">
        <f>_xlfn.CONCAT(_xlfn.XLOOKUP("[S06_InstallationsVerificationReportsIssueDetail]["&amp;1+ROW(B138)-ROW($B$133)&amp;"][TypeOfIssue]",Submission!$O:$O,Submission!$H:$N,""))</f>
        <v/>
      </c>
      <c r="F138" s="347"/>
      <c r="G138" s="105" t="str">
        <f>_xlfn.CONCAT(_xlfn.XLOOKUP("[S06_InstallationsVerificationReportsIssueDetail]["&amp;1+ROW(B138)-ROW($B$133)&amp;"][NumberOfInstallations]",Submission!$O:$O,Submission!$H:$N,""))</f>
        <v/>
      </c>
      <c r="H138" s="108" t="str">
        <f>_xlfn.CONCAT(_xlfn.XLOOKUP("[S06_InstallationsVerificationReportsIssueDetail]["&amp;1+ROW(B138)-ROW($B$133)&amp;"][NumberOfIssues]",Submission!$O:$O,Submission!$H:$N,""))</f>
        <v/>
      </c>
      <c r="I138" s="183" t="str">
        <f>_xlfn.CONCAT(_xlfn.XLOOKUP("[S06_InstallationsVerificationReportsIssueDetail]["&amp;1+ROW(B138)-ROW($B$133)&amp;"][ShareOfReportsConservativeEstimate]",Submission!$O:$O,Submission!$H:$N,""))</f>
        <v/>
      </c>
    </row>
    <row r="139" spans="1:9" ht="26.4" customHeight="1" x14ac:dyDescent="0.3">
      <c r="A139" s="13"/>
      <c r="C139" s="281" t="str">
        <f>_xlfn.CONCAT(_xlfn.XLOOKUP("[S06_InstallationsVerificationReportsIssueDetail]["&amp;1+ROW(B139)-ROW($B$133)&amp;"][AnnexIActivity]",Submission!$O:$O,Submission!$H:$N,""))</f>
        <v/>
      </c>
      <c r="D139" s="347"/>
      <c r="E139" s="281" t="str">
        <f>_xlfn.CONCAT(_xlfn.XLOOKUP("[S06_InstallationsVerificationReportsIssueDetail]["&amp;1+ROW(B139)-ROW($B$133)&amp;"][TypeOfIssue]",Submission!$O:$O,Submission!$H:$N,""))</f>
        <v/>
      </c>
      <c r="F139" s="347"/>
      <c r="G139" s="105" t="str">
        <f>_xlfn.CONCAT(_xlfn.XLOOKUP("[S06_InstallationsVerificationReportsIssueDetail]["&amp;1+ROW(B139)-ROW($B$133)&amp;"][NumberOfInstallations]",Submission!$O:$O,Submission!$H:$N,""))</f>
        <v/>
      </c>
      <c r="H139" s="108" t="str">
        <f>_xlfn.CONCAT(_xlfn.XLOOKUP("[S06_InstallationsVerificationReportsIssueDetail]["&amp;1+ROW(B139)-ROW($B$133)&amp;"][NumberOfIssues]",Submission!$O:$O,Submission!$H:$N,""))</f>
        <v/>
      </c>
      <c r="I139" s="183" t="str">
        <f>_xlfn.CONCAT(_xlfn.XLOOKUP("[S06_InstallationsVerificationReportsIssueDetail]["&amp;1+ROW(B139)-ROW($B$133)&amp;"][ShareOfReportsConservativeEstimate]",Submission!$O:$O,Submission!$H:$N,""))</f>
        <v/>
      </c>
    </row>
    <row r="140" spans="1:9" ht="26.4" customHeight="1" x14ac:dyDescent="0.3">
      <c r="A140" s="13"/>
      <c r="C140" s="281" t="str">
        <f>_xlfn.CONCAT(_xlfn.XLOOKUP("[S06_InstallationsVerificationReportsIssueDetail]["&amp;1+ROW(B140)-ROW($B$133)&amp;"][AnnexIActivity]",Submission!$O:$O,Submission!$H:$N,""))</f>
        <v/>
      </c>
      <c r="D140" s="347"/>
      <c r="E140" s="281" t="str">
        <f>_xlfn.CONCAT(_xlfn.XLOOKUP("[S06_InstallationsVerificationReportsIssueDetail]["&amp;1+ROW(B140)-ROW($B$133)&amp;"][TypeOfIssue]",Submission!$O:$O,Submission!$H:$N,""))</f>
        <v/>
      </c>
      <c r="F140" s="347"/>
      <c r="G140" s="105" t="str">
        <f>_xlfn.CONCAT(_xlfn.XLOOKUP("[S06_InstallationsVerificationReportsIssueDetail]["&amp;1+ROW(B140)-ROW($B$133)&amp;"][NumberOfInstallations]",Submission!$O:$O,Submission!$H:$N,""))</f>
        <v/>
      </c>
      <c r="H140" s="108" t="str">
        <f>_xlfn.CONCAT(_xlfn.XLOOKUP("[S06_InstallationsVerificationReportsIssueDetail]["&amp;1+ROW(B140)-ROW($B$133)&amp;"][NumberOfIssues]",Submission!$O:$O,Submission!$H:$N,""))</f>
        <v/>
      </c>
      <c r="I140" s="183" t="str">
        <f>_xlfn.CONCAT(_xlfn.XLOOKUP("[S06_InstallationsVerificationReportsIssueDetail]["&amp;1+ROW(B140)-ROW($B$133)&amp;"][ShareOfReportsConservativeEstimate]",Submission!$O:$O,Submission!$H:$N,""))</f>
        <v/>
      </c>
    </row>
    <row r="141" spans="1:9" ht="26.4" customHeight="1" x14ac:dyDescent="0.3">
      <c r="A141" s="13"/>
      <c r="C141" s="281" t="str">
        <f>_xlfn.CONCAT(_xlfn.XLOOKUP("[S06_InstallationsVerificationReportsIssueDetail]["&amp;1+ROW(B141)-ROW($B$133)&amp;"][AnnexIActivity]",Submission!$O:$O,Submission!$H:$N,""))</f>
        <v/>
      </c>
      <c r="D141" s="347"/>
      <c r="E141" s="281" t="str">
        <f>_xlfn.CONCAT(_xlfn.XLOOKUP("[S06_InstallationsVerificationReportsIssueDetail]["&amp;1+ROW(B141)-ROW($B$133)&amp;"][TypeOfIssue]",Submission!$O:$O,Submission!$H:$N,""))</f>
        <v/>
      </c>
      <c r="F141" s="347"/>
      <c r="G141" s="105" t="str">
        <f>_xlfn.CONCAT(_xlfn.XLOOKUP("[S06_InstallationsVerificationReportsIssueDetail]["&amp;1+ROW(B141)-ROW($B$133)&amp;"][NumberOfInstallations]",Submission!$O:$O,Submission!$H:$N,""))</f>
        <v/>
      </c>
      <c r="H141" s="108" t="str">
        <f>_xlfn.CONCAT(_xlfn.XLOOKUP("[S06_InstallationsVerificationReportsIssueDetail]["&amp;1+ROW(B141)-ROW($B$133)&amp;"][NumberOfIssues]",Submission!$O:$O,Submission!$H:$N,""))</f>
        <v/>
      </c>
      <c r="I141" s="183" t="str">
        <f>_xlfn.CONCAT(_xlfn.XLOOKUP("[S06_InstallationsVerificationReportsIssueDetail]["&amp;1+ROW(B141)-ROW($B$133)&amp;"][ShareOfReportsConservativeEstimate]",Submission!$O:$O,Submission!$H:$N,""))</f>
        <v/>
      </c>
    </row>
    <row r="142" spans="1:9" ht="26.4" customHeight="1" x14ac:dyDescent="0.3">
      <c r="A142" s="13"/>
      <c r="C142" s="281" t="str">
        <f>_xlfn.CONCAT(_xlfn.XLOOKUP("[S06_InstallationsVerificationReportsIssueDetail]["&amp;1+ROW(B142)-ROW($B$133)&amp;"][AnnexIActivity]",Submission!$O:$O,Submission!$H:$N,""))</f>
        <v/>
      </c>
      <c r="D142" s="347"/>
      <c r="E142" s="281" t="str">
        <f>_xlfn.CONCAT(_xlfn.XLOOKUP("[S06_InstallationsVerificationReportsIssueDetail]["&amp;1+ROW(B142)-ROW($B$133)&amp;"][TypeOfIssue]",Submission!$O:$O,Submission!$H:$N,""))</f>
        <v/>
      </c>
      <c r="F142" s="347"/>
      <c r="G142" s="105" t="str">
        <f>_xlfn.CONCAT(_xlfn.XLOOKUP("[S06_InstallationsVerificationReportsIssueDetail]["&amp;1+ROW(B142)-ROW($B$133)&amp;"][NumberOfInstallations]",Submission!$O:$O,Submission!$H:$N,""))</f>
        <v/>
      </c>
      <c r="H142" s="108" t="str">
        <f>_xlfn.CONCAT(_xlfn.XLOOKUP("[S06_InstallationsVerificationReportsIssueDetail]["&amp;1+ROW(B142)-ROW($B$133)&amp;"][NumberOfIssues]",Submission!$O:$O,Submission!$H:$N,""))</f>
        <v/>
      </c>
      <c r="I142" s="183" t="str">
        <f>_xlfn.CONCAT(_xlfn.XLOOKUP("[S06_InstallationsVerificationReportsIssueDetail]["&amp;1+ROW(B142)-ROW($B$133)&amp;"][ShareOfReportsConservativeEstimate]",Submission!$O:$O,Submission!$H:$N,""))</f>
        <v/>
      </c>
    </row>
    <row r="143" spans="1:9" ht="26.4" customHeight="1" x14ac:dyDescent="0.3">
      <c r="A143" s="13"/>
      <c r="C143" s="281" t="str">
        <f>_xlfn.CONCAT(_xlfn.XLOOKUP("[S06_InstallationsVerificationReportsIssueDetail]["&amp;1+ROW(B143)-ROW($B$133)&amp;"][AnnexIActivity]",Submission!$O:$O,Submission!$H:$N,""))</f>
        <v/>
      </c>
      <c r="D143" s="347"/>
      <c r="E143" s="281" t="str">
        <f>_xlfn.CONCAT(_xlfn.XLOOKUP("[S06_InstallationsVerificationReportsIssueDetail]["&amp;1+ROW(B143)-ROW($B$133)&amp;"][TypeOfIssue]",Submission!$O:$O,Submission!$H:$N,""))</f>
        <v/>
      </c>
      <c r="F143" s="347"/>
      <c r="G143" s="105" t="str">
        <f>_xlfn.CONCAT(_xlfn.XLOOKUP("[S06_InstallationsVerificationReportsIssueDetail]["&amp;1+ROW(B143)-ROW($B$133)&amp;"][NumberOfInstallations]",Submission!$O:$O,Submission!$H:$N,""))</f>
        <v/>
      </c>
      <c r="H143" s="108" t="str">
        <f>_xlfn.CONCAT(_xlfn.XLOOKUP("[S06_InstallationsVerificationReportsIssueDetail]["&amp;1+ROW(B143)-ROW($B$133)&amp;"][NumberOfIssues]",Submission!$O:$O,Submission!$H:$N,""))</f>
        <v/>
      </c>
      <c r="I143" s="183" t="str">
        <f>_xlfn.CONCAT(_xlfn.XLOOKUP("[S06_InstallationsVerificationReportsIssueDetail]["&amp;1+ROW(B143)-ROW($B$133)&amp;"][ShareOfReportsConservativeEstimate]",Submission!$O:$O,Submission!$H:$N,""))</f>
        <v/>
      </c>
    </row>
    <row r="144" spans="1:9" ht="26.4" customHeight="1" x14ac:dyDescent="0.3">
      <c r="A144" s="13"/>
      <c r="C144" s="281" t="str">
        <f>_xlfn.CONCAT(_xlfn.XLOOKUP("[S06_InstallationsVerificationReportsIssueDetail]["&amp;1+ROW(B144)-ROW($B$133)&amp;"][AnnexIActivity]",Submission!$O:$O,Submission!$H:$N,""))</f>
        <v/>
      </c>
      <c r="D144" s="347"/>
      <c r="E144" s="281" t="str">
        <f>_xlfn.CONCAT(_xlfn.XLOOKUP("[S06_InstallationsVerificationReportsIssueDetail]["&amp;1+ROW(B144)-ROW($B$133)&amp;"][TypeOfIssue]",Submission!$O:$O,Submission!$H:$N,""))</f>
        <v/>
      </c>
      <c r="F144" s="347"/>
      <c r="G144" s="105" t="str">
        <f>_xlfn.CONCAT(_xlfn.XLOOKUP("[S06_InstallationsVerificationReportsIssueDetail]["&amp;1+ROW(B144)-ROW($B$133)&amp;"][NumberOfInstallations]",Submission!$O:$O,Submission!$H:$N,""))</f>
        <v/>
      </c>
      <c r="H144" s="108" t="str">
        <f>_xlfn.CONCAT(_xlfn.XLOOKUP("[S06_InstallationsVerificationReportsIssueDetail]["&amp;1+ROW(B144)-ROW($B$133)&amp;"][NumberOfIssues]",Submission!$O:$O,Submission!$H:$N,""))</f>
        <v/>
      </c>
      <c r="I144" s="183" t="str">
        <f>_xlfn.CONCAT(_xlfn.XLOOKUP("[S06_InstallationsVerificationReportsIssueDetail]["&amp;1+ROW(B144)-ROW($B$133)&amp;"][ShareOfReportsConservativeEstimate]",Submission!$O:$O,Submission!$H:$N,""))</f>
        <v/>
      </c>
    </row>
    <row r="145" spans="1:9" ht="26.4" customHeight="1" x14ac:dyDescent="0.3">
      <c r="A145" s="13"/>
      <c r="C145" s="281" t="str">
        <f>_xlfn.CONCAT(_xlfn.XLOOKUP("[S06_InstallationsVerificationReportsIssueDetail]["&amp;1+ROW(B145)-ROW($B$133)&amp;"][AnnexIActivity]",Submission!$O:$O,Submission!$H:$N,""))</f>
        <v/>
      </c>
      <c r="D145" s="347"/>
      <c r="E145" s="281" t="str">
        <f>_xlfn.CONCAT(_xlfn.XLOOKUP("[S06_InstallationsVerificationReportsIssueDetail]["&amp;1+ROW(B145)-ROW($B$133)&amp;"][TypeOfIssue]",Submission!$O:$O,Submission!$H:$N,""))</f>
        <v/>
      </c>
      <c r="F145" s="347"/>
      <c r="G145" s="105" t="str">
        <f>_xlfn.CONCAT(_xlfn.XLOOKUP("[S06_InstallationsVerificationReportsIssueDetail]["&amp;1+ROW(B145)-ROW($B$133)&amp;"][NumberOfInstallations]",Submission!$O:$O,Submission!$H:$N,""))</f>
        <v/>
      </c>
      <c r="H145" s="108" t="str">
        <f>_xlfn.CONCAT(_xlfn.XLOOKUP("[S06_InstallationsVerificationReportsIssueDetail]["&amp;1+ROW(B145)-ROW($B$133)&amp;"][NumberOfIssues]",Submission!$O:$O,Submission!$H:$N,""))</f>
        <v/>
      </c>
      <c r="I145" s="183" t="str">
        <f>_xlfn.CONCAT(_xlfn.XLOOKUP("[S06_InstallationsVerificationReportsIssueDetail]["&amp;1+ROW(B145)-ROW($B$133)&amp;"][ShareOfReportsConservativeEstimate]",Submission!$O:$O,Submission!$H:$N,""))</f>
        <v/>
      </c>
    </row>
    <row r="146" spans="1:9" ht="26.4" customHeight="1" x14ac:dyDescent="0.3">
      <c r="A146" s="13"/>
      <c r="C146" s="281" t="str">
        <f>_xlfn.CONCAT(_xlfn.XLOOKUP("[S06_InstallationsVerificationReportsIssueDetail]["&amp;1+ROW(B146)-ROW($B$133)&amp;"][AnnexIActivity]",Submission!$O:$O,Submission!$H:$N,""))</f>
        <v/>
      </c>
      <c r="D146" s="347"/>
      <c r="E146" s="281" t="str">
        <f>_xlfn.CONCAT(_xlfn.XLOOKUP("[S06_InstallationsVerificationReportsIssueDetail]["&amp;1+ROW(B146)-ROW($B$133)&amp;"][TypeOfIssue]",Submission!$O:$O,Submission!$H:$N,""))</f>
        <v/>
      </c>
      <c r="F146" s="347"/>
      <c r="G146" s="105" t="str">
        <f>_xlfn.CONCAT(_xlfn.XLOOKUP("[S06_InstallationsVerificationReportsIssueDetail]["&amp;1+ROW(B146)-ROW($B$133)&amp;"][NumberOfInstallations]",Submission!$O:$O,Submission!$H:$N,""))</f>
        <v/>
      </c>
      <c r="H146" s="108" t="str">
        <f>_xlfn.CONCAT(_xlfn.XLOOKUP("[S06_InstallationsVerificationReportsIssueDetail]["&amp;1+ROW(B146)-ROW($B$133)&amp;"][NumberOfIssues]",Submission!$O:$O,Submission!$H:$N,""))</f>
        <v/>
      </c>
      <c r="I146" s="183" t="str">
        <f>_xlfn.CONCAT(_xlfn.XLOOKUP("[S06_InstallationsVerificationReportsIssueDetail]["&amp;1+ROW(B146)-ROW($B$133)&amp;"][ShareOfReportsConservativeEstimate]",Submission!$O:$O,Submission!$H:$N,""))</f>
        <v/>
      </c>
    </row>
    <row r="147" spans="1:9" ht="26.4" customHeight="1" x14ac:dyDescent="0.3">
      <c r="A147" s="13"/>
      <c r="C147" s="281" t="str">
        <f>_xlfn.CONCAT(_xlfn.XLOOKUP("[S06_InstallationsVerificationReportsIssueDetail]["&amp;1+ROW(B147)-ROW($B$133)&amp;"][AnnexIActivity]",Submission!$O:$O,Submission!$H:$N,""))</f>
        <v/>
      </c>
      <c r="D147" s="347"/>
      <c r="E147" s="281" t="str">
        <f>_xlfn.CONCAT(_xlfn.XLOOKUP("[S06_InstallationsVerificationReportsIssueDetail]["&amp;1+ROW(B147)-ROW($B$133)&amp;"][TypeOfIssue]",Submission!$O:$O,Submission!$H:$N,""))</f>
        <v/>
      </c>
      <c r="F147" s="347"/>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3" t="str">
        <f>_xlfn.CONCAT(_xlfn.XLOOKUP("[S06_InstallationsVerificationReportsIssueDetail]["&amp;1+ROW(B147)-ROW($B$133)&amp;"][ShareOfReportsConservativeEstimate]",Submission!$O:$O,Submission!$H:$N,""))</f>
        <v/>
      </c>
    </row>
    <row r="148" spans="1:9" ht="26.4" customHeight="1" x14ac:dyDescent="0.3">
      <c r="A148" s="13"/>
      <c r="C148" s="281" t="str">
        <f>_xlfn.CONCAT(_xlfn.XLOOKUP("[S06_InstallationsVerificationReportsIssueDetail]["&amp;1+ROW(B148)-ROW($B$133)&amp;"][AnnexIActivity]",Submission!$O:$O,Submission!$H:$N,""))</f>
        <v/>
      </c>
      <c r="D148" s="347"/>
      <c r="E148" s="281" t="str">
        <f>_xlfn.CONCAT(_xlfn.XLOOKUP("[S06_InstallationsVerificationReportsIssueDetail]["&amp;1+ROW(B148)-ROW($B$133)&amp;"][TypeOfIssue]",Submission!$O:$O,Submission!$H:$N,""))</f>
        <v/>
      </c>
      <c r="F148" s="347"/>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3" t="str">
        <f>_xlfn.CONCAT(_xlfn.XLOOKUP("[S06_InstallationsVerificationReportsIssueDetail]["&amp;1+ROW(B148)-ROW($B$133)&amp;"][ShareOfReportsConservativeEstimate]",Submission!$O:$O,Submission!$H:$N,""))</f>
        <v/>
      </c>
    </row>
    <row r="149" spans="1:9" ht="26.4" customHeight="1" x14ac:dyDescent="0.3">
      <c r="A149" s="13"/>
      <c r="C149" s="281" t="str">
        <f>_xlfn.CONCAT(_xlfn.XLOOKUP("[S06_InstallationsVerificationReportsIssueDetail]["&amp;1+ROW(B149)-ROW($B$133)&amp;"][AnnexIActivity]",Submission!$O:$O,Submission!$H:$N,""))</f>
        <v/>
      </c>
      <c r="D149" s="347"/>
      <c r="E149" s="281" t="str">
        <f>_xlfn.CONCAT(_xlfn.XLOOKUP("[S06_InstallationsVerificationReportsIssueDetail]["&amp;1+ROW(B149)-ROW($B$133)&amp;"][TypeOfIssue]",Submission!$O:$O,Submission!$H:$N,""))</f>
        <v/>
      </c>
      <c r="F149" s="347"/>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3" t="str">
        <f>_xlfn.CONCAT(_xlfn.XLOOKUP("[S06_InstallationsVerificationReportsIssueDetail]["&amp;1+ROW(B149)-ROW($B$133)&amp;"][ShareOfReportsConservativeEstimate]",Submission!$O:$O,Submission!$H:$N,""))</f>
        <v/>
      </c>
    </row>
    <row r="150" spans="1:9" ht="26.4" customHeight="1" x14ac:dyDescent="0.3">
      <c r="A150" s="13"/>
      <c r="C150" s="281" t="str">
        <f>_xlfn.CONCAT(_xlfn.XLOOKUP("[S06_InstallationsVerificationReportsIssueDetail]["&amp;1+ROW(B150)-ROW($B$133)&amp;"][AnnexIActivity]",Submission!$O:$O,Submission!$H:$N,""))</f>
        <v/>
      </c>
      <c r="D150" s="347"/>
      <c r="E150" s="281" t="str">
        <f>_xlfn.CONCAT(_xlfn.XLOOKUP("[S06_InstallationsVerificationReportsIssueDetail]["&amp;1+ROW(B150)-ROW($B$133)&amp;"][TypeOfIssue]",Submission!$O:$O,Submission!$H:$N,""))</f>
        <v/>
      </c>
      <c r="F150" s="347"/>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3" t="str">
        <f>_xlfn.CONCAT(_xlfn.XLOOKUP("[S06_InstallationsVerificationReportsIssueDetail]["&amp;1+ROW(B150)-ROW($B$133)&amp;"][ShareOfReportsConservativeEstimate]",Submission!$O:$O,Submission!$H:$N,""))</f>
        <v/>
      </c>
    </row>
    <row r="151" spans="1:9" ht="26.4" customHeight="1" x14ac:dyDescent="0.3">
      <c r="A151" s="13"/>
      <c r="C151" s="281" t="str">
        <f>_xlfn.CONCAT(_xlfn.XLOOKUP("[S06_InstallationsVerificationReportsIssueDetail]["&amp;1+ROW(B151)-ROW($B$133)&amp;"][AnnexIActivity]",Submission!$O:$O,Submission!$H:$N,""))</f>
        <v/>
      </c>
      <c r="D151" s="347"/>
      <c r="E151" s="281" t="str">
        <f>_xlfn.CONCAT(_xlfn.XLOOKUP("[S06_InstallationsVerificationReportsIssueDetail]["&amp;1+ROW(B151)-ROW($B$133)&amp;"][TypeOfIssue]",Submission!$O:$O,Submission!$H:$N,""))</f>
        <v/>
      </c>
      <c r="F151" s="347"/>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3" t="str">
        <f>_xlfn.CONCAT(_xlfn.XLOOKUP("[S06_InstallationsVerificationReportsIssueDetail]["&amp;1+ROW(B151)-ROW($B$133)&amp;"][ShareOfReportsConservativeEstimate]",Submission!$O:$O,Submission!$H:$N,""))</f>
        <v/>
      </c>
    </row>
    <row r="152" spans="1:9" ht="26.4" customHeight="1" x14ac:dyDescent="0.3">
      <c r="A152" s="13"/>
      <c r="C152" s="281" t="str">
        <f>_xlfn.CONCAT(_xlfn.XLOOKUP("[S06_InstallationsVerificationReportsIssueDetail]["&amp;1+ROW(B152)-ROW($B$133)&amp;"][AnnexIActivity]",Submission!$O:$O,Submission!$H:$N,""))</f>
        <v/>
      </c>
      <c r="D152" s="347"/>
      <c r="E152" s="281" t="str">
        <f>_xlfn.CONCAT(_xlfn.XLOOKUP("[S06_InstallationsVerificationReportsIssueDetail]["&amp;1+ROW(B152)-ROW($B$133)&amp;"][TypeOfIssue]",Submission!$O:$O,Submission!$H:$N,""))</f>
        <v/>
      </c>
      <c r="F152" s="347"/>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3" t="str">
        <f>_xlfn.CONCAT(_xlfn.XLOOKUP("[S06_InstallationsVerificationReportsIssueDetail]["&amp;1+ROW(B152)-ROW($B$133)&amp;"][ShareOfReportsConservativeEstimate]",Submission!$O:$O,Submission!$H:$N,""))</f>
        <v/>
      </c>
    </row>
    <row r="153" spans="1:9" ht="26.4" hidden="1" customHeight="1" outlineLevel="1" x14ac:dyDescent="0.3">
      <c r="A153" s="13"/>
      <c r="C153" s="281" t="str">
        <f>_xlfn.CONCAT(_xlfn.XLOOKUP("[S06_InstallationsVerificationReportsIssueDetail]["&amp;1+ROW(B153)-ROW($B$133)&amp;"][AnnexIActivity]",Submission!$O:$O,Submission!$H:$N,""))</f>
        <v/>
      </c>
      <c r="D153" s="347"/>
      <c r="E153" s="281" t="str">
        <f>_xlfn.CONCAT(_xlfn.XLOOKUP("[S06_InstallationsVerificationReportsIssueDetail]["&amp;1+ROW(B153)-ROW($B$133)&amp;"][TypeOfIssue]",Submission!$O:$O,Submission!$H:$N,""))</f>
        <v/>
      </c>
      <c r="F153" s="347"/>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3" t="str">
        <f>_xlfn.CONCAT(_xlfn.XLOOKUP("[S06_InstallationsVerificationReportsIssueDetail]["&amp;1+ROW(B153)-ROW($B$133)&amp;"][ShareOfReportsConservativeEstimate]",Submission!$O:$O,Submission!$H:$N,""))</f>
        <v/>
      </c>
    </row>
    <row r="154" spans="1:9" ht="26.4" hidden="1" customHeight="1" outlineLevel="1" x14ac:dyDescent="0.3">
      <c r="A154" s="13"/>
      <c r="C154" s="281" t="str">
        <f>_xlfn.CONCAT(_xlfn.XLOOKUP("[S06_InstallationsVerificationReportsIssueDetail]["&amp;1+ROW(B154)-ROW($B$133)&amp;"][AnnexIActivity]",Submission!$O:$O,Submission!$H:$N,""))</f>
        <v/>
      </c>
      <c r="D154" s="347"/>
      <c r="E154" s="281" t="str">
        <f>_xlfn.CONCAT(_xlfn.XLOOKUP("[S06_InstallationsVerificationReportsIssueDetail]["&amp;1+ROW(B154)-ROW($B$133)&amp;"][TypeOfIssue]",Submission!$O:$O,Submission!$H:$N,""))</f>
        <v/>
      </c>
      <c r="F154" s="347"/>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3" t="str">
        <f>_xlfn.CONCAT(_xlfn.XLOOKUP("[S06_InstallationsVerificationReportsIssueDetail]["&amp;1+ROW(B154)-ROW($B$133)&amp;"][ShareOfReportsConservativeEstimate]",Submission!$O:$O,Submission!$H:$N,""))</f>
        <v/>
      </c>
    </row>
    <row r="155" spans="1:9" ht="26.4" hidden="1" customHeight="1" outlineLevel="1" x14ac:dyDescent="0.3">
      <c r="A155" s="13"/>
      <c r="C155" s="281" t="str">
        <f>_xlfn.CONCAT(_xlfn.XLOOKUP("[S06_InstallationsVerificationReportsIssueDetail]["&amp;1+ROW(B155)-ROW($B$133)&amp;"][AnnexIActivity]",Submission!$O:$O,Submission!$H:$N,""))</f>
        <v/>
      </c>
      <c r="D155" s="347"/>
      <c r="E155" s="281" t="str">
        <f>_xlfn.CONCAT(_xlfn.XLOOKUP("[S06_InstallationsVerificationReportsIssueDetail]["&amp;1+ROW(B155)-ROW($B$133)&amp;"][TypeOfIssue]",Submission!$O:$O,Submission!$H:$N,""))</f>
        <v/>
      </c>
      <c r="F155" s="347"/>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3" t="str">
        <f>_xlfn.CONCAT(_xlfn.XLOOKUP("[S06_InstallationsVerificationReportsIssueDetail]["&amp;1+ROW(B155)-ROW($B$133)&amp;"][ShareOfReportsConservativeEstimate]",Submission!$O:$O,Submission!$H:$N,""))</f>
        <v/>
      </c>
    </row>
    <row r="156" spans="1:9" ht="26.4" hidden="1" customHeight="1" outlineLevel="1" x14ac:dyDescent="0.3">
      <c r="A156" s="13"/>
      <c r="C156" s="281" t="str">
        <f>_xlfn.CONCAT(_xlfn.XLOOKUP("[S06_InstallationsVerificationReportsIssueDetail]["&amp;1+ROW(B156)-ROW($B$133)&amp;"][AnnexIActivity]",Submission!$O:$O,Submission!$H:$N,""))</f>
        <v/>
      </c>
      <c r="D156" s="347"/>
      <c r="E156" s="281" t="str">
        <f>_xlfn.CONCAT(_xlfn.XLOOKUP("[S06_InstallationsVerificationReportsIssueDetail]["&amp;1+ROW(B156)-ROW($B$133)&amp;"][TypeOfIssue]",Submission!$O:$O,Submission!$H:$N,""))</f>
        <v/>
      </c>
      <c r="F156" s="347"/>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3" t="str">
        <f>_xlfn.CONCAT(_xlfn.XLOOKUP("[S06_InstallationsVerificationReportsIssueDetail]["&amp;1+ROW(B156)-ROW($B$133)&amp;"][ShareOfReportsConservativeEstimate]",Submission!$O:$O,Submission!$H:$N,""))</f>
        <v/>
      </c>
    </row>
    <row r="157" spans="1:9" ht="26.4" hidden="1" customHeight="1" outlineLevel="1" x14ac:dyDescent="0.3">
      <c r="A157" s="13"/>
      <c r="C157" s="281" t="str">
        <f>_xlfn.CONCAT(_xlfn.XLOOKUP("[S06_InstallationsVerificationReportsIssueDetail]["&amp;1+ROW(B157)-ROW($B$133)&amp;"][AnnexIActivity]",Submission!$O:$O,Submission!$H:$N,""))</f>
        <v/>
      </c>
      <c r="D157" s="347"/>
      <c r="E157" s="281" t="str">
        <f>_xlfn.CONCAT(_xlfn.XLOOKUP("[S06_InstallationsVerificationReportsIssueDetail]["&amp;1+ROW(B157)-ROW($B$133)&amp;"][TypeOfIssue]",Submission!$O:$O,Submission!$H:$N,""))</f>
        <v/>
      </c>
      <c r="F157" s="347"/>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3" t="str">
        <f>_xlfn.CONCAT(_xlfn.XLOOKUP("[S06_InstallationsVerificationReportsIssueDetail]["&amp;1+ROW(B157)-ROW($B$133)&amp;"][ShareOfReportsConservativeEstimate]",Submission!$O:$O,Submission!$H:$N,""))</f>
        <v/>
      </c>
    </row>
    <row r="158" spans="1:9" ht="26.4" hidden="1" customHeight="1" outlineLevel="1" x14ac:dyDescent="0.3">
      <c r="A158" s="13"/>
      <c r="C158" s="281" t="str">
        <f>_xlfn.CONCAT(_xlfn.XLOOKUP("[S06_InstallationsVerificationReportsIssueDetail]["&amp;1+ROW(B158)-ROW($B$133)&amp;"][AnnexIActivity]",Submission!$O:$O,Submission!$H:$N,""))</f>
        <v/>
      </c>
      <c r="D158" s="347"/>
      <c r="E158" s="281" t="str">
        <f>_xlfn.CONCAT(_xlfn.XLOOKUP("[S06_InstallationsVerificationReportsIssueDetail]["&amp;1+ROW(B158)-ROW($B$133)&amp;"][TypeOfIssue]",Submission!$O:$O,Submission!$H:$N,""))</f>
        <v/>
      </c>
      <c r="F158" s="347"/>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3" t="str">
        <f>_xlfn.CONCAT(_xlfn.XLOOKUP("[S06_InstallationsVerificationReportsIssueDetail]["&amp;1+ROW(B158)-ROW($B$133)&amp;"][ShareOfReportsConservativeEstimate]",Submission!$O:$O,Submission!$H:$N,""))</f>
        <v/>
      </c>
    </row>
    <row r="159" spans="1:9" ht="26.4" hidden="1" customHeight="1" outlineLevel="1" x14ac:dyDescent="0.3">
      <c r="A159" s="13"/>
      <c r="C159" s="281" t="str">
        <f>_xlfn.CONCAT(_xlfn.XLOOKUP("[S06_InstallationsVerificationReportsIssueDetail]["&amp;1+ROW(B159)-ROW($B$133)&amp;"][AnnexIActivity]",Submission!$O:$O,Submission!$H:$N,""))</f>
        <v/>
      </c>
      <c r="D159" s="347"/>
      <c r="E159" s="281" t="str">
        <f>_xlfn.CONCAT(_xlfn.XLOOKUP("[S06_InstallationsVerificationReportsIssueDetail]["&amp;1+ROW(B159)-ROW($B$133)&amp;"][TypeOfIssue]",Submission!$O:$O,Submission!$H:$N,""))</f>
        <v/>
      </c>
      <c r="F159" s="347"/>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3" t="str">
        <f>_xlfn.CONCAT(_xlfn.XLOOKUP("[S06_InstallationsVerificationReportsIssueDetail]["&amp;1+ROW(B159)-ROW($B$133)&amp;"][ShareOfReportsConservativeEstimate]",Submission!$O:$O,Submission!$H:$N,""))</f>
        <v/>
      </c>
    </row>
    <row r="160" spans="1:9" ht="26.4" hidden="1" customHeight="1" outlineLevel="1" x14ac:dyDescent="0.3">
      <c r="A160" s="13"/>
      <c r="C160" s="281" t="str">
        <f>_xlfn.CONCAT(_xlfn.XLOOKUP("[S06_InstallationsVerificationReportsIssueDetail]["&amp;1+ROW(B160)-ROW($B$133)&amp;"][AnnexIActivity]",Submission!$O:$O,Submission!$H:$N,""))</f>
        <v/>
      </c>
      <c r="D160" s="347"/>
      <c r="E160" s="281" t="str">
        <f>_xlfn.CONCAT(_xlfn.XLOOKUP("[S06_InstallationsVerificationReportsIssueDetail]["&amp;1+ROW(B160)-ROW($B$133)&amp;"][TypeOfIssue]",Submission!$O:$O,Submission!$H:$N,""))</f>
        <v/>
      </c>
      <c r="F160" s="347"/>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3" t="str">
        <f>_xlfn.CONCAT(_xlfn.XLOOKUP("[S06_InstallationsVerificationReportsIssueDetail]["&amp;1+ROW(B160)-ROW($B$133)&amp;"][ShareOfReportsConservativeEstimate]",Submission!$O:$O,Submission!$H:$N,""))</f>
        <v/>
      </c>
    </row>
    <row r="161" spans="1:9" ht="26.4" hidden="1" customHeight="1" outlineLevel="1" x14ac:dyDescent="0.3">
      <c r="A161" s="13"/>
      <c r="C161" s="281" t="str">
        <f>_xlfn.CONCAT(_xlfn.XLOOKUP("[S06_InstallationsVerificationReportsIssueDetail]["&amp;1+ROW(B161)-ROW($B$133)&amp;"][AnnexIActivity]",Submission!$O:$O,Submission!$H:$N,""))</f>
        <v/>
      </c>
      <c r="D161" s="347"/>
      <c r="E161" s="281" t="str">
        <f>_xlfn.CONCAT(_xlfn.XLOOKUP("[S06_InstallationsVerificationReportsIssueDetail]["&amp;1+ROW(B161)-ROW($B$133)&amp;"][TypeOfIssue]",Submission!$O:$O,Submission!$H:$N,""))</f>
        <v/>
      </c>
      <c r="F161" s="347"/>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3" t="str">
        <f>_xlfn.CONCAT(_xlfn.XLOOKUP("[S06_InstallationsVerificationReportsIssueDetail]["&amp;1+ROW(B161)-ROW($B$133)&amp;"][ShareOfReportsConservativeEstimate]",Submission!$O:$O,Submission!$H:$N,""))</f>
        <v/>
      </c>
    </row>
    <row r="162" spans="1:9" ht="26.4" hidden="1" customHeight="1" outlineLevel="1" x14ac:dyDescent="0.3">
      <c r="A162" s="13"/>
      <c r="C162" s="281" t="str">
        <f>_xlfn.CONCAT(_xlfn.XLOOKUP("[S06_InstallationsVerificationReportsIssueDetail]["&amp;1+ROW(B162)-ROW($B$133)&amp;"][AnnexIActivity]",Submission!$O:$O,Submission!$H:$N,""))</f>
        <v/>
      </c>
      <c r="D162" s="347"/>
      <c r="E162" s="281" t="str">
        <f>_xlfn.CONCAT(_xlfn.XLOOKUP("[S06_InstallationsVerificationReportsIssueDetail]["&amp;1+ROW(B162)-ROW($B$133)&amp;"][TypeOfIssue]",Submission!$O:$O,Submission!$H:$N,""))</f>
        <v/>
      </c>
      <c r="F162" s="347"/>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3" t="str">
        <f>_xlfn.CONCAT(_xlfn.XLOOKUP("[S06_InstallationsVerificationReportsIssueDetail]["&amp;1+ROW(B162)-ROW($B$133)&amp;"][ShareOfReportsConservativeEstimate]",Submission!$O:$O,Submission!$H:$N,""))</f>
        <v/>
      </c>
    </row>
    <row r="163" spans="1:9" ht="26.4" hidden="1" customHeight="1" outlineLevel="1" x14ac:dyDescent="0.3">
      <c r="A163" s="13"/>
      <c r="C163" s="281" t="str">
        <f>_xlfn.CONCAT(_xlfn.XLOOKUP("[S06_InstallationsVerificationReportsIssueDetail]["&amp;1+ROW(B163)-ROW($B$133)&amp;"][AnnexIActivity]",Submission!$O:$O,Submission!$H:$N,""))</f>
        <v/>
      </c>
      <c r="D163" s="347"/>
      <c r="E163" s="281" t="str">
        <f>_xlfn.CONCAT(_xlfn.XLOOKUP("[S06_InstallationsVerificationReportsIssueDetail]["&amp;1+ROW(B163)-ROW($B$133)&amp;"][TypeOfIssue]",Submission!$O:$O,Submission!$H:$N,""))</f>
        <v/>
      </c>
      <c r="F163" s="347"/>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3" t="str">
        <f>_xlfn.CONCAT(_xlfn.XLOOKUP("[S06_InstallationsVerificationReportsIssueDetail]["&amp;1+ROW(B163)-ROW($B$133)&amp;"][ShareOfReportsConservativeEstimate]",Submission!$O:$O,Submission!$H:$N,""))</f>
        <v/>
      </c>
    </row>
    <row r="164" spans="1:9" ht="26.4" hidden="1" customHeight="1" outlineLevel="1" x14ac:dyDescent="0.3">
      <c r="A164" s="13"/>
      <c r="C164" s="281" t="str">
        <f>_xlfn.CONCAT(_xlfn.XLOOKUP("[S06_InstallationsVerificationReportsIssueDetail]["&amp;1+ROW(B164)-ROW($B$133)&amp;"][AnnexIActivity]",Submission!$O:$O,Submission!$H:$N,""))</f>
        <v/>
      </c>
      <c r="D164" s="347"/>
      <c r="E164" s="281" t="str">
        <f>_xlfn.CONCAT(_xlfn.XLOOKUP("[S06_InstallationsVerificationReportsIssueDetail]["&amp;1+ROW(B164)-ROW($B$133)&amp;"][TypeOfIssue]",Submission!$O:$O,Submission!$H:$N,""))</f>
        <v/>
      </c>
      <c r="F164" s="347"/>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3" t="str">
        <f>_xlfn.CONCAT(_xlfn.XLOOKUP("[S06_InstallationsVerificationReportsIssueDetail]["&amp;1+ROW(B164)-ROW($B$133)&amp;"][ShareOfReportsConservativeEstimate]",Submission!$O:$O,Submission!$H:$N,""))</f>
        <v/>
      </c>
    </row>
    <row r="165" spans="1:9" ht="26.4" hidden="1" customHeight="1" outlineLevel="1" x14ac:dyDescent="0.3">
      <c r="A165" s="13"/>
      <c r="C165" s="281" t="str">
        <f>_xlfn.CONCAT(_xlfn.XLOOKUP("[S06_InstallationsVerificationReportsIssueDetail]["&amp;1+ROW(B165)-ROW($B$133)&amp;"][AnnexIActivity]",Submission!$O:$O,Submission!$H:$N,""))</f>
        <v/>
      </c>
      <c r="D165" s="347"/>
      <c r="E165" s="281" t="str">
        <f>_xlfn.CONCAT(_xlfn.XLOOKUP("[S06_InstallationsVerificationReportsIssueDetail]["&amp;1+ROW(B165)-ROW($B$133)&amp;"][TypeOfIssue]",Submission!$O:$O,Submission!$H:$N,""))</f>
        <v/>
      </c>
      <c r="F165" s="347"/>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3" t="str">
        <f>_xlfn.CONCAT(_xlfn.XLOOKUP("[S06_InstallationsVerificationReportsIssueDetail]["&amp;1+ROW(B165)-ROW($B$133)&amp;"][ShareOfReportsConservativeEstimate]",Submission!$O:$O,Submission!$H:$N,""))</f>
        <v/>
      </c>
    </row>
    <row r="166" spans="1:9" ht="26.4" hidden="1" customHeight="1" outlineLevel="1" x14ac:dyDescent="0.3">
      <c r="A166" s="13"/>
      <c r="C166" s="281" t="str">
        <f>_xlfn.CONCAT(_xlfn.XLOOKUP("[S06_InstallationsVerificationReportsIssueDetail]["&amp;1+ROW(B166)-ROW($B$133)&amp;"][AnnexIActivity]",Submission!$O:$O,Submission!$H:$N,""))</f>
        <v/>
      </c>
      <c r="D166" s="347"/>
      <c r="E166" s="281" t="str">
        <f>_xlfn.CONCAT(_xlfn.XLOOKUP("[S06_InstallationsVerificationReportsIssueDetail]["&amp;1+ROW(B166)-ROW($B$133)&amp;"][TypeOfIssue]",Submission!$O:$O,Submission!$H:$N,""))</f>
        <v/>
      </c>
      <c r="F166" s="347"/>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3" t="str">
        <f>_xlfn.CONCAT(_xlfn.XLOOKUP("[S06_InstallationsVerificationReportsIssueDetail]["&amp;1+ROW(B166)-ROW($B$133)&amp;"][ShareOfReportsConservativeEstimate]",Submission!$O:$O,Submission!$H:$N,""))</f>
        <v/>
      </c>
    </row>
    <row r="167" spans="1:9" ht="26.4" hidden="1" customHeight="1" outlineLevel="1" x14ac:dyDescent="0.3">
      <c r="A167" s="13"/>
      <c r="C167" s="281" t="str">
        <f>_xlfn.CONCAT(_xlfn.XLOOKUP("[S06_InstallationsVerificationReportsIssueDetail]["&amp;1+ROW(B167)-ROW($B$133)&amp;"][AnnexIActivity]",Submission!$O:$O,Submission!$H:$N,""))</f>
        <v/>
      </c>
      <c r="D167" s="347"/>
      <c r="E167" s="281" t="str">
        <f>_xlfn.CONCAT(_xlfn.XLOOKUP("[S06_InstallationsVerificationReportsIssueDetail]["&amp;1+ROW(B167)-ROW($B$133)&amp;"][TypeOfIssue]",Submission!$O:$O,Submission!$H:$N,""))</f>
        <v/>
      </c>
      <c r="F167" s="347"/>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3" t="str">
        <f>_xlfn.CONCAT(_xlfn.XLOOKUP("[S06_InstallationsVerificationReportsIssueDetail]["&amp;1+ROW(B167)-ROW($B$133)&amp;"][ShareOfReportsConservativeEstimate]",Submission!$O:$O,Submission!$H:$N,""))</f>
        <v/>
      </c>
    </row>
    <row r="168" spans="1:9" ht="26.4" hidden="1" customHeight="1" outlineLevel="1" x14ac:dyDescent="0.3">
      <c r="A168" s="13"/>
      <c r="C168" s="281" t="str">
        <f>_xlfn.CONCAT(_xlfn.XLOOKUP("[S06_InstallationsVerificationReportsIssueDetail]["&amp;1+ROW(B168)-ROW($B$133)&amp;"][AnnexIActivity]",Submission!$O:$O,Submission!$H:$N,""))</f>
        <v/>
      </c>
      <c r="D168" s="347"/>
      <c r="E168" s="281" t="str">
        <f>_xlfn.CONCAT(_xlfn.XLOOKUP("[S06_InstallationsVerificationReportsIssueDetail]["&amp;1+ROW(B168)-ROW($B$133)&amp;"][TypeOfIssue]",Submission!$O:$O,Submission!$H:$N,""))</f>
        <v/>
      </c>
      <c r="F168" s="347"/>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3" t="str">
        <f>_xlfn.CONCAT(_xlfn.XLOOKUP("[S06_InstallationsVerificationReportsIssueDetail]["&amp;1+ROW(B168)-ROW($B$133)&amp;"][ShareOfReportsConservativeEstimate]",Submission!$O:$O,Submission!$H:$N,""))</f>
        <v/>
      </c>
    </row>
    <row r="169" spans="1:9" ht="26.4" hidden="1" customHeight="1" outlineLevel="1" x14ac:dyDescent="0.3">
      <c r="A169" s="13"/>
      <c r="C169" s="281" t="str">
        <f>_xlfn.CONCAT(_xlfn.XLOOKUP("[S06_InstallationsVerificationReportsIssueDetail]["&amp;1+ROW(B169)-ROW($B$133)&amp;"][AnnexIActivity]",Submission!$O:$O,Submission!$H:$N,""))</f>
        <v/>
      </c>
      <c r="D169" s="347"/>
      <c r="E169" s="281" t="str">
        <f>_xlfn.CONCAT(_xlfn.XLOOKUP("[S06_InstallationsVerificationReportsIssueDetail]["&amp;1+ROW(B169)-ROW($B$133)&amp;"][TypeOfIssue]",Submission!$O:$O,Submission!$H:$N,""))</f>
        <v/>
      </c>
      <c r="F169" s="347"/>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3" t="str">
        <f>_xlfn.CONCAT(_xlfn.XLOOKUP("[S06_InstallationsVerificationReportsIssueDetail]["&amp;1+ROW(B169)-ROW($B$133)&amp;"][ShareOfReportsConservativeEstimate]",Submission!$O:$O,Submission!$H:$N,""))</f>
        <v/>
      </c>
    </row>
    <row r="170" spans="1:9" ht="26.4" hidden="1" customHeight="1" outlineLevel="1" x14ac:dyDescent="0.3">
      <c r="A170" s="13"/>
      <c r="C170" s="281" t="str">
        <f>_xlfn.CONCAT(_xlfn.XLOOKUP("[S06_InstallationsVerificationReportsIssueDetail]["&amp;1+ROW(B170)-ROW($B$133)&amp;"][AnnexIActivity]",Submission!$O:$O,Submission!$H:$N,""))</f>
        <v/>
      </c>
      <c r="D170" s="347"/>
      <c r="E170" s="281" t="str">
        <f>_xlfn.CONCAT(_xlfn.XLOOKUP("[S06_InstallationsVerificationReportsIssueDetail]["&amp;1+ROW(B170)-ROW($B$133)&amp;"][TypeOfIssue]",Submission!$O:$O,Submission!$H:$N,""))</f>
        <v/>
      </c>
      <c r="F170" s="347"/>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3" t="str">
        <f>_xlfn.CONCAT(_xlfn.XLOOKUP("[S06_InstallationsVerificationReportsIssueDetail]["&amp;1+ROW(B170)-ROW($B$133)&amp;"][ShareOfReportsConservativeEstimate]",Submission!$O:$O,Submission!$H:$N,""))</f>
        <v/>
      </c>
    </row>
    <row r="171" spans="1:9" ht="26.4" hidden="1" customHeight="1" outlineLevel="1" x14ac:dyDescent="0.3">
      <c r="A171" s="13"/>
      <c r="C171" s="281" t="str">
        <f>_xlfn.CONCAT(_xlfn.XLOOKUP("[S06_InstallationsVerificationReportsIssueDetail]["&amp;1+ROW(B171)-ROW($B$133)&amp;"][AnnexIActivity]",Submission!$O:$O,Submission!$H:$N,""))</f>
        <v/>
      </c>
      <c r="D171" s="347"/>
      <c r="E171" s="281" t="str">
        <f>_xlfn.CONCAT(_xlfn.XLOOKUP("[S06_InstallationsVerificationReportsIssueDetail]["&amp;1+ROW(B171)-ROW($B$133)&amp;"][TypeOfIssue]",Submission!$O:$O,Submission!$H:$N,""))</f>
        <v/>
      </c>
      <c r="F171" s="347"/>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3" t="str">
        <f>_xlfn.CONCAT(_xlfn.XLOOKUP("[S06_InstallationsVerificationReportsIssueDetail]["&amp;1+ROW(B171)-ROW($B$133)&amp;"][ShareOfReportsConservativeEstimate]",Submission!$O:$O,Submission!$H:$N,""))</f>
        <v/>
      </c>
    </row>
    <row r="172" spans="1:9" ht="26.4" hidden="1" customHeight="1" outlineLevel="1" x14ac:dyDescent="0.3">
      <c r="A172" s="13"/>
      <c r="C172" s="281" t="str">
        <f>_xlfn.CONCAT(_xlfn.XLOOKUP("[S06_InstallationsVerificationReportsIssueDetail]["&amp;1+ROW(B172)-ROW($B$133)&amp;"][AnnexIActivity]",Submission!$O:$O,Submission!$H:$N,""))</f>
        <v/>
      </c>
      <c r="D172" s="347"/>
      <c r="E172" s="281" t="str">
        <f>_xlfn.CONCAT(_xlfn.XLOOKUP("[S06_InstallationsVerificationReportsIssueDetail]["&amp;1+ROW(B172)-ROW($B$133)&amp;"][TypeOfIssue]",Submission!$O:$O,Submission!$H:$N,""))</f>
        <v/>
      </c>
      <c r="F172" s="347"/>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3" t="str">
        <f>_xlfn.CONCAT(_xlfn.XLOOKUP("[S06_InstallationsVerificationReportsIssueDetail]["&amp;1+ROW(B172)-ROW($B$133)&amp;"][ShareOfReportsConservativeEstimate]",Submission!$O:$O,Submission!$H:$N,""))</f>
        <v/>
      </c>
    </row>
    <row r="173" spans="1:9" ht="26.4" hidden="1" customHeight="1" outlineLevel="1" x14ac:dyDescent="0.3">
      <c r="A173" s="13"/>
      <c r="C173" s="281" t="str">
        <f>_xlfn.CONCAT(_xlfn.XLOOKUP("[S06_InstallationsVerificationReportsIssueDetail]["&amp;1+ROW(B173)-ROW($B$133)&amp;"][AnnexIActivity]",Submission!$O:$O,Submission!$H:$N,""))</f>
        <v/>
      </c>
      <c r="D173" s="347"/>
      <c r="E173" s="281" t="str">
        <f>_xlfn.CONCAT(_xlfn.XLOOKUP("[S06_InstallationsVerificationReportsIssueDetail]["&amp;1+ROW(B173)-ROW($B$133)&amp;"][TypeOfIssue]",Submission!$O:$O,Submission!$H:$N,""))</f>
        <v/>
      </c>
      <c r="F173" s="347"/>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3" t="str">
        <f>_xlfn.CONCAT(_xlfn.XLOOKUP("[S06_InstallationsVerificationReportsIssueDetail]["&amp;1+ROW(B173)-ROW($B$133)&amp;"][ShareOfReportsConservativeEstimate]",Submission!$O:$O,Submission!$H:$N,""))</f>
        <v/>
      </c>
    </row>
    <row r="174" spans="1:9" ht="26.4" hidden="1" customHeight="1" outlineLevel="1" x14ac:dyDescent="0.3">
      <c r="A174" s="13"/>
      <c r="C174" s="281" t="str">
        <f>_xlfn.CONCAT(_xlfn.XLOOKUP("[S06_InstallationsVerificationReportsIssueDetail]["&amp;1+ROW(B174)-ROW($B$133)&amp;"][AnnexIActivity]",Submission!$O:$O,Submission!$H:$N,""))</f>
        <v/>
      </c>
      <c r="D174" s="347"/>
      <c r="E174" s="281" t="str">
        <f>_xlfn.CONCAT(_xlfn.XLOOKUP("[S06_InstallationsVerificationReportsIssueDetail]["&amp;1+ROW(B174)-ROW($B$133)&amp;"][TypeOfIssue]",Submission!$O:$O,Submission!$H:$N,""))</f>
        <v/>
      </c>
      <c r="F174" s="347"/>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3" t="str">
        <f>_xlfn.CONCAT(_xlfn.XLOOKUP("[S06_InstallationsVerificationReportsIssueDetail]["&amp;1+ROW(B174)-ROW($B$133)&amp;"][ShareOfReportsConservativeEstimate]",Submission!$O:$O,Submission!$H:$N,""))</f>
        <v/>
      </c>
    </row>
    <row r="175" spans="1:9" ht="26.4" hidden="1" customHeight="1" outlineLevel="1" x14ac:dyDescent="0.3">
      <c r="A175" s="13"/>
      <c r="C175" s="281" t="str">
        <f>_xlfn.CONCAT(_xlfn.XLOOKUP("[S06_InstallationsVerificationReportsIssueDetail]["&amp;1+ROW(B175)-ROW($B$133)&amp;"][AnnexIActivity]",Submission!$O:$O,Submission!$H:$N,""))</f>
        <v/>
      </c>
      <c r="D175" s="347"/>
      <c r="E175" s="281" t="str">
        <f>_xlfn.CONCAT(_xlfn.XLOOKUP("[S06_InstallationsVerificationReportsIssueDetail]["&amp;1+ROW(B175)-ROW($B$133)&amp;"][TypeOfIssue]",Submission!$O:$O,Submission!$H:$N,""))</f>
        <v/>
      </c>
      <c r="F175" s="347"/>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3" t="str">
        <f>_xlfn.CONCAT(_xlfn.XLOOKUP("[S06_InstallationsVerificationReportsIssueDetail]["&amp;1+ROW(B175)-ROW($B$133)&amp;"][ShareOfReportsConservativeEstimate]",Submission!$O:$O,Submission!$H:$N,""))</f>
        <v/>
      </c>
    </row>
    <row r="176" spans="1:9" ht="26.4" hidden="1" customHeight="1" outlineLevel="1" x14ac:dyDescent="0.3">
      <c r="A176" s="13"/>
      <c r="C176" s="281" t="str">
        <f>_xlfn.CONCAT(_xlfn.XLOOKUP("[S06_InstallationsVerificationReportsIssueDetail]["&amp;1+ROW(B176)-ROW($B$133)&amp;"][AnnexIActivity]",Submission!$O:$O,Submission!$H:$N,""))</f>
        <v/>
      </c>
      <c r="D176" s="347"/>
      <c r="E176" s="281" t="str">
        <f>_xlfn.CONCAT(_xlfn.XLOOKUP("[S06_InstallationsVerificationReportsIssueDetail]["&amp;1+ROW(B176)-ROW($B$133)&amp;"][TypeOfIssue]",Submission!$O:$O,Submission!$H:$N,""))</f>
        <v/>
      </c>
      <c r="F176" s="347"/>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3" t="str">
        <f>_xlfn.CONCAT(_xlfn.XLOOKUP("[S06_InstallationsVerificationReportsIssueDetail]["&amp;1+ROW(B176)-ROW($B$133)&amp;"][ShareOfReportsConservativeEstimate]",Submission!$O:$O,Submission!$H:$N,""))</f>
        <v/>
      </c>
    </row>
    <row r="177" spans="1:9" ht="26.4" hidden="1" customHeight="1" outlineLevel="1" x14ac:dyDescent="0.3">
      <c r="A177" s="13"/>
      <c r="C177" s="281" t="str">
        <f>_xlfn.CONCAT(_xlfn.XLOOKUP("[S06_InstallationsVerificationReportsIssueDetail]["&amp;1+ROW(B177)-ROW($B$133)&amp;"][AnnexIActivity]",Submission!$O:$O,Submission!$H:$N,""))</f>
        <v/>
      </c>
      <c r="D177" s="347"/>
      <c r="E177" s="281" t="str">
        <f>_xlfn.CONCAT(_xlfn.XLOOKUP("[S06_InstallationsVerificationReportsIssueDetail]["&amp;1+ROW(B177)-ROW($B$133)&amp;"][TypeOfIssue]",Submission!$O:$O,Submission!$H:$N,""))</f>
        <v/>
      </c>
      <c r="F177" s="347"/>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3" t="str">
        <f>_xlfn.CONCAT(_xlfn.XLOOKUP("[S06_InstallationsVerificationReportsIssueDetail]["&amp;1+ROW(B177)-ROW($B$133)&amp;"][ShareOfReportsConservativeEstimate]",Submission!$O:$O,Submission!$H:$N,""))</f>
        <v/>
      </c>
    </row>
    <row r="178" spans="1:9" ht="26.4" hidden="1" customHeight="1" outlineLevel="1" x14ac:dyDescent="0.3">
      <c r="A178" s="13"/>
      <c r="C178" s="281" t="str">
        <f>_xlfn.CONCAT(_xlfn.XLOOKUP("[S06_InstallationsVerificationReportsIssueDetail]["&amp;1+ROW(B178)-ROW($B$133)&amp;"][AnnexIActivity]",Submission!$O:$O,Submission!$H:$N,""))</f>
        <v/>
      </c>
      <c r="D178" s="347"/>
      <c r="E178" s="281" t="str">
        <f>_xlfn.CONCAT(_xlfn.XLOOKUP("[S06_InstallationsVerificationReportsIssueDetail]["&amp;1+ROW(B178)-ROW($B$133)&amp;"][TypeOfIssue]",Submission!$O:$O,Submission!$H:$N,""))</f>
        <v/>
      </c>
      <c r="F178" s="347"/>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3" t="str">
        <f>_xlfn.CONCAT(_xlfn.XLOOKUP("[S06_InstallationsVerificationReportsIssueDetail]["&amp;1+ROW(B178)-ROW($B$133)&amp;"][ShareOfReportsConservativeEstimate]",Submission!$O:$O,Submission!$H:$N,""))</f>
        <v/>
      </c>
    </row>
    <row r="179" spans="1:9" ht="26.4" hidden="1" customHeight="1" outlineLevel="1" x14ac:dyDescent="0.3">
      <c r="A179" s="13"/>
      <c r="C179" s="281" t="str">
        <f>_xlfn.CONCAT(_xlfn.XLOOKUP("[S06_InstallationsVerificationReportsIssueDetail]["&amp;1+ROW(B179)-ROW($B$133)&amp;"][AnnexIActivity]",Submission!$O:$O,Submission!$H:$N,""))</f>
        <v/>
      </c>
      <c r="D179" s="347"/>
      <c r="E179" s="281" t="str">
        <f>_xlfn.CONCAT(_xlfn.XLOOKUP("[S06_InstallationsVerificationReportsIssueDetail]["&amp;1+ROW(B179)-ROW($B$133)&amp;"][TypeOfIssue]",Submission!$O:$O,Submission!$H:$N,""))</f>
        <v/>
      </c>
      <c r="F179" s="347"/>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3" t="str">
        <f>_xlfn.CONCAT(_xlfn.XLOOKUP("[S06_InstallationsVerificationReportsIssueDetail]["&amp;1+ROW(B179)-ROW($B$133)&amp;"][ShareOfReportsConservativeEstimate]",Submission!$O:$O,Submission!$H:$N,""))</f>
        <v/>
      </c>
    </row>
    <row r="180" spans="1:9" ht="26.4" hidden="1" customHeight="1" outlineLevel="1" x14ac:dyDescent="0.3">
      <c r="A180" s="13"/>
      <c r="C180" s="281" t="str">
        <f>_xlfn.CONCAT(_xlfn.XLOOKUP("[S06_InstallationsVerificationReportsIssueDetail]["&amp;1+ROW(B180)-ROW($B$133)&amp;"][AnnexIActivity]",Submission!$O:$O,Submission!$H:$N,""))</f>
        <v/>
      </c>
      <c r="D180" s="347"/>
      <c r="E180" s="281" t="str">
        <f>_xlfn.CONCAT(_xlfn.XLOOKUP("[S06_InstallationsVerificationReportsIssueDetail]["&amp;1+ROW(B180)-ROW($B$133)&amp;"][TypeOfIssue]",Submission!$O:$O,Submission!$H:$N,""))</f>
        <v/>
      </c>
      <c r="F180" s="347"/>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3" t="str">
        <f>_xlfn.CONCAT(_xlfn.XLOOKUP("[S06_InstallationsVerificationReportsIssueDetail]["&amp;1+ROW(B180)-ROW($B$133)&amp;"][ShareOfReportsConservativeEstimate]",Submission!$O:$O,Submission!$H:$N,""))</f>
        <v/>
      </c>
    </row>
    <row r="181" spans="1:9" ht="26.4" hidden="1" customHeight="1" outlineLevel="1" x14ac:dyDescent="0.3">
      <c r="A181" s="13"/>
      <c r="C181" s="281" t="str">
        <f>_xlfn.CONCAT(_xlfn.XLOOKUP("[S06_InstallationsVerificationReportsIssueDetail]["&amp;1+ROW(B181)-ROW($B$133)&amp;"][AnnexIActivity]",Submission!$O:$O,Submission!$H:$N,""))</f>
        <v/>
      </c>
      <c r="D181" s="347"/>
      <c r="E181" s="281" t="str">
        <f>_xlfn.CONCAT(_xlfn.XLOOKUP("[S06_InstallationsVerificationReportsIssueDetail]["&amp;1+ROW(B181)-ROW($B$133)&amp;"][TypeOfIssue]",Submission!$O:$O,Submission!$H:$N,""))</f>
        <v/>
      </c>
      <c r="F181" s="347"/>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3" t="str">
        <f>_xlfn.CONCAT(_xlfn.XLOOKUP("[S06_InstallationsVerificationReportsIssueDetail]["&amp;1+ROW(B181)-ROW($B$133)&amp;"][ShareOfReportsConservativeEstimate]",Submission!$O:$O,Submission!$H:$N,""))</f>
        <v/>
      </c>
    </row>
    <row r="182" spans="1:9" ht="26.4" hidden="1" customHeight="1" outlineLevel="1" x14ac:dyDescent="0.3">
      <c r="A182" s="13"/>
      <c r="C182" s="281" t="str">
        <f>_xlfn.CONCAT(_xlfn.XLOOKUP("[S06_InstallationsVerificationReportsIssueDetail]["&amp;1+ROW(B182)-ROW($B$133)&amp;"][AnnexIActivity]",Submission!$O:$O,Submission!$H:$N,""))</f>
        <v/>
      </c>
      <c r="D182" s="347"/>
      <c r="E182" s="281" t="str">
        <f>_xlfn.CONCAT(_xlfn.XLOOKUP("[S06_InstallationsVerificationReportsIssueDetail]["&amp;1+ROW(B182)-ROW($B$133)&amp;"][TypeOfIssue]",Submission!$O:$O,Submission!$H:$N,""))</f>
        <v/>
      </c>
      <c r="F182" s="347"/>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3" t="str">
        <f>_xlfn.CONCAT(_xlfn.XLOOKUP("[S06_InstallationsVerificationReportsIssueDetail]["&amp;1+ROW(B182)-ROW($B$133)&amp;"][ShareOfReportsConservativeEstimate]",Submission!$O:$O,Submission!$H:$N,""))</f>
        <v/>
      </c>
    </row>
    <row r="183" spans="1:9" ht="26.4" hidden="1" customHeight="1" outlineLevel="1" x14ac:dyDescent="0.3">
      <c r="A183" s="13"/>
      <c r="C183" s="281" t="str">
        <f>_xlfn.CONCAT(_xlfn.XLOOKUP("[S06_InstallationsVerificationReportsIssueDetail]["&amp;1+ROW(B183)-ROW($B$133)&amp;"][AnnexIActivity]",Submission!$O:$O,Submission!$H:$N,""))</f>
        <v/>
      </c>
      <c r="D183" s="347"/>
      <c r="E183" s="281" t="str">
        <f>_xlfn.CONCAT(_xlfn.XLOOKUP("[S06_InstallationsVerificationReportsIssueDetail]["&amp;1+ROW(B183)-ROW($B$133)&amp;"][TypeOfIssue]",Submission!$O:$O,Submission!$H:$N,""))</f>
        <v/>
      </c>
      <c r="F183" s="347"/>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3" t="str">
        <f>_xlfn.CONCAT(_xlfn.XLOOKUP("[S06_InstallationsVerificationReportsIssueDetail]["&amp;1+ROW(B183)-ROW($B$133)&amp;"][ShareOfReportsConservativeEstimate]",Submission!$O:$O,Submission!$H:$N,""))</f>
        <v/>
      </c>
    </row>
    <row r="184" spans="1:9" ht="26.4" hidden="1" customHeight="1" outlineLevel="1" x14ac:dyDescent="0.3">
      <c r="A184" s="13"/>
      <c r="C184" s="281" t="str">
        <f>_xlfn.CONCAT(_xlfn.XLOOKUP("[S06_InstallationsVerificationReportsIssueDetail]["&amp;1+ROW(B184)-ROW($B$133)&amp;"][AnnexIActivity]",Submission!$O:$O,Submission!$H:$N,""))</f>
        <v/>
      </c>
      <c r="D184" s="347"/>
      <c r="E184" s="281" t="str">
        <f>_xlfn.CONCAT(_xlfn.XLOOKUP("[S06_InstallationsVerificationReportsIssueDetail]["&amp;1+ROW(B184)-ROW($B$133)&amp;"][TypeOfIssue]",Submission!$O:$O,Submission!$H:$N,""))</f>
        <v/>
      </c>
      <c r="F184" s="347"/>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3" t="str">
        <f>_xlfn.CONCAT(_xlfn.XLOOKUP("[S06_InstallationsVerificationReportsIssueDetail]["&amp;1+ROW(B184)-ROW($B$133)&amp;"][ShareOfReportsConservativeEstimate]",Submission!$O:$O,Submission!$H:$N,""))</f>
        <v/>
      </c>
    </row>
    <row r="185" spans="1:9" ht="26.4" hidden="1" customHeight="1" outlineLevel="1" x14ac:dyDescent="0.3">
      <c r="A185" s="13"/>
      <c r="C185" s="281" t="str">
        <f>_xlfn.CONCAT(_xlfn.XLOOKUP("[S06_InstallationsVerificationReportsIssueDetail]["&amp;1+ROW(B185)-ROW($B$133)&amp;"][AnnexIActivity]",Submission!$O:$O,Submission!$H:$N,""))</f>
        <v/>
      </c>
      <c r="D185" s="347"/>
      <c r="E185" s="281" t="str">
        <f>_xlfn.CONCAT(_xlfn.XLOOKUP("[S06_InstallationsVerificationReportsIssueDetail]["&amp;1+ROW(B185)-ROW($B$133)&amp;"][TypeOfIssue]",Submission!$O:$O,Submission!$H:$N,""))</f>
        <v/>
      </c>
      <c r="F185" s="347"/>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3" t="str">
        <f>_xlfn.CONCAT(_xlfn.XLOOKUP("[S06_InstallationsVerificationReportsIssueDetail]["&amp;1+ROW(B185)-ROW($B$133)&amp;"][ShareOfReportsConservativeEstimate]",Submission!$O:$O,Submission!$H:$N,""))</f>
        <v/>
      </c>
    </row>
    <row r="186" spans="1:9" ht="26.4" hidden="1" customHeight="1" outlineLevel="1" x14ac:dyDescent="0.3">
      <c r="A186" s="13"/>
      <c r="C186" s="281" t="str">
        <f>_xlfn.CONCAT(_xlfn.XLOOKUP("[S06_InstallationsVerificationReportsIssueDetail]["&amp;1+ROW(B186)-ROW($B$133)&amp;"][AnnexIActivity]",Submission!$O:$O,Submission!$H:$N,""))</f>
        <v/>
      </c>
      <c r="D186" s="347"/>
      <c r="E186" s="281" t="str">
        <f>_xlfn.CONCAT(_xlfn.XLOOKUP("[S06_InstallationsVerificationReportsIssueDetail]["&amp;1+ROW(B186)-ROW($B$133)&amp;"][TypeOfIssue]",Submission!$O:$O,Submission!$H:$N,""))</f>
        <v/>
      </c>
      <c r="F186" s="347"/>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3" t="str">
        <f>_xlfn.CONCAT(_xlfn.XLOOKUP("[S06_InstallationsVerificationReportsIssueDetail]["&amp;1+ROW(B186)-ROW($B$133)&amp;"][ShareOfReportsConservativeEstimate]",Submission!$O:$O,Submission!$H:$N,""))</f>
        <v/>
      </c>
    </row>
    <row r="187" spans="1:9" ht="26.4" hidden="1" customHeight="1" outlineLevel="1" x14ac:dyDescent="0.3">
      <c r="A187" s="13"/>
      <c r="C187" s="281" t="str">
        <f>_xlfn.CONCAT(_xlfn.XLOOKUP("[S06_InstallationsVerificationReportsIssueDetail]["&amp;1+ROW(B187)-ROW($B$133)&amp;"][AnnexIActivity]",Submission!$O:$O,Submission!$H:$N,""))</f>
        <v/>
      </c>
      <c r="D187" s="347"/>
      <c r="E187" s="281" t="str">
        <f>_xlfn.CONCAT(_xlfn.XLOOKUP("[S06_InstallationsVerificationReportsIssueDetail]["&amp;1+ROW(B187)-ROW($B$133)&amp;"][TypeOfIssue]",Submission!$O:$O,Submission!$H:$N,""))</f>
        <v/>
      </c>
      <c r="F187" s="347"/>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3" t="str">
        <f>_xlfn.CONCAT(_xlfn.XLOOKUP("[S06_InstallationsVerificationReportsIssueDetail]["&amp;1+ROW(B187)-ROW($B$133)&amp;"][ShareOfReportsConservativeEstimate]",Submission!$O:$O,Submission!$H:$N,""))</f>
        <v/>
      </c>
    </row>
    <row r="188" spans="1:9" ht="26.4" hidden="1" customHeight="1" outlineLevel="1" x14ac:dyDescent="0.3">
      <c r="A188" s="13"/>
      <c r="C188" s="281" t="str">
        <f>_xlfn.CONCAT(_xlfn.XLOOKUP("[S06_InstallationsVerificationReportsIssueDetail]["&amp;1+ROW(B188)-ROW($B$133)&amp;"][AnnexIActivity]",Submission!$O:$O,Submission!$H:$N,""))</f>
        <v/>
      </c>
      <c r="D188" s="347"/>
      <c r="E188" s="281" t="str">
        <f>_xlfn.CONCAT(_xlfn.XLOOKUP("[S06_InstallationsVerificationReportsIssueDetail]["&amp;1+ROW(B188)-ROW($B$133)&amp;"][TypeOfIssue]",Submission!$O:$O,Submission!$H:$N,""))</f>
        <v/>
      </c>
      <c r="F188" s="347"/>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3" t="str">
        <f>_xlfn.CONCAT(_xlfn.XLOOKUP("[S06_InstallationsVerificationReportsIssueDetail]["&amp;1+ROW(B188)-ROW($B$133)&amp;"][ShareOfReportsConservativeEstimate]",Submission!$O:$O,Submission!$H:$N,""))</f>
        <v/>
      </c>
    </row>
    <row r="189" spans="1:9" ht="26.4" hidden="1" customHeight="1" outlineLevel="1" x14ac:dyDescent="0.3">
      <c r="A189" s="13"/>
      <c r="C189" s="281" t="str">
        <f>_xlfn.CONCAT(_xlfn.XLOOKUP("[S06_InstallationsVerificationReportsIssueDetail]["&amp;1+ROW(B189)-ROW($B$133)&amp;"][AnnexIActivity]",Submission!$O:$O,Submission!$H:$N,""))</f>
        <v/>
      </c>
      <c r="D189" s="347"/>
      <c r="E189" s="281" t="str">
        <f>_xlfn.CONCAT(_xlfn.XLOOKUP("[S06_InstallationsVerificationReportsIssueDetail]["&amp;1+ROW(B189)-ROW($B$133)&amp;"][TypeOfIssue]",Submission!$O:$O,Submission!$H:$N,""))</f>
        <v/>
      </c>
      <c r="F189" s="347"/>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3" t="str">
        <f>_xlfn.CONCAT(_xlfn.XLOOKUP("[S06_InstallationsVerificationReportsIssueDetail]["&amp;1+ROW(B189)-ROW($B$133)&amp;"][ShareOfReportsConservativeEstimate]",Submission!$O:$O,Submission!$H:$N,""))</f>
        <v/>
      </c>
    </row>
    <row r="190" spans="1:9" ht="26.4" hidden="1" customHeight="1" outlineLevel="1" x14ac:dyDescent="0.3">
      <c r="A190" s="13"/>
      <c r="C190" s="281" t="str">
        <f>_xlfn.CONCAT(_xlfn.XLOOKUP("[S06_InstallationsVerificationReportsIssueDetail]["&amp;1+ROW(B190)-ROW($B$133)&amp;"][AnnexIActivity]",Submission!$O:$O,Submission!$H:$N,""))</f>
        <v/>
      </c>
      <c r="D190" s="347"/>
      <c r="E190" s="281" t="str">
        <f>_xlfn.CONCAT(_xlfn.XLOOKUP("[S06_InstallationsVerificationReportsIssueDetail]["&amp;1+ROW(B190)-ROW($B$133)&amp;"][TypeOfIssue]",Submission!$O:$O,Submission!$H:$N,""))</f>
        <v/>
      </c>
      <c r="F190" s="347"/>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3" t="str">
        <f>_xlfn.CONCAT(_xlfn.XLOOKUP("[S06_InstallationsVerificationReportsIssueDetail]["&amp;1+ROW(B190)-ROW($B$133)&amp;"][ShareOfReportsConservativeEstimate]",Submission!$O:$O,Submission!$H:$N,""))</f>
        <v/>
      </c>
    </row>
    <row r="191" spans="1:9" ht="26.4" hidden="1" customHeight="1" outlineLevel="1" x14ac:dyDescent="0.3">
      <c r="A191" s="13"/>
      <c r="C191" s="281" t="str">
        <f>_xlfn.CONCAT(_xlfn.XLOOKUP("[S06_InstallationsVerificationReportsIssueDetail]["&amp;1+ROW(B191)-ROW($B$133)&amp;"][AnnexIActivity]",Submission!$O:$O,Submission!$H:$N,""))</f>
        <v/>
      </c>
      <c r="D191" s="347"/>
      <c r="E191" s="281" t="str">
        <f>_xlfn.CONCAT(_xlfn.XLOOKUP("[S06_InstallationsVerificationReportsIssueDetail]["&amp;1+ROW(B191)-ROW($B$133)&amp;"][TypeOfIssue]",Submission!$O:$O,Submission!$H:$N,""))</f>
        <v/>
      </c>
      <c r="F191" s="347"/>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3" t="str">
        <f>_xlfn.CONCAT(_xlfn.XLOOKUP("[S06_InstallationsVerificationReportsIssueDetail]["&amp;1+ROW(B191)-ROW($B$133)&amp;"][ShareOfReportsConservativeEstimate]",Submission!$O:$O,Submission!$H:$N,""))</f>
        <v/>
      </c>
    </row>
    <row r="192" spans="1:9" ht="26.4" hidden="1" customHeight="1" outlineLevel="1" x14ac:dyDescent="0.3">
      <c r="A192" s="13"/>
      <c r="C192" s="281" t="str">
        <f>_xlfn.CONCAT(_xlfn.XLOOKUP("[S06_InstallationsVerificationReportsIssueDetail]["&amp;1+ROW(B192)-ROW($B$133)&amp;"][AnnexIActivity]",Submission!$O:$O,Submission!$H:$N,""))</f>
        <v/>
      </c>
      <c r="D192" s="347"/>
      <c r="E192" s="281" t="str">
        <f>_xlfn.CONCAT(_xlfn.XLOOKUP("[S06_InstallationsVerificationReportsIssueDetail]["&amp;1+ROW(B192)-ROW($B$133)&amp;"][TypeOfIssue]",Submission!$O:$O,Submission!$H:$N,""))</f>
        <v/>
      </c>
      <c r="F192" s="347"/>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3" t="str">
        <f>_xlfn.CONCAT(_xlfn.XLOOKUP("[S06_InstallationsVerificationReportsIssueDetail]["&amp;1+ROW(B192)-ROW($B$133)&amp;"][ShareOfReportsConservativeEstimate]",Submission!$O:$O,Submission!$H:$N,""))</f>
        <v/>
      </c>
    </row>
    <row r="193" spans="1:9" ht="26.4" hidden="1" customHeight="1" outlineLevel="1" x14ac:dyDescent="0.3">
      <c r="A193" s="13"/>
      <c r="C193" s="281" t="str">
        <f>_xlfn.CONCAT(_xlfn.XLOOKUP("[S06_InstallationsVerificationReportsIssueDetail]["&amp;1+ROW(B193)-ROW($B$133)&amp;"][AnnexIActivity]",Submission!$O:$O,Submission!$H:$N,""))</f>
        <v/>
      </c>
      <c r="D193" s="347"/>
      <c r="E193" s="281" t="str">
        <f>_xlfn.CONCAT(_xlfn.XLOOKUP("[S06_InstallationsVerificationReportsIssueDetail]["&amp;1+ROW(B193)-ROW($B$133)&amp;"][TypeOfIssue]",Submission!$O:$O,Submission!$H:$N,""))</f>
        <v/>
      </c>
      <c r="F193" s="347"/>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3" t="str">
        <f>_xlfn.CONCAT(_xlfn.XLOOKUP("[S06_InstallationsVerificationReportsIssueDetail]["&amp;1+ROW(B193)-ROW($B$133)&amp;"][ShareOfReportsConservativeEstimate]",Submission!$O:$O,Submission!$H:$N,""))</f>
        <v/>
      </c>
    </row>
    <row r="194" spans="1:9" ht="26.4" hidden="1" customHeight="1" outlineLevel="1" x14ac:dyDescent="0.3">
      <c r="A194" s="13"/>
      <c r="C194" s="281" t="str">
        <f>_xlfn.CONCAT(_xlfn.XLOOKUP("[S06_InstallationsVerificationReportsIssueDetail]["&amp;1+ROW(B194)-ROW($B$133)&amp;"][AnnexIActivity]",Submission!$O:$O,Submission!$H:$N,""))</f>
        <v/>
      </c>
      <c r="D194" s="347"/>
      <c r="E194" s="281" t="str">
        <f>_xlfn.CONCAT(_xlfn.XLOOKUP("[S06_InstallationsVerificationReportsIssueDetail]["&amp;1+ROW(B194)-ROW($B$133)&amp;"][TypeOfIssue]",Submission!$O:$O,Submission!$H:$N,""))</f>
        <v/>
      </c>
      <c r="F194" s="347"/>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3" t="str">
        <f>_xlfn.CONCAT(_xlfn.XLOOKUP("[S06_InstallationsVerificationReportsIssueDetail]["&amp;1+ROW(B194)-ROW($B$133)&amp;"][ShareOfReportsConservativeEstimate]",Submission!$O:$O,Submission!$H:$N,""))</f>
        <v/>
      </c>
    </row>
    <row r="195" spans="1:9" ht="26.4" hidden="1" customHeight="1" outlineLevel="1" x14ac:dyDescent="0.3">
      <c r="A195" s="13"/>
      <c r="C195" s="281" t="str">
        <f>_xlfn.CONCAT(_xlfn.XLOOKUP("[S06_InstallationsVerificationReportsIssueDetail]["&amp;1+ROW(B195)-ROW($B$133)&amp;"][AnnexIActivity]",Submission!$O:$O,Submission!$H:$N,""))</f>
        <v/>
      </c>
      <c r="D195" s="347"/>
      <c r="E195" s="281" t="str">
        <f>_xlfn.CONCAT(_xlfn.XLOOKUP("[S06_InstallationsVerificationReportsIssueDetail]["&amp;1+ROW(B195)-ROW($B$133)&amp;"][TypeOfIssue]",Submission!$O:$O,Submission!$H:$N,""))</f>
        <v/>
      </c>
      <c r="F195" s="347"/>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3" t="str">
        <f>_xlfn.CONCAT(_xlfn.XLOOKUP("[S06_InstallationsVerificationReportsIssueDetail]["&amp;1+ROW(B195)-ROW($B$133)&amp;"][ShareOfReportsConservativeEstimate]",Submission!$O:$O,Submission!$H:$N,""))</f>
        <v/>
      </c>
    </row>
    <row r="196" spans="1:9" ht="26.4" hidden="1" customHeight="1" outlineLevel="1" x14ac:dyDescent="0.3">
      <c r="A196" s="13"/>
      <c r="C196" s="281" t="str">
        <f>_xlfn.CONCAT(_xlfn.XLOOKUP("[S06_InstallationsVerificationReportsIssueDetail]["&amp;1+ROW(B196)-ROW($B$133)&amp;"][AnnexIActivity]",Submission!$O:$O,Submission!$H:$N,""))</f>
        <v/>
      </c>
      <c r="D196" s="347"/>
      <c r="E196" s="281" t="str">
        <f>_xlfn.CONCAT(_xlfn.XLOOKUP("[S06_InstallationsVerificationReportsIssueDetail]["&amp;1+ROW(B196)-ROW($B$133)&amp;"][TypeOfIssue]",Submission!$O:$O,Submission!$H:$N,""))</f>
        <v/>
      </c>
      <c r="F196" s="347"/>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3" t="str">
        <f>_xlfn.CONCAT(_xlfn.XLOOKUP("[S06_InstallationsVerificationReportsIssueDetail]["&amp;1+ROW(B196)-ROW($B$133)&amp;"][ShareOfReportsConservativeEstimate]",Submission!$O:$O,Submission!$H:$N,""))</f>
        <v/>
      </c>
    </row>
    <row r="197" spans="1:9" ht="26.4" hidden="1" customHeight="1" outlineLevel="1" x14ac:dyDescent="0.3">
      <c r="A197" s="13"/>
      <c r="C197" s="281" t="str">
        <f>_xlfn.CONCAT(_xlfn.XLOOKUP("[S06_InstallationsVerificationReportsIssueDetail]["&amp;1+ROW(B197)-ROW($B$133)&amp;"][AnnexIActivity]",Submission!$O:$O,Submission!$H:$N,""))</f>
        <v/>
      </c>
      <c r="D197" s="347"/>
      <c r="E197" s="281" t="str">
        <f>_xlfn.CONCAT(_xlfn.XLOOKUP("[S06_InstallationsVerificationReportsIssueDetail]["&amp;1+ROW(B197)-ROW($B$133)&amp;"][TypeOfIssue]",Submission!$O:$O,Submission!$H:$N,""))</f>
        <v/>
      </c>
      <c r="F197" s="347"/>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3" t="str">
        <f>_xlfn.CONCAT(_xlfn.XLOOKUP("[S06_InstallationsVerificationReportsIssueDetail]["&amp;1+ROW(B197)-ROW($B$133)&amp;"][ShareOfReportsConservativeEstimate]",Submission!$O:$O,Submission!$H:$N,""))</f>
        <v/>
      </c>
    </row>
    <row r="198" spans="1:9" ht="26.4" hidden="1" customHeight="1" outlineLevel="1" x14ac:dyDescent="0.3">
      <c r="A198" s="13"/>
      <c r="C198" s="281" t="str">
        <f>_xlfn.CONCAT(_xlfn.XLOOKUP("[S06_InstallationsVerificationReportsIssueDetail]["&amp;1+ROW(B198)-ROW($B$133)&amp;"][AnnexIActivity]",Submission!$O:$O,Submission!$H:$N,""))</f>
        <v/>
      </c>
      <c r="D198" s="347"/>
      <c r="E198" s="281" t="str">
        <f>_xlfn.CONCAT(_xlfn.XLOOKUP("[S06_InstallationsVerificationReportsIssueDetail]["&amp;1+ROW(B198)-ROW($B$133)&amp;"][TypeOfIssue]",Submission!$O:$O,Submission!$H:$N,""))</f>
        <v/>
      </c>
      <c r="F198" s="347"/>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3" t="str">
        <f>_xlfn.CONCAT(_xlfn.XLOOKUP("[S06_InstallationsVerificationReportsIssueDetail]["&amp;1+ROW(B198)-ROW($B$133)&amp;"][ShareOfReportsConservativeEstimate]",Submission!$O:$O,Submission!$H:$N,""))</f>
        <v/>
      </c>
    </row>
    <row r="199" spans="1:9" ht="26.4" hidden="1" customHeight="1" outlineLevel="1" x14ac:dyDescent="0.3">
      <c r="A199" s="13"/>
      <c r="C199" s="281" t="str">
        <f>_xlfn.CONCAT(_xlfn.XLOOKUP("[S06_InstallationsVerificationReportsIssueDetail]["&amp;1+ROW(B199)-ROW($B$133)&amp;"][AnnexIActivity]",Submission!$O:$O,Submission!$H:$N,""))</f>
        <v/>
      </c>
      <c r="D199" s="347"/>
      <c r="E199" s="281" t="str">
        <f>_xlfn.CONCAT(_xlfn.XLOOKUP("[S06_InstallationsVerificationReportsIssueDetail]["&amp;1+ROW(B199)-ROW($B$133)&amp;"][TypeOfIssue]",Submission!$O:$O,Submission!$H:$N,""))</f>
        <v/>
      </c>
      <c r="F199" s="347"/>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3" t="str">
        <f>_xlfn.CONCAT(_xlfn.XLOOKUP("[S06_InstallationsVerificationReportsIssueDetail]["&amp;1+ROW(B199)-ROW($B$133)&amp;"][ShareOfReportsConservativeEstimate]",Submission!$O:$O,Submission!$H:$N,""))</f>
        <v/>
      </c>
    </row>
    <row r="200" spans="1:9" ht="26.4" hidden="1" customHeight="1" outlineLevel="1" x14ac:dyDescent="0.3">
      <c r="A200" s="13"/>
      <c r="C200" s="281" t="str">
        <f>_xlfn.CONCAT(_xlfn.XLOOKUP("[S06_InstallationsVerificationReportsIssueDetail]["&amp;1+ROW(B200)-ROW($B$133)&amp;"][AnnexIActivity]",Submission!$O:$O,Submission!$H:$N,""))</f>
        <v/>
      </c>
      <c r="D200" s="347"/>
      <c r="E200" s="281" t="str">
        <f>_xlfn.CONCAT(_xlfn.XLOOKUP("[S06_InstallationsVerificationReportsIssueDetail]["&amp;1+ROW(B200)-ROW($B$133)&amp;"][TypeOfIssue]",Submission!$O:$O,Submission!$H:$N,""))</f>
        <v/>
      </c>
      <c r="F200" s="347"/>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3" t="str">
        <f>_xlfn.CONCAT(_xlfn.XLOOKUP("[S06_InstallationsVerificationReportsIssueDetail]["&amp;1+ROW(B200)-ROW($B$133)&amp;"][ShareOfReportsConservativeEstimate]",Submission!$O:$O,Submission!$H:$N,""))</f>
        <v/>
      </c>
    </row>
    <row r="201" spans="1:9" ht="26.4" hidden="1" customHeight="1" outlineLevel="1" x14ac:dyDescent="0.3">
      <c r="A201" s="13"/>
      <c r="C201" s="281" t="str">
        <f>_xlfn.CONCAT(_xlfn.XLOOKUP("[S06_InstallationsVerificationReportsIssueDetail]["&amp;1+ROW(B201)-ROW($B$133)&amp;"][AnnexIActivity]",Submission!$O:$O,Submission!$H:$N,""))</f>
        <v/>
      </c>
      <c r="D201" s="347"/>
      <c r="E201" s="281" t="str">
        <f>_xlfn.CONCAT(_xlfn.XLOOKUP("[S06_InstallationsVerificationReportsIssueDetail]["&amp;1+ROW(B201)-ROW($B$133)&amp;"][TypeOfIssue]",Submission!$O:$O,Submission!$H:$N,""))</f>
        <v/>
      </c>
      <c r="F201" s="347"/>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3" t="str">
        <f>_xlfn.CONCAT(_xlfn.XLOOKUP("[S06_InstallationsVerificationReportsIssueDetail]["&amp;1+ROW(B201)-ROW($B$133)&amp;"][ShareOfReportsConservativeEstimate]",Submission!$O:$O,Submission!$H:$N,""))</f>
        <v/>
      </c>
    </row>
    <row r="202" spans="1:9" ht="26.4" hidden="1" customHeight="1" outlineLevel="1" x14ac:dyDescent="0.3">
      <c r="A202" s="13"/>
      <c r="C202" s="281" t="str">
        <f>_xlfn.CONCAT(_xlfn.XLOOKUP("[S06_InstallationsVerificationReportsIssueDetail]["&amp;1+ROW(B202)-ROW($B$133)&amp;"][AnnexIActivity]",Submission!$O:$O,Submission!$H:$N,""))</f>
        <v/>
      </c>
      <c r="D202" s="347"/>
      <c r="E202" s="281" t="str">
        <f>_xlfn.CONCAT(_xlfn.XLOOKUP("[S06_InstallationsVerificationReportsIssueDetail]["&amp;1+ROW(B202)-ROW($B$133)&amp;"][TypeOfIssue]",Submission!$O:$O,Submission!$H:$N,""))</f>
        <v/>
      </c>
      <c r="F202" s="347"/>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3" t="str">
        <f>_xlfn.CONCAT(_xlfn.XLOOKUP("[S06_InstallationsVerificationReportsIssueDetail]["&amp;1+ROW(B202)-ROW($B$133)&amp;"][ShareOfReportsConservativeEstimate]",Submission!$O:$O,Submission!$H:$N,""))</f>
        <v/>
      </c>
    </row>
    <row r="203" spans="1:9" ht="26.4" hidden="1" customHeight="1" outlineLevel="1" x14ac:dyDescent="0.3">
      <c r="A203" s="13"/>
      <c r="C203" s="281" t="str">
        <f>_xlfn.CONCAT(_xlfn.XLOOKUP("[S06_InstallationsVerificationReportsIssueDetail]["&amp;1+ROW(B203)-ROW($B$133)&amp;"][AnnexIActivity]",Submission!$O:$O,Submission!$H:$N,""))</f>
        <v/>
      </c>
      <c r="D203" s="347"/>
      <c r="E203" s="281" t="str">
        <f>_xlfn.CONCAT(_xlfn.XLOOKUP("[S06_InstallationsVerificationReportsIssueDetail]["&amp;1+ROW(B203)-ROW($B$133)&amp;"][TypeOfIssue]",Submission!$O:$O,Submission!$H:$N,""))</f>
        <v/>
      </c>
      <c r="F203" s="347"/>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3" t="str">
        <f>_xlfn.CONCAT(_xlfn.XLOOKUP("[S06_InstallationsVerificationReportsIssueDetail]["&amp;1+ROW(B203)-ROW($B$133)&amp;"][ShareOfReportsConservativeEstimate]",Submission!$O:$O,Submission!$H:$N,""))</f>
        <v/>
      </c>
    </row>
    <row r="204" spans="1:9" ht="26.4" hidden="1" customHeight="1" outlineLevel="1" x14ac:dyDescent="0.3">
      <c r="A204" s="13"/>
      <c r="C204" s="281" t="str">
        <f>_xlfn.CONCAT(_xlfn.XLOOKUP("[S06_InstallationsVerificationReportsIssueDetail]["&amp;1+ROW(B204)-ROW($B$133)&amp;"][AnnexIActivity]",Submission!$O:$O,Submission!$H:$N,""))</f>
        <v/>
      </c>
      <c r="D204" s="347"/>
      <c r="E204" s="281" t="str">
        <f>_xlfn.CONCAT(_xlfn.XLOOKUP("[S06_InstallationsVerificationReportsIssueDetail]["&amp;1+ROW(B204)-ROW($B$133)&amp;"][TypeOfIssue]",Submission!$O:$O,Submission!$H:$N,""))</f>
        <v/>
      </c>
      <c r="F204" s="347"/>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3" t="str">
        <f>_xlfn.CONCAT(_xlfn.XLOOKUP("[S06_InstallationsVerificationReportsIssueDetail]["&amp;1+ROW(B204)-ROW($B$133)&amp;"][ShareOfReportsConservativeEstimate]",Submission!$O:$O,Submission!$H:$N,""))</f>
        <v/>
      </c>
    </row>
    <row r="205" spans="1:9" ht="26.4" hidden="1" customHeight="1" outlineLevel="1" x14ac:dyDescent="0.3">
      <c r="A205" s="13"/>
      <c r="C205" s="281" t="str">
        <f>_xlfn.CONCAT(_xlfn.XLOOKUP("[S06_InstallationsVerificationReportsIssueDetail]["&amp;1+ROW(B205)-ROW($B$133)&amp;"][AnnexIActivity]",Submission!$O:$O,Submission!$H:$N,""))</f>
        <v/>
      </c>
      <c r="D205" s="347"/>
      <c r="E205" s="281" t="str">
        <f>_xlfn.CONCAT(_xlfn.XLOOKUP("[S06_InstallationsVerificationReportsIssueDetail]["&amp;1+ROW(B205)-ROW($B$133)&amp;"][TypeOfIssue]",Submission!$O:$O,Submission!$H:$N,""))</f>
        <v/>
      </c>
      <c r="F205" s="347"/>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3" t="str">
        <f>_xlfn.CONCAT(_xlfn.XLOOKUP("[S06_InstallationsVerificationReportsIssueDetail]["&amp;1+ROW(B205)-ROW($B$133)&amp;"][ShareOfReportsConservativeEstimate]",Submission!$O:$O,Submission!$H:$N,""))</f>
        <v/>
      </c>
    </row>
    <row r="206" spans="1:9" ht="26.4" hidden="1" customHeight="1" outlineLevel="1" x14ac:dyDescent="0.3">
      <c r="A206" s="13"/>
      <c r="C206" s="281" t="str">
        <f>_xlfn.CONCAT(_xlfn.XLOOKUP("[S06_InstallationsVerificationReportsIssueDetail]["&amp;1+ROW(B206)-ROW($B$133)&amp;"][AnnexIActivity]",Submission!$O:$O,Submission!$H:$N,""))</f>
        <v/>
      </c>
      <c r="D206" s="347"/>
      <c r="E206" s="281" t="str">
        <f>_xlfn.CONCAT(_xlfn.XLOOKUP("[S06_InstallationsVerificationReportsIssueDetail]["&amp;1+ROW(B206)-ROW($B$133)&amp;"][TypeOfIssue]",Submission!$O:$O,Submission!$H:$N,""))</f>
        <v/>
      </c>
      <c r="F206" s="347"/>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3" t="str">
        <f>_xlfn.CONCAT(_xlfn.XLOOKUP("[S06_InstallationsVerificationReportsIssueDetail]["&amp;1+ROW(B206)-ROW($B$133)&amp;"][ShareOfReportsConservativeEstimate]",Submission!$O:$O,Submission!$H:$N,""))</f>
        <v/>
      </c>
    </row>
    <row r="207" spans="1:9" ht="26.4" hidden="1" customHeight="1" outlineLevel="1" x14ac:dyDescent="0.3">
      <c r="A207" s="13"/>
      <c r="C207" s="281" t="str">
        <f>_xlfn.CONCAT(_xlfn.XLOOKUP("[S06_InstallationsVerificationReportsIssueDetail]["&amp;1+ROW(B207)-ROW($B$133)&amp;"][AnnexIActivity]",Submission!$O:$O,Submission!$H:$N,""))</f>
        <v/>
      </c>
      <c r="D207" s="347"/>
      <c r="E207" s="281" t="str">
        <f>_xlfn.CONCAT(_xlfn.XLOOKUP("[S06_InstallationsVerificationReportsIssueDetail]["&amp;1+ROW(B207)-ROW($B$133)&amp;"][TypeOfIssue]",Submission!$O:$O,Submission!$H:$N,""))</f>
        <v/>
      </c>
      <c r="F207" s="347"/>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3" t="str">
        <f>_xlfn.CONCAT(_xlfn.XLOOKUP("[S06_InstallationsVerificationReportsIssueDetail]["&amp;1+ROW(B207)-ROW($B$133)&amp;"][ShareOfReportsConservativeEstimate]",Submission!$O:$O,Submission!$H:$N,""))</f>
        <v/>
      </c>
    </row>
    <row r="208" spans="1:9" ht="26.4" hidden="1" customHeight="1" outlineLevel="1" x14ac:dyDescent="0.3">
      <c r="A208" s="13"/>
      <c r="C208" s="281" t="str">
        <f>_xlfn.CONCAT(_xlfn.XLOOKUP("[S06_InstallationsVerificationReportsIssueDetail]["&amp;1+ROW(B208)-ROW($B$133)&amp;"][AnnexIActivity]",Submission!$O:$O,Submission!$H:$N,""))</f>
        <v/>
      </c>
      <c r="D208" s="347"/>
      <c r="E208" s="281" t="str">
        <f>_xlfn.CONCAT(_xlfn.XLOOKUP("[S06_InstallationsVerificationReportsIssueDetail]["&amp;1+ROW(B208)-ROW($B$133)&amp;"][TypeOfIssue]",Submission!$O:$O,Submission!$H:$N,""))</f>
        <v/>
      </c>
      <c r="F208" s="347"/>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3" t="str">
        <f>_xlfn.CONCAT(_xlfn.XLOOKUP("[S06_InstallationsVerificationReportsIssueDetail]["&amp;1+ROW(B208)-ROW($B$133)&amp;"][ShareOfReportsConservativeEstimate]",Submission!$O:$O,Submission!$H:$N,""))</f>
        <v/>
      </c>
    </row>
    <row r="209" spans="1:9" ht="26.4" hidden="1" customHeight="1" outlineLevel="1" x14ac:dyDescent="0.3">
      <c r="A209" s="13"/>
      <c r="C209" s="281" t="str">
        <f>_xlfn.CONCAT(_xlfn.XLOOKUP("[S06_InstallationsVerificationReportsIssueDetail]["&amp;1+ROW(B209)-ROW($B$133)&amp;"][AnnexIActivity]",Submission!$O:$O,Submission!$H:$N,""))</f>
        <v/>
      </c>
      <c r="D209" s="347"/>
      <c r="E209" s="281" t="str">
        <f>_xlfn.CONCAT(_xlfn.XLOOKUP("[S06_InstallationsVerificationReportsIssueDetail]["&amp;1+ROW(B209)-ROW($B$133)&amp;"][TypeOfIssue]",Submission!$O:$O,Submission!$H:$N,""))</f>
        <v/>
      </c>
      <c r="F209" s="347"/>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3" t="str">
        <f>_xlfn.CONCAT(_xlfn.XLOOKUP("[S06_InstallationsVerificationReportsIssueDetail]["&amp;1+ROW(B209)-ROW($B$133)&amp;"][ShareOfReportsConservativeEstimate]",Submission!$O:$O,Submission!$H:$N,""))</f>
        <v/>
      </c>
    </row>
    <row r="210" spans="1:9" ht="26.4" hidden="1" customHeight="1" outlineLevel="1" x14ac:dyDescent="0.3">
      <c r="A210" s="13"/>
      <c r="C210" s="281" t="str">
        <f>_xlfn.CONCAT(_xlfn.XLOOKUP("[S06_InstallationsVerificationReportsIssueDetail]["&amp;1+ROW(B210)-ROW($B$133)&amp;"][AnnexIActivity]",Submission!$O:$O,Submission!$H:$N,""))</f>
        <v/>
      </c>
      <c r="D210" s="347"/>
      <c r="E210" s="281" t="str">
        <f>_xlfn.CONCAT(_xlfn.XLOOKUP("[S06_InstallationsVerificationReportsIssueDetail]["&amp;1+ROW(B210)-ROW($B$133)&amp;"][TypeOfIssue]",Submission!$O:$O,Submission!$H:$N,""))</f>
        <v/>
      </c>
      <c r="F210" s="347"/>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3" t="str">
        <f>_xlfn.CONCAT(_xlfn.XLOOKUP("[S06_InstallationsVerificationReportsIssueDetail]["&amp;1+ROW(B210)-ROW($B$133)&amp;"][ShareOfReportsConservativeEstimate]",Submission!$O:$O,Submission!$H:$N,""))</f>
        <v/>
      </c>
    </row>
    <row r="211" spans="1:9" ht="26.4" hidden="1" customHeight="1" outlineLevel="1" x14ac:dyDescent="0.3">
      <c r="A211" s="13"/>
      <c r="C211" s="281" t="str">
        <f>_xlfn.CONCAT(_xlfn.XLOOKUP("[S06_InstallationsVerificationReportsIssueDetail]["&amp;1+ROW(B211)-ROW($B$133)&amp;"][AnnexIActivity]",Submission!$O:$O,Submission!$H:$N,""))</f>
        <v/>
      </c>
      <c r="D211" s="347"/>
      <c r="E211" s="281" t="str">
        <f>_xlfn.CONCAT(_xlfn.XLOOKUP("[S06_InstallationsVerificationReportsIssueDetail]["&amp;1+ROW(B211)-ROW($B$133)&amp;"][TypeOfIssue]",Submission!$O:$O,Submission!$H:$N,""))</f>
        <v/>
      </c>
      <c r="F211" s="347"/>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3" t="str">
        <f>_xlfn.CONCAT(_xlfn.XLOOKUP("[S06_InstallationsVerificationReportsIssueDetail]["&amp;1+ROW(B211)-ROW($B$133)&amp;"][ShareOfReportsConservativeEstimate]",Submission!$O:$O,Submission!$H:$N,""))</f>
        <v/>
      </c>
    </row>
    <row r="212" spans="1:9" ht="26.4" hidden="1" customHeight="1" outlineLevel="1" x14ac:dyDescent="0.3">
      <c r="A212" s="13"/>
      <c r="C212" s="281" t="str">
        <f>_xlfn.CONCAT(_xlfn.XLOOKUP("[S06_InstallationsVerificationReportsIssueDetail]["&amp;1+ROW(B212)-ROW($B$133)&amp;"][AnnexIActivity]",Submission!$O:$O,Submission!$H:$N,""))</f>
        <v/>
      </c>
      <c r="D212" s="347"/>
      <c r="E212" s="281" t="str">
        <f>_xlfn.CONCAT(_xlfn.XLOOKUP("[S06_InstallationsVerificationReportsIssueDetail]["&amp;1+ROW(B212)-ROW($B$133)&amp;"][TypeOfIssue]",Submission!$O:$O,Submission!$H:$N,""))</f>
        <v/>
      </c>
      <c r="F212" s="347"/>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3" t="str">
        <f>_xlfn.CONCAT(_xlfn.XLOOKUP("[S06_InstallationsVerificationReportsIssueDetail]["&amp;1+ROW(B212)-ROW($B$133)&amp;"][ShareOfReportsConservativeEstimate]",Submission!$O:$O,Submission!$H:$N,""))</f>
        <v/>
      </c>
    </row>
    <row r="213" spans="1:9" ht="26.4" hidden="1" customHeight="1" outlineLevel="1" x14ac:dyDescent="0.3">
      <c r="A213" s="13"/>
      <c r="C213" s="281" t="str">
        <f>_xlfn.CONCAT(_xlfn.XLOOKUP("[S06_InstallationsVerificationReportsIssueDetail]["&amp;1+ROW(B213)-ROW($B$133)&amp;"][AnnexIActivity]",Submission!$O:$O,Submission!$H:$N,""))</f>
        <v/>
      </c>
      <c r="D213" s="347"/>
      <c r="E213" s="281" t="str">
        <f>_xlfn.CONCAT(_xlfn.XLOOKUP("[S06_InstallationsVerificationReportsIssueDetail]["&amp;1+ROW(B213)-ROW($B$133)&amp;"][TypeOfIssue]",Submission!$O:$O,Submission!$H:$N,""))</f>
        <v/>
      </c>
      <c r="F213" s="347"/>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3" t="str">
        <f>_xlfn.CONCAT(_xlfn.XLOOKUP("[S06_InstallationsVerificationReportsIssueDetail]["&amp;1+ROW(B213)-ROW($B$133)&amp;"][ShareOfReportsConservativeEstimate]",Submission!$O:$O,Submission!$H:$N,""))</f>
        <v/>
      </c>
    </row>
    <row r="214" spans="1:9" ht="26.4" hidden="1" customHeight="1" outlineLevel="1" x14ac:dyDescent="0.3">
      <c r="A214" s="13"/>
      <c r="C214" s="281" t="str">
        <f>_xlfn.CONCAT(_xlfn.XLOOKUP("[S06_InstallationsVerificationReportsIssueDetail]["&amp;1+ROW(B214)-ROW($B$133)&amp;"][AnnexIActivity]",Submission!$O:$O,Submission!$H:$N,""))</f>
        <v/>
      </c>
      <c r="D214" s="347"/>
      <c r="E214" s="281" t="str">
        <f>_xlfn.CONCAT(_xlfn.XLOOKUP("[S06_InstallationsVerificationReportsIssueDetail]["&amp;1+ROW(B214)-ROW($B$133)&amp;"][TypeOfIssue]",Submission!$O:$O,Submission!$H:$N,""))</f>
        <v/>
      </c>
      <c r="F214" s="347"/>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3" t="str">
        <f>_xlfn.CONCAT(_xlfn.XLOOKUP("[S06_InstallationsVerificationReportsIssueDetail]["&amp;1+ROW(B214)-ROW($B$133)&amp;"][ShareOfReportsConservativeEstimate]",Submission!$O:$O,Submission!$H:$N,""))</f>
        <v/>
      </c>
    </row>
    <row r="215" spans="1:9" ht="26.4" hidden="1" customHeight="1" outlineLevel="1" x14ac:dyDescent="0.3">
      <c r="A215" s="13"/>
      <c r="C215" s="281" t="str">
        <f>_xlfn.CONCAT(_xlfn.XLOOKUP("[S06_InstallationsVerificationReportsIssueDetail]["&amp;1+ROW(B215)-ROW($B$133)&amp;"][AnnexIActivity]",Submission!$O:$O,Submission!$H:$N,""))</f>
        <v/>
      </c>
      <c r="D215" s="347"/>
      <c r="E215" s="281" t="str">
        <f>_xlfn.CONCAT(_xlfn.XLOOKUP("[S06_InstallationsVerificationReportsIssueDetail]["&amp;1+ROW(B215)-ROW($B$133)&amp;"][TypeOfIssue]",Submission!$O:$O,Submission!$H:$N,""))</f>
        <v/>
      </c>
      <c r="F215" s="347"/>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3" t="str">
        <f>_xlfn.CONCAT(_xlfn.XLOOKUP("[S06_InstallationsVerificationReportsIssueDetail]["&amp;1+ROW(B215)-ROW($B$133)&amp;"][ShareOfReportsConservativeEstimate]",Submission!$O:$O,Submission!$H:$N,""))</f>
        <v/>
      </c>
    </row>
    <row r="216" spans="1:9" ht="26.4" hidden="1" customHeight="1" outlineLevel="1" x14ac:dyDescent="0.3">
      <c r="A216" s="13"/>
      <c r="C216" s="281" t="str">
        <f>_xlfn.CONCAT(_xlfn.XLOOKUP("[S06_InstallationsVerificationReportsIssueDetail]["&amp;1+ROW(B216)-ROW($B$133)&amp;"][AnnexIActivity]",Submission!$O:$O,Submission!$H:$N,""))</f>
        <v/>
      </c>
      <c r="D216" s="347"/>
      <c r="E216" s="281" t="str">
        <f>_xlfn.CONCAT(_xlfn.XLOOKUP("[S06_InstallationsVerificationReportsIssueDetail]["&amp;1+ROW(B216)-ROW($B$133)&amp;"][TypeOfIssue]",Submission!$O:$O,Submission!$H:$N,""))</f>
        <v/>
      </c>
      <c r="F216" s="347"/>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3" t="str">
        <f>_xlfn.CONCAT(_xlfn.XLOOKUP("[S06_InstallationsVerificationReportsIssueDetail]["&amp;1+ROW(B216)-ROW($B$133)&amp;"][ShareOfReportsConservativeEstimate]",Submission!$O:$O,Submission!$H:$N,""))</f>
        <v/>
      </c>
    </row>
    <row r="217" spans="1:9" ht="26.4" hidden="1" customHeight="1" outlineLevel="1" x14ac:dyDescent="0.3">
      <c r="A217" s="13"/>
      <c r="C217" s="281" t="str">
        <f>_xlfn.CONCAT(_xlfn.XLOOKUP("[S06_InstallationsVerificationReportsIssueDetail]["&amp;1+ROW(B217)-ROW($B$133)&amp;"][AnnexIActivity]",Submission!$O:$O,Submission!$H:$N,""))</f>
        <v/>
      </c>
      <c r="D217" s="347"/>
      <c r="E217" s="281" t="str">
        <f>_xlfn.CONCAT(_xlfn.XLOOKUP("[S06_InstallationsVerificationReportsIssueDetail]["&amp;1+ROW(B217)-ROW($B$133)&amp;"][TypeOfIssue]",Submission!$O:$O,Submission!$H:$N,""))</f>
        <v/>
      </c>
      <c r="F217" s="347"/>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3" t="str">
        <f>_xlfn.CONCAT(_xlfn.XLOOKUP("[S06_InstallationsVerificationReportsIssueDetail]["&amp;1+ROW(B217)-ROW($B$133)&amp;"][ShareOfReportsConservativeEstimate]",Submission!$O:$O,Submission!$H:$N,""))</f>
        <v/>
      </c>
    </row>
    <row r="218" spans="1:9" ht="26.4" hidden="1" customHeight="1" outlineLevel="1" x14ac:dyDescent="0.3">
      <c r="A218" s="13"/>
      <c r="C218" s="281" t="str">
        <f>_xlfn.CONCAT(_xlfn.XLOOKUP("[S06_InstallationsVerificationReportsIssueDetail]["&amp;1+ROW(B218)-ROW($B$133)&amp;"][AnnexIActivity]",Submission!$O:$O,Submission!$H:$N,""))</f>
        <v/>
      </c>
      <c r="D218" s="347"/>
      <c r="E218" s="281" t="str">
        <f>_xlfn.CONCAT(_xlfn.XLOOKUP("[S06_InstallationsVerificationReportsIssueDetail]["&amp;1+ROW(B218)-ROW($B$133)&amp;"][TypeOfIssue]",Submission!$O:$O,Submission!$H:$N,""))</f>
        <v/>
      </c>
      <c r="F218" s="347"/>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3" t="str">
        <f>_xlfn.CONCAT(_xlfn.XLOOKUP("[S06_InstallationsVerificationReportsIssueDetail]["&amp;1+ROW(B218)-ROW($B$133)&amp;"][ShareOfReportsConservativeEstimate]",Submission!$O:$O,Submission!$H:$N,""))</f>
        <v/>
      </c>
    </row>
    <row r="219" spans="1:9" ht="26.4" hidden="1" customHeight="1" outlineLevel="1" x14ac:dyDescent="0.3">
      <c r="A219" s="13"/>
      <c r="C219" s="281" t="str">
        <f>_xlfn.CONCAT(_xlfn.XLOOKUP("[S06_InstallationsVerificationReportsIssueDetail]["&amp;1+ROW(B219)-ROW($B$133)&amp;"][AnnexIActivity]",Submission!$O:$O,Submission!$H:$N,""))</f>
        <v/>
      </c>
      <c r="D219" s="347"/>
      <c r="E219" s="281" t="str">
        <f>_xlfn.CONCAT(_xlfn.XLOOKUP("[S06_InstallationsVerificationReportsIssueDetail]["&amp;1+ROW(B219)-ROW($B$133)&amp;"][TypeOfIssue]",Submission!$O:$O,Submission!$H:$N,""))</f>
        <v/>
      </c>
      <c r="F219" s="347"/>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3" t="str">
        <f>_xlfn.CONCAT(_xlfn.XLOOKUP("[S06_InstallationsVerificationReportsIssueDetail]["&amp;1+ROW(B219)-ROW($B$133)&amp;"][ShareOfReportsConservativeEstimate]",Submission!$O:$O,Submission!$H:$N,""))</f>
        <v/>
      </c>
    </row>
    <row r="220" spans="1:9" ht="26.4" hidden="1" customHeight="1" outlineLevel="1" x14ac:dyDescent="0.3">
      <c r="A220" s="13"/>
      <c r="C220" s="281" t="str">
        <f>_xlfn.CONCAT(_xlfn.XLOOKUP("[S06_InstallationsVerificationReportsIssueDetail]["&amp;1+ROW(B220)-ROW($B$133)&amp;"][AnnexIActivity]",Submission!$O:$O,Submission!$H:$N,""))</f>
        <v/>
      </c>
      <c r="D220" s="347"/>
      <c r="E220" s="281" t="str">
        <f>_xlfn.CONCAT(_xlfn.XLOOKUP("[S06_InstallationsVerificationReportsIssueDetail]["&amp;1+ROW(B220)-ROW($B$133)&amp;"][TypeOfIssue]",Submission!$O:$O,Submission!$H:$N,""))</f>
        <v/>
      </c>
      <c r="F220" s="347"/>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3" t="str">
        <f>_xlfn.CONCAT(_xlfn.XLOOKUP("[S06_InstallationsVerificationReportsIssueDetail]["&amp;1+ROW(B220)-ROW($B$133)&amp;"][ShareOfReportsConservativeEstimate]",Submission!$O:$O,Submission!$H:$N,""))</f>
        <v/>
      </c>
    </row>
    <row r="221" spans="1:9" ht="26.4" hidden="1" customHeight="1" outlineLevel="1" x14ac:dyDescent="0.3">
      <c r="A221" s="13"/>
      <c r="C221" s="281" t="str">
        <f>_xlfn.CONCAT(_xlfn.XLOOKUP("[S06_InstallationsVerificationReportsIssueDetail]["&amp;1+ROW(B221)-ROW($B$133)&amp;"][AnnexIActivity]",Submission!$O:$O,Submission!$H:$N,""))</f>
        <v/>
      </c>
      <c r="D221" s="347"/>
      <c r="E221" s="281" t="str">
        <f>_xlfn.CONCAT(_xlfn.XLOOKUP("[S06_InstallationsVerificationReportsIssueDetail]["&amp;1+ROW(B221)-ROW($B$133)&amp;"][TypeOfIssue]",Submission!$O:$O,Submission!$H:$N,""))</f>
        <v/>
      </c>
      <c r="F221" s="347"/>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3" t="str">
        <f>_xlfn.CONCAT(_xlfn.XLOOKUP("[S06_InstallationsVerificationReportsIssueDetail]["&amp;1+ROW(B221)-ROW($B$133)&amp;"][ShareOfReportsConservativeEstimate]",Submission!$O:$O,Submission!$H:$N,""))</f>
        <v/>
      </c>
    </row>
    <row r="222" spans="1:9" ht="26.4" hidden="1" customHeight="1" outlineLevel="1" x14ac:dyDescent="0.3">
      <c r="A222" s="13"/>
      <c r="C222" s="281" t="str">
        <f>_xlfn.CONCAT(_xlfn.XLOOKUP("[S06_InstallationsVerificationReportsIssueDetail]["&amp;1+ROW(B222)-ROW($B$133)&amp;"][AnnexIActivity]",Submission!$O:$O,Submission!$H:$N,""))</f>
        <v/>
      </c>
      <c r="D222" s="347"/>
      <c r="E222" s="281" t="str">
        <f>_xlfn.CONCAT(_xlfn.XLOOKUP("[S06_InstallationsVerificationReportsIssueDetail]["&amp;1+ROW(B222)-ROW($B$133)&amp;"][TypeOfIssue]",Submission!$O:$O,Submission!$H:$N,""))</f>
        <v/>
      </c>
      <c r="F222" s="347"/>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3"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48" t="s">
        <v>1048</v>
      </c>
      <c r="D224" s="249"/>
      <c r="E224" s="249"/>
      <c r="F224" s="249"/>
      <c r="G224" s="249"/>
      <c r="H224" s="249"/>
      <c r="I224" s="249"/>
    </row>
    <row r="225" spans="1:9" ht="15.9" customHeight="1" x14ac:dyDescent="0.3">
      <c r="A225" s="13"/>
    </row>
    <row r="226" spans="1:9" ht="15.9" customHeight="1" x14ac:dyDescent="0.3">
      <c r="A226" s="12" t="s">
        <v>382</v>
      </c>
      <c r="B226" s="293" t="s">
        <v>1049</v>
      </c>
      <c r="C226" s="294"/>
      <c r="D226" s="294"/>
      <c r="E226" s="294"/>
      <c r="F226" s="294"/>
      <c r="G226" s="294"/>
      <c r="H226" s="295"/>
      <c r="I226" s="41" t="str">
        <f>_xlfn.CONCAT(_xlfn.XLOOKUP("[InstallationsVerificationReportChecks][0][InstallationsVerificationReportChecks]",Submission!$O:$O,Submission!$H:$N,""))</f>
        <v>Yes</v>
      </c>
    </row>
    <row r="227" spans="1:9" ht="18" customHeight="1" x14ac:dyDescent="0.3">
      <c r="A227" s="12"/>
      <c r="B227" s="271" t="s">
        <v>1050</v>
      </c>
      <c r="C227" s="272"/>
      <c r="D227" s="272"/>
      <c r="E227" s="272"/>
      <c r="F227" s="272"/>
      <c r="G227" s="272"/>
      <c r="H227" s="272"/>
      <c r="I227" s="272"/>
    </row>
    <row r="228" spans="1:9" ht="15.9" customHeight="1" x14ac:dyDescent="0.3">
      <c r="C228" s="315" t="s">
        <v>1051</v>
      </c>
      <c r="D228" s="379"/>
      <c r="E228" s="379"/>
      <c r="F228" s="379"/>
      <c r="G228" s="379"/>
      <c r="H228" s="379"/>
      <c r="I228" s="336"/>
    </row>
    <row r="229" spans="1:9" s="58" customFormat="1" ht="27.6" customHeight="1" x14ac:dyDescent="0.3">
      <c r="A229" s="75"/>
      <c r="C229" s="246" t="s">
        <v>1052</v>
      </c>
      <c r="D229" s="283"/>
      <c r="E229" s="283"/>
      <c r="F229" s="239"/>
      <c r="G229" s="133" t="str">
        <f>_xlfn.CONCAT(_xlfn.XLOOKUP("[S06_InstallationsVerificationReportChecksDetail1][1][PercentageShare]",Submission!$O:$O,Submission!$H:$N,""))</f>
        <v>1</v>
      </c>
      <c r="H229" s="440"/>
      <c r="I229" s="441"/>
    </row>
    <row r="230" spans="1:9" s="58" customFormat="1" ht="27.6" customHeight="1" x14ac:dyDescent="0.3">
      <c r="C230" s="246" t="s">
        <v>1053</v>
      </c>
      <c r="D230" s="283"/>
      <c r="E230" s="283"/>
      <c r="F230" s="239"/>
      <c r="G230" s="133" t="str">
        <f>_xlfn.CONCAT(_xlfn.XLOOKUP("[S06_InstallationsVerificationReportChecksDetail1][2][PercentageShare]",Submission!$O:$O,Submission!$H:$N,""))</f>
        <v>1</v>
      </c>
      <c r="H230" s="440"/>
      <c r="I230" s="441"/>
    </row>
    <row r="231" spans="1:9" s="58" customFormat="1" ht="27.6" customHeight="1" x14ac:dyDescent="0.3">
      <c r="C231" s="246" t="s">
        <v>1054</v>
      </c>
      <c r="D231" s="283"/>
      <c r="E231" s="283"/>
      <c r="F231" s="239"/>
      <c r="G231" s="133" t="str">
        <f>_xlfn.CONCAT(_xlfn.XLOOKUP("[S06_InstallationsVerificationReportChecksDetail1][3][PercentageShare]",Submission!$O:$O,Submission!$H:$N,""))</f>
        <v>0</v>
      </c>
      <c r="H231" s="440"/>
      <c r="I231" s="441"/>
    </row>
    <row r="232" spans="1:9" s="58" customFormat="1" ht="27.6" customHeight="1" x14ac:dyDescent="0.3">
      <c r="C232" s="246" t="s">
        <v>1055</v>
      </c>
      <c r="D232" s="283"/>
      <c r="E232" s="283"/>
      <c r="F232" s="239"/>
      <c r="G232" s="133" t="str">
        <f>_xlfn.CONCAT(_xlfn.XLOOKUP("[S06_InstallationsVerificationReportChecksDetail1][4][PercentageShare]",Submission!$O:$O,Submission!$H:$N,""))</f>
        <v>0</v>
      </c>
      <c r="H232" s="251" t="str">
        <f>_xlfn.CONCAT(_xlfn.XLOOKUP("[S06_InstallationsVerificationReportChecksDetail1][4][FurtherInformation]",Submission!$O:$O,Submission!$H:$N,""))</f>
        <v/>
      </c>
      <c r="I232" s="252"/>
    </row>
    <row r="233" spans="1:9" s="58" customFormat="1" ht="57.6" customHeight="1" x14ac:dyDescent="0.3">
      <c r="C233" s="246" t="s">
        <v>1056</v>
      </c>
      <c r="D233" s="283"/>
      <c r="E233" s="283"/>
      <c r="F233" s="239"/>
      <c r="G233" s="133" t="str">
        <f>_xlfn.CONCAT(_xlfn.XLOOKUP("[S06_InstallationsVerificationReportChecksDetail1][5][PercentageShare]",Submission!$O:$O,Submission!$H:$N,""))</f>
        <v>1</v>
      </c>
      <c r="H233" s="129" t="str">
        <f>_xlfn.CONCAT(_xlfn.XLOOKUP("[S06_InstallationsVerificationReportChecksDetail1][5][SelectingCriteria]",Submission!$O:$O,Submission!$H:$N,""))</f>
        <v>Other, please specify</v>
      </c>
      <c r="I233" s="130" t="str">
        <f>_xlfn.CONCAT(_xlfn.XLOOKUP("[S06_InstallationsVerificationReportChecksDetail1][5][FurtherInformation]",Submission!$O:$O,Submission!$H:$N,""))</f>
        <v>All annual emission reports are checked.</v>
      </c>
    </row>
    <row r="234" spans="1:9" s="58" customFormat="1" ht="27.6" customHeight="1" x14ac:dyDescent="0.3">
      <c r="C234" s="246" t="s">
        <v>1057</v>
      </c>
      <c r="D234" s="283"/>
      <c r="E234" s="283"/>
      <c r="F234" s="239"/>
      <c r="G234" s="135" t="str">
        <f>_xlfn.CONCAT(_xlfn.XLOOKUP("[S06_InstallationsVerificationReportChecksDetail2][1][NumberOfReports]",Submission!$O:$O,Submission!$H:$N,""))</f>
        <v>0</v>
      </c>
      <c r="H234" s="440"/>
      <c r="I234" s="441"/>
    </row>
    <row r="235" spans="1:9" s="58" customFormat="1" ht="27.6" customHeight="1" x14ac:dyDescent="0.3">
      <c r="C235" s="246" t="s">
        <v>1058</v>
      </c>
      <c r="D235" s="283"/>
      <c r="E235" s="283"/>
      <c r="F235" s="239"/>
      <c r="G235" s="135" t="str">
        <f>_xlfn.CONCAT(_xlfn.XLOOKUP("[S06_InstallationsVerificationReportChecksDetail2][2][NumberOfReports]",Submission!$O:$O,Submission!$H:$N,""))</f>
        <v>0</v>
      </c>
      <c r="H235" s="251" t="str">
        <f>_xlfn.CONCAT(_xlfn.XLOOKUP("[S06_InstallationsVerificationReportChecksDetail2][2][FurtherInformation]",Submission!$O:$O,Submission!$H:$N,""))</f>
        <v/>
      </c>
      <c r="I235" s="252"/>
    </row>
    <row r="236" spans="1:9" s="58" customFormat="1" ht="27.6" customHeight="1" x14ac:dyDescent="0.3">
      <c r="C236" s="246" t="s">
        <v>1059</v>
      </c>
      <c r="D236" s="283"/>
      <c r="E236" s="283"/>
      <c r="F236" s="239"/>
      <c r="G236" s="284" t="str">
        <f>_xlfn.CONCAT(_xlfn.XLOOKUP("[S06_InstallationsVerificationReportChecksDetail3][1][ActionsTaken]",Submission!$O:$O,Submission!$H:$N,""))</f>
        <v>Not applicable.</v>
      </c>
      <c r="H236" s="348"/>
      <c r="I236" s="285"/>
    </row>
    <row r="237" spans="1:9" s="58" customFormat="1" ht="27.6" customHeight="1" x14ac:dyDescent="0.3">
      <c r="C237" s="246" t="s">
        <v>1060</v>
      </c>
      <c r="D237" s="283"/>
      <c r="E237" s="283"/>
      <c r="F237" s="239"/>
      <c r="G237" s="284" t="str">
        <f>_xlfn.CONCAT(_xlfn.XLOOKUP("[S06_InstallationsVerificationReportChecksDetail3][2][ActionsTaken]",Submission!$O:$O,Submission!$H:$N,""))</f>
        <v>Not applicable.</v>
      </c>
      <c r="H237" s="348"/>
      <c r="I237" s="285"/>
    </row>
    <row r="238" spans="1:9" ht="15.9" customHeight="1" x14ac:dyDescent="0.3">
      <c r="A238" s="13"/>
      <c r="C238" s="395" t="s">
        <v>1061</v>
      </c>
      <c r="D238" s="396"/>
      <c r="E238" s="396"/>
      <c r="F238" s="396"/>
      <c r="G238" s="396"/>
      <c r="H238" s="396"/>
      <c r="I238" s="396"/>
    </row>
    <row r="239" spans="1:9" ht="15.9" customHeight="1" x14ac:dyDescent="0.3"/>
    <row r="240" spans="1:9" ht="17.100000000000001" customHeight="1" x14ac:dyDescent="0.3">
      <c r="A240" s="12" t="s">
        <v>387</v>
      </c>
      <c r="B240" s="293" t="s">
        <v>1062</v>
      </c>
      <c r="C240" s="294"/>
      <c r="D240" s="294"/>
      <c r="E240" s="294"/>
      <c r="F240" s="294"/>
      <c r="G240" s="294"/>
      <c r="H240" s="295"/>
      <c r="I240" s="41" t="str">
        <f>_xlfn.CONCAT(_xlfn.XLOOKUP("[InstallationVisitsWaivedHighEmitters][0][InstallationVisitsWaivedHighEmitters]",Submission!$O:$O,Submission!$H:$N,""))</f>
        <v>No</v>
      </c>
    </row>
    <row r="241" spans="1:9" ht="18.600000000000001" customHeight="1" x14ac:dyDescent="0.3">
      <c r="A241" s="12"/>
      <c r="B241" s="271" t="s">
        <v>1063</v>
      </c>
      <c r="C241" s="272"/>
      <c r="D241" s="272"/>
      <c r="E241" s="272"/>
      <c r="F241" s="272"/>
      <c r="G241" s="272"/>
      <c r="H241" s="272"/>
      <c r="I241" s="272"/>
    </row>
    <row r="242" spans="1:9" ht="32.4" customHeight="1" x14ac:dyDescent="0.3">
      <c r="C242" s="303" t="s">
        <v>1064</v>
      </c>
      <c r="D242" s="305"/>
      <c r="E242" s="303" t="s">
        <v>879</v>
      </c>
      <c r="F242" s="330"/>
      <c r="G242" s="309"/>
      <c r="H242" s="303" t="s">
        <v>1045</v>
      </c>
      <c r="I242" s="309"/>
    </row>
    <row r="243" spans="1:9" ht="15.9" customHeight="1" x14ac:dyDescent="0.3">
      <c r="C243" s="412" t="str">
        <f>_xlfn.CONCAT(_xlfn.XLOOKUP("[S06_InstallationsVisitsWaivedHighEmittersDetail][1][ConditionForWaiving]",Submission!$O:$O,Submission!$H:$N,""))</f>
        <v/>
      </c>
      <c r="D243" s="414"/>
      <c r="E243" s="281" t="str">
        <f>_xlfn.CONCAT(_xlfn.XLOOKUP("[S06_InstallationsVisitsWaivedHighEmittersDetail][1][AnnexIActivity]",Submission!$O:$O,Submission!$H:$N,""))</f>
        <v/>
      </c>
      <c r="F243" s="348"/>
      <c r="G243" s="285"/>
      <c r="H243" s="322" t="str">
        <f>_xlfn.CONCAT(_xlfn.XLOOKUP("[S06_InstallationsVisitsWaivedHighEmittersDetail][1][NumberOfInstallations]",Submission!$O:$O,Submission!$H:$N,""))</f>
        <v/>
      </c>
      <c r="I243" s="324"/>
    </row>
    <row r="244" spans="1:9" ht="15.9" customHeight="1" x14ac:dyDescent="0.3">
      <c r="A244" s="13"/>
      <c r="C244" s="412" t="str">
        <f>_xlfn.CONCAT(_xlfn.XLOOKUP("[S06_InstallationsVisitsWaivedHighEmittersDetail][2][ConditionForWaiving]",Submission!$O:$O,Submission!$H:$N,""))</f>
        <v/>
      </c>
      <c r="D244" s="414"/>
      <c r="E244" s="281" t="str">
        <f>_xlfn.CONCAT(_xlfn.XLOOKUP("[S06_InstallationsVisitsWaivedHighEmittersDetail][2][AnnexIActivity]",Submission!$O:$O,Submission!$H:$N,""))</f>
        <v/>
      </c>
      <c r="F244" s="348"/>
      <c r="G244" s="285"/>
      <c r="H244" s="322" t="str">
        <f>_xlfn.CONCAT(_xlfn.XLOOKUP("[S06_InstallationsVisitsWaivedHighEmittersDetail][2][NumberOfInstallations]",Submission!$O:$O,Submission!$H:$N,""))</f>
        <v/>
      </c>
      <c r="I244" s="324"/>
    </row>
    <row r="245" spans="1:9" ht="15.9" customHeight="1" x14ac:dyDescent="0.3">
      <c r="A245" s="13"/>
      <c r="C245" s="412" t="str">
        <f>_xlfn.CONCAT(_xlfn.XLOOKUP("[S06_InstallationsVisitsWaivedHighEmittersDetail][3][ConditionForWaiving]",Submission!$O:$O,Submission!$H:$N,""))</f>
        <v/>
      </c>
      <c r="D245" s="414"/>
      <c r="E245" s="281" t="str">
        <f>_xlfn.CONCAT(_xlfn.XLOOKUP("[S06_InstallationsVisitsWaivedHighEmittersDetail][3][AnnexIActivity]",Submission!$O:$O,Submission!$H:$N,""))</f>
        <v/>
      </c>
      <c r="F245" s="348"/>
      <c r="G245" s="285"/>
      <c r="H245" s="432" t="str">
        <f>_xlfn.CONCAT(_xlfn.XLOOKUP("[S06_InstallationsVisitsWaivedHighEmittersDetail][3][NumberOfInstallations]",Submission!$O:$O,Submission!$H:$N,""))</f>
        <v/>
      </c>
      <c r="I245" s="433"/>
    </row>
    <row r="246" spans="1:9" ht="15.9" customHeight="1" x14ac:dyDescent="0.3">
      <c r="A246" s="13"/>
      <c r="C246" s="412" t="str">
        <f>_xlfn.CONCAT(_xlfn.XLOOKUP("[S06_InstallationsVisitsWaivedHighEmittersDetail][4][ConditionForWaiving]",Submission!$O:$O,Submission!$H:$N,""))</f>
        <v/>
      </c>
      <c r="D246" s="414"/>
      <c r="E246" s="281" t="str">
        <f>_xlfn.CONCAT(_xlfn.XLOOKUP("[S06_InstallationsVisitsWaivedHighEmittersDetail][4][AnnexIActivity]",Submission!$O:$O,Submission!$H:$N,""))</f>
        <v/>
      </c>
      <c r="F246" s="348"/>
      <c r="G246" s="285"/>
      <c r="H246" s="322" t="str">
        <f>_xlfn.CONCAT(_xlfn.XLOOKUP("[S06_InstallationsVisitsWaivedHighEmittersDetail][4][NumberOfInstallations]",Submission!$O:$O,Submission!$H:$N,""))</f>
        <v/>
      </c>
      <c r="I246" s="324"/>
    </row>
    <row r="247" spans="1:9" ht="15.9" hidden="1" customHeight="1" outlineLevel="1" x14ac:dyDescent="0.3">
      <c r="A247" s="13"/>
      <c r="C247" s="412" t="str">
        <f>_xlfn.CONCAT(_xlfn.XLOOKUP("[S06_InstallationsVisitsWaivedHighEmittersDetail][5][ConditionForWaiving]",Submission!$O:$O,Submission!$H:$N,""))</f>
        <v/>
      </c>
      <c r="D247" s="414"/>
      <c r="E247" s="281" t="str">
        <f>_xlfn.CONCAT(_xlfn.XLOOKUP("[S06_InstallationsVisitsWaivedHighEmittersDetail][5][AnnexIActivity]",Submission!$O:$O,Submission!$H:$N,""))</f>
        <v/>
      </c>
      <c r="F247" s="348"/>
      <c r="G247" s="285"/>
      <c r="H247" s="432" t="str">
        <f>_xlfn.CONCAT(_xlfn.XLOOKUP("[S06_InstallationsVisitsWaivedHighEmittersDetail][5][NumberOfInstallations]",Submission!$O:$O,Submission!$H:$N,""))</f>
        <v/>
      </c>
      <c r="I247" s="433"/>
    </row>
    <row r="248" spans="1:9" ht="15.9" hidden="1" customHeight="1" outlineLevel="1" x14ac:dyDescent="0.3">
      <c r="C248" s="412" t="str">
        <f>_xlfn.CONCAT(_xlfn.XLOOKUP("[S06_InstallationsVisitsWaivedHighEmittersDetail][6][ConditionForWaiving]",Submission!$O:$O,Submission!$H:$N,""))</f>
        <v/>
      </c>
      <c r="D248" s="414"/>
      <c r="E248" s="281" t="str">
        <f>_xlfn.CONCAT(_xlfn.XLOOKUP("[S06_InstallationsVisitsWaivedHighEmittersDetail][6][AnnexIActivity]",Submission!$O:$O,Submission!$H:$N,""))</f>
        <v/>
      </c>
      <c r="F248" s="348"/>
      <c r="G248" s="285"/>
      <c r="H248" s="322" t="str">
        <f>_xlfn.CONCAT(_xlfn.XLOOKUP("[S06_InstallationsVisitsWaivedHighEmittersDetail][6][NumberOfInstallations]",Submission!$O:$O,Submission!$H:$N,""))</f>
        <v/>
      </c>
      <c r="I248" s="324"/>
    </row>
    <row r="249" spans="1:9" ht="15.9" hidden="1" customHeight="1" outlineLevel="1" x14ac:dyDescent="0.3">
      <c r="A249" s="13"/>
      <c r="C249" s="412" t="str">
        <f>_xlfn.CONCAT(_xlfn.XLOOKUP("[S06_InstallationsVisitsWaivedHighEmittersDetail][7][ConditionForWaiving]",Submission!$O:$O,Submission!$H:$N,""))</f>
        <v/>
      </c>
      <c r="D249" s="414"/>
      <c r="E249" s="281" t="str">
        <f>_xlfn.CONCAT(_xlfn.XLOOKUP("[S06_InstallationsVisitsWaivedHighEmittersDetail][7][AnnexIActivity]",Submission!$O:$O,Submission!$H:$N,""))</f>
        <v/>
      </c>
      <c r="F249" s="348"/>
      <c r="G249" s="285"/>
      <c r="H249" s="322" t="str">
        <f>_xlfn.CONCAT(_xlfn.XLOOKUP("[S06_InstallationsVisitsWaivedHighEmittersDetail][7][NumberOfInstallations]",Submission!$O:$O,Submission!$H:$N,""))</f>
        <v/>
      </c>
      <c r="I249" s="324"/>
    </row>
    <row r="250" spans="1:9" ht="15.9" hidden="1" customHeight="1" outlineLevel="1" x14ac:dyDescent="0.3">
      <c r="A250" s="13"/>
      <c r="C250" s="412" t="str">
        <f>_xlfn.CONCAT(_xlfn.XLOOKUP("[S06_InstallationsVisitsWaivedHighEmittersDetail][8][ConditionForWaiving]",Submission!$O:$O,Submission!$H:$N,""))</f>
        <v/>
      </c>
      <c r="D250" s="414"/>
      <c r="E250" s="281" t="str">
        <f>_xlfn.CONCAT(_xlfn.XLOOKUP("[S06_InstallationsVisitsWaivedHighEmittersDetail][8][AnnexIActivity]",Submission!$O:$O,Submission!$H:$N,""))</f>
        <v/>
      </c>
      <c r="F250" s="348"/>
      <c r="G250" s="285"/>
      <c r="H250" s="432" t="str">
        <f>_xlfn.CONCAT(_xlfn.XLOOKUP("[S06_InstallationsVisitsWaivedHighEmittersDetail][8][NumberOfInstallations]",Submission!$O:$O,Submission!$H:$N,""))</f>
        <v/>
      </c>
      <c r="I250" s="433"/>
    </row>
    <row r="251" spans="1:9" ht="15.9" hidden="1" customHeight="1" outlineLevel="1" x14ac:dyDescent="0.3">
      <c r="A251" s="13"/>
      <c r="C251" s="412" t="str">
        <f>_xlfn.CONCAT(_xlfn.XLOOKUP("[S06_InstallationsVisitsWaivedHighEmittersDetail][9][ConditionForWaiving]",Submission!$O:$O,Submission!$H:$N,""))</f>
        <v/>
      </c>
      <c r="D251" s="414"/>
      <c r="E251" s="281" t="str">
        <f>_xlfn.CONCAT(_xlfn.XLOOKUP("[S06_InstallationsVisitsWaivedHighEmittersDetail][9][AnnexIActivity]",Submission!$O:$O,Submission!$H:$N,""))</f>
        <v/>
      </c>
      <c r="F251" s="348"/>
      <c r="G251" s="285"/>
      <c r="H251" s="322" t="str">
        <f>_xlfn.CONCAT(_xlfn.XLOOKUP("[S06_InstallationsVisitsWaivedHighEmittersDetail][9][NumberOfInstallations]",Submission!$O:$O,Submission!$H:$N,""))</f>
        <v/>
      </c>
      <c r="I251" s="324"/>
    </row>
    <row r="252" spans="1:9" ht="15.9" hidden="1" customHeight="1" outlineLevel="1" x14ac:dyDescent="0.3">
      <c r="A252" s="13"/>
      <c r="C252" s="412" t="str">
        <f>_xlfn.CONCAT(_xlfn.XLOOKUP("[S06_InstallationsVisitsWaivedHighEmittersDetail][10][ConditionForWaiving]",Submission!$O:$O,Submission!$H:$N,""))</f>
        <v/>
      </c>
      <c r="D252" s="414"/>
      <c r="E252" s="281" t="str">
        <f>_xlfn.CONCAT(_xlfn.XLOOKUP("[S06_InstallationsVisitsWaivedHighEmittersDetail][10][AnnexIActivity]",Submission!$O:$O,Submission!$H:$N,""))</f>
        <v/>
      </c>
      <c r="F252" s="348"/>
      <c r="G252" s="285"/>
      <c r="H252" s="432" t="str">
        <f>_xlfn.CONCAT(_xlfn.XLOOKUP("[S06_InstallationsVisitsWaivedHighEmittersDetail][10][NumberOfInstallations]",Submission!$O:$O,Submission!$H:$N,""))</f>
        <v/>
      </c>
      <c r="I252" s="433"/>
    </row>
    <row r="253" spans="1:9" ht="15.9" hidden="1" customHeight="1" outlineLevel="1" x14ac:dyDescent="0.3">
      <c r="C253" s="412" t="str">
        <f>_xlfn.CONCAT(_xlfn.XLOOKUP("[S06_InstallationsVisitsWaivedHighEmittersDetail][11][ConditionForWaiving]",Submission!$O:$O,Submission!$H:$N,""))</f>
        <v/>
      </c>
      <c r="D253" s="414"/>
      <c r="E253" s="281" t="str">
        <f>_xlfn.CONCAT(_xlfn.XLOOKUP("[S06_InstallationsVisitsWaivedHighEmittersDetail][11][AnnexIActivity]",Submission!$O:$O,Submission!$H:$N,""))</f>
        <v/>
      </c>
      <c r="F253" s="348"/>
      <c r="G253" s="285"/>
      <c r="H253" s="322" t="str">
        <f>_xlfn.CONCAT(_xlfn.XLOOKUP("[S06_InstallationsVisitsWaivedHighEmittersDetail][11][NumberOfInstallations]",Submission!$O:$O,Submission!$H:$N,""))</f>
        <v/>
      </c>
      <c r="I253" s="324"/>
    </row>
    <row r="254" spans="1:9" ht="15.9" hidden="1" customHeight="1" outlineLevel="1" x14ac:dyDescent="0.3">
      <c r="A254" s="13"/>
      <c r="C254" s="412" t="str">
        <f>_xlfn.CONCAT(_xlfn.XLOOKUP("[S06_InstallationsVisitsWaivedHighEmittersDetail][12][ConditionForWaiving]",Submission!$O:$O,Submission!$H:$N,""))</f>
        <v/>
      </c>
      <c r="D254" s="414"/>
      <c r="E254" s="281" t="str">
        <f>_xlfn.CONCAT(_xlfn.XLOOKUP("[S06_InstallationsVisitsWaivedHighEmittersDetail][12][AnnexIActivity]",Submission!$O:$O,Submission!$H:$N,""))</f>
        <v/>
      </c>
      <c r="F254" s="348"/>
      <c r="G254" s="285"/>
      <c r="H254" s="322" t="str">
        <f>_xlfn.CONCAT(_xlfn.XLOOKUP("[S06_InstallationsVisitsWaivedHighEmittersDetail][12][NumberOfInstallations]",Submission!$O:$O,Submission!$H:$N,""))</f>
        <v/>
      </c>
      <c r="I254" s="324"/>
    </row>
    <row r="255" spans="1:9" ht="15.9" hidden="1" customHeight="1" outlineLevel="1" x14ac:dyDescent="0.3">
      <c r="A255" s="13"/>
      <c r="C255" s="412" t="str">
        <f>_xlfn.CONCAT(_xlfn.XLOOKUP("[S06_InstallationsVisitsWaivedHighEmittersDetail][13][ConditionForWaiving]",Submission!$O:$O,Submission!$H:$N,""))</f>
        <v/>
      </c>
      <c r="D255" s="414"/>
      <c r="E255" s="281" t="str">
        <f>_xlfn.CONCAT(_xlfn.XLOOKUP("[S06_InstallationsVisitsWaivedHighEmittersDetail][13][AnnexIActivity]",Submission!$O:$O,Submission!$H:$N,""))</f>
        <v/>
      </c>
      <c r="F255" s="348"/>
      <c r="G255" s="285"/>
      <c r="H255" s="432" t="str">
        <f>_xlfn.CONCAT(_xlfn.XLOOKUP("[S06_InstallationsVisitsWaivedHighEmittersDetail][13][NumberOfInstallations]",Submission!$O:$O,Submission!$H:$N,""))</f>
        <v/>
      </c>
      <c r="I255" s="433"/>
    </row>
    <row r="256" spans="1:9" ht="15.9" hidden="1" customHeight="1" outlineLevel="1" x14ac:dyDescent="0.3">
      <c r="A256" s="13"/>
      <c r="C256" s="412" t="str">
        <f>_xlfn.CONCAT(_xlfn.XLOOKUP("[S06_InstallationsVisitsWaivedHighEmittersDetail][14][ConditionForWaiving]",Submission!$O:$O,Submission!$H:$N,""))</f>
        <v/>
      </c>
      <c r="D256" s="414"/>
      <c r="E256" s="281" t="str">
        <f>_xlfn.CONCAT(_xlfn.XLOOKUP("[S06_InstallationsVisitsWaivedHighEmittersDetail][14][AnnexIActivity]",Submission!$O:$O,Submission!$H:$N,""))</f>
        <v/>
      </c>
      <c r="F256" s="348"/>
      <c r="G256" s="285"/>
      <c r="H256" s="322" t="str">
        <f>_xlfn.CONCAT(_xlfn.XLOOKUP("[S06_InstallationsVisitsWaivedHighEmittersDetail][14][NumberOfInstallations]",Submission!$O:$O,Submission!$H:$N,""))</f>
        <v/>
      </c>
      <c r="I256" s="324"/>
    </row>
    <row r="257" spans="1:9" ht="15.9" hidden="1" customHeight="1" outlineLevel="1" x14ac:dyDescent="0.3">
      <c r="A257" s="13"/>
      <c r="C257" s="412" t="str">
        <f>_xlfn.CONCAT(_xlfn.XLOOKUP("[S06_InstallationsVisitsWaivedHighEmittersDetail][15][ConditionForWaiving]",Submission!$O:$O,Submission!$H:$N,""))</f>
        <v/>
      </c>
      <c r="D257" s="414"/>
      <c r="E257" s="281" t="str">
        <f>_xlfn.CONCAT(_xlfn.XLOOKUP("[S06_InstallationsVisitsWaivedHighEmittersDetail][15][AnnexIActivity]",Submission!$O:$O,Submission!$H:$N,""))</f>
        <v/>
      </c>
      <c r="F257" s="348"/>
      <c r="G257" s="285"/>
      <c r="H257" s="432" t="str">
        <f>_xlfn.CONCAT(_xlfn.XLOOKUP("[S06_InstallationsVisitsWaivedHighEmittersDetail][15][NumberOfInstallations]",Submission!$O:$O,Submission!$H:$N,""))</f>
        <v/>
      </c>
      <c r="I257" s="433"/>
    </row>
    <row r="258" spans="1:9" ht="15.9" hidden="1" customHeight="1" outlineLevel="1" x14ac:dyDescent="0.3">
      <c r="C258" s="412" t="str">
        <f>_xlfn.CONCAT(_xlfn.XLOOKUP("[S06_InstallationsVisitsWaivedHighEmittersDetail][16][ConditionForWaiving]",Submission!$O:$O,Submission!$H:$N,""))</f>
        <v/>
      </c>
      <c r="D258" s="414"/>
      <c r="E258" s="281" t="str">
        <f>_xlfn.CONCAT(_xlfn.XLOOKUP("[S06_InstallationsVisitsWaivedHighEmittersDetail][16][AnnexIActivity]",Submission!$O:$O,Submission!$H:$N,""))</f>
        <v/>
      </c>
      <c r="F258" s="348"/>
      <c r="G258" s="285"/>
      <c r="H258" s="322" t="str">
        <f>_xlfn.CONCAT(_xlfn.XLOOKUP("[S06_InstallationsVisitsWaivedHighEmittersDetail][16][NumberOfInstallations]",Submission!$O:$O,Submission!$H:$N,""))</f>
        <v/>
      </c>
      <c r="I258" s="324"/>
    </row>
    <row r="259" spans="1:9" ht="15.9" hidden="1" customHeight="1" outlineLevel="1" x14ac:dyDescent="0.3">
      <c r="A259" s="13"/>
      <c r="C259" s="412" t="str">
        <f>_xlfn.CONCAT(_xlfn.XLOOKUP("[S06_InstallationsVisitsWaivedHighEmittersDetail][17][ConditionForWaiving]",Submission!$O:$O,Submission!$H:$N,""))</f>
        <v/>
      </c>
      <c r="D259" s="414"/>
      <c r="E259" s="281" t="str">
        <f>_xlfn.CONCAT(_xlfn.XLOOKUP("[S06_InstallationsVisitsWaivedHighEmittersDetail][17][AnnexIActivity]",Submission!$O:$O,Submission!$H:$N,""))</f>
        <v/>
      </c>
      <c r="F259" s="348"/>
      <c r="G259" s="285"/>
      <c r="H259" s="322" t="str">
        <f>_xlfn.CONCAT(_xlfn.XLOOKUP("[S06_InstallationsVisitsWaivedHighEmittersDetail][17][NumberOfInstallations]",Submission!$O:$O,Submission!$H:$N,""))</f>
        <v/>
      </c>
      <c r="I259" s="324"/>
    </row>
    <row r="260" spans="1:9" ht="15.9" hidden="1" customHeight="1" outlineLevel="1" x14ac:dyDescent="0.3">
      <c r="A260" s="13"/>
      <c r="C260" s="412" t="str">
        <f>_xlfn.CONCAT(_xlfn.XLOOKUP("[S06_InstallationsVisitsWaivedHighEmittersDetail][18][ConditionForWaiving]",Submission!$O:$O,Submission!$H:$N,""))</f>
        <v/>
      </c>
      <c r="D260" s="414"/>
      <c r="E260" s="281" t="str">
        <f>_xlfn.CONCAT(_xlfn.XLOOKUP("[S06_InstallationsVisitsWaivedHighEmittersDetail][18][AnnexIActivity]",Submission!$O:$O,Submission!$H:$N,""))</f>
        <v/>
      </c>
      <c r="F260" s="348"/>
      <c r="G260" s="285"/>
      <c r="H260" s="432" t="str">
        <f>_xlfn.CONCAT(_xlfn.XLOOKUP("[S06_InstallationsVisitsWaivedHighEmittersDetail][18][NumberOfInstallations]",Submission!$O:$O,Submission!$H:$N,""))</f>
        <v/>
      </c>
      <c r="I260" s="433"/>
    </row>
    <row r="261" spans="1:9" ht="15.9" hidden="1" customHeight="1" outlineLevel="1" x14ac:dyDescent="0.3">
      <c r="A261" s="13"/>
      <c r="C261" s="412" t="str">
        <f>_xlfn.CONCAT(_xlfn.XLOOKUP("[S06_InstallationsVisitsWaivedHighEmittersDetail][19][ConditionForWaiving]",Submission!$O:$O,Submission!$H:$N,""))</f>
        <v/>
      </c>
      <c r="D261" s="414"/>
      <c r="E261" s="281" t="str">
        <f>_xlfn.CONCAT(_xlfn.XLOOKUP("[S06_InstallationsVisitsWaivedHighEmittersDetail][19][AnnexIActivity]",Submission!$O:$O,Submission!$H:$N,""))</f>
        <v/>
      </c>
      <c r="F261" s="348"/>
      <c r="G261" s="285"/>
      <c r="H261" s="322" t="str">
        <f>_xlfn.CONCAT(_xlfn.XLOOKUP("[S06_InstallationsVisitsWaivedHighEmittersDetail][19][NumberOfInstallations]",Submission!$O:$O,Submission!$H:$N,""))</f>
        <v/>
      </c>
      <c r="I261" s="324"/>
    </row>
    <row r="262" spans="1:9" ht="15.9" hidden="1" customHeight="1" outlineLevel="1" x14ac:dyDescent="0.3">
      <c r="A262" s="13"/>
      <c r="C262" s="412" t="str">
        <f>_xlfn.CONCAT(_xlfn.XLOOKUP("[S06_InstallationsVisitsWaivedHighEmittersDetail][20][ConditionForWaiving]",Submission!$O:$O,Submission!$H:$N,""))</f>
        <v/>
      </c>
      <c r="D262" s="414"/>
      <c r="E262" s="281" t="str">
        <f>_xlfn.CONCAT(_xlfn.XLOOKUP("[S06_InstallationsVisitsWaivedHighEmittersDetail][20][AnnexIActivity]",Submission!$O:$O,Submission!$H:$N,""))</f>
        <v/>
      </c>
      <c r="F262" s="348"/>
      <c r="G262" s="285"/>
      <c r="H262" s="432" t="str">
        <f>_xlfn.CONCAT(_xlfn.XLOOKUP("[S06_InstallationsVisitsWaivedHighEmittersDetail][20][NumberOfInstallations]",Submission!$O:$O,Submission!$H:$N,""))</f>
        <v/>
      </c>
      <c r="I262" s="433"/>
    </row>
    <row r="263" spans="1:9" ht="15.9" customHeight="1" collapsed="1" x14ac:dyDescent="0.3">
      <c r="A263" s="13"/>
      <c r="B263" s="26" t="s">
        <v>1000</v>
      </c>
      <c r="C263" s="19"/>
      <c r="D263" s="11"/>
      <c r="E263" s="11"/>
      <c r="F263" s="11"/>
      <c r="G263" s="11"/>
      <c r="H263" s="11"/>
    </row>
    <row r="264" spans="1:9" ht="15.9" customHeight="1" x14ac:dyDescent="0.3">
      <c r="A264" s="13"/>
      <c r="C264" s="248" t="s">
        <v>1065</v>
      </c>
      <c r="D264" s="249"/>
      <c r="E264" s="249"/>
      <c r="F264" s="249"/>
      <c r="G264" s="249"/>
      <c r="H264" s="249"/>
      <c r="I264" s="249"/>
    </row>
    <row r="265" spans="1:9" ht="15.9" customHeight="1" x14ac:dyDescent="0.3">
      <c r="A265" s="13"/>
    </row>
    <row r="266" spans="1:9" ht="15.9" customHeight="1" x14ac:dyDescent="0.3">
      <c r="A266" s="13"/>
      <c r="B266" s="293" t="s">
        <v>1066</v>
      </c>
      <c r="C266" s="294"/>
      <c r="D266" s="294"/>
      <c r="E266" s="294"/>
      <c r="F266" s="294"/>
      <c r="G266" s="294"/>
      <c r="H266" s="295"/>
      <c r="I266" s="41" t="str">
        <f>_xlfn.CONCAT(_xlfn.XLOOKUP("[InstallationsVisitsWaivedLowEmitters][0][InstallationsVisitsWaivedLowEmitters]",Submission!$O:$O,Submission!$H:$N,""))</f>
        <v>No</v>
      </c>
    </row>
    <row r="267" spans="1:9" ht="18.600000000000001" customHeight="1" x14ac:dyDescent="0.3">
      <c r="B267" s="293" t="s">
        <v>1067</v>
      </c>
      <c r="C267" s="294"/>
      <c r="D267" s="294"/>
      <c r="E267" s="294"/>
      <c r="F267" s="294"/>
      <c r="G267" s="294"/>
      <c r="H267" s="294"/>
      <c r="I267" s="294"/>
    </row>
    <row r="268" spans="1:9" ht="15.9" customHeight="1" x14ac:dyDescent="0.3">
      <c r="B268" s="11"/>
      <c r="C268" s="315" t="s">
        <v>1068</v>
      </c>
      <c r="D268" s="379"/>
      <c r="E268" s="379"/>
      <c r="F268" s="379"/>
      <c r="G268" s="336"/>
      <c r="H268" s="341" t="str">
        <f>_xlfn.CONCAT(_xlfn.XLOOKUP("[InstallationsVisitsWaivedLowEmittersDetail][0][InstallationsVisitsWaivedLowEmittersDetail]",Submission!$O:$O,Submission!$H:$N,""))</f>
        <v/>
      </c>
      <c r="I268" s="342"/>
    </row>
    <row r="269" spans="1:9" ht="15.9" customHeight="1" x14ac:dyDescent="0.3">
      <c r="B269" s="11"/>
      <c r="C269" s="121"/>
      <c r="D269" s="122"/>
      <c r="E269" s="122"/>
      <c r="F269" s="122"/>
      <c r="G269" s="122"/>
      <c r="H269" s="121"/>
      <c r="I269" s="122"/>
    </row>
    <row r="270" spans="1:9" ht="17.100000000000001" customHeight="1" x14ac:dyDescent="0.3">
      <c r="A270" s="12" t="s">
        <v>397</v>
      </c>
      <c r="B270" s="293" t="s">
        <v>1069</v>
      </c>
      <c r="C270" s="294"/>
      <c r="D270" s="294"/>
      <c r="E270" s="294"/>
      <c r="F270" s="294"/>
      <c r="G270" s="294"/>
      <c r="H270" s="295"/>
      <c r="I270" s="41" t="str">
        <f>_xlfn.CONCAT(_xlfn.XLOOKUP("[VirtualVisitsInstallations][0][VirtualVisitsInstallations]",Submission!$O:$O,Submission!$H:$N,""))</f>
        <v>No</v>
      </c>
    </row>
    <row r="271" spans="1:9" ht="15.9" customHeight="1" x14ac:dyDescent="0.3">
      <c r="A271" s="12"/>
      <c r="B271" s="271" t="s">
        <v>1070</v>
      </c>
      <c r="C271" s="272"/>
      <c r="D271" s="272"/>
      <c r="E271" s="272"/>
      <c r="F271" s="272"/>
      <c r="G271" s="272"/>
      <c r="H271" s="272"/>
      <c r="I271" s="272"/>
    </row>
    <row r="272" spans="1:9" ht="16.2" customHeight="1" x14ac:dyDescent="0.3">
      <c r="A272" s="12"/>
      <c r="B272" s="15" t="s">
        <v>8</v>
      </c>
      <c r="C272" s="362" t="s">
        <v>1071</v>
      </c>
      <c r="D272" s="362"/>
      <c r="E272" s="362"/>
      <c r="F272" s="362"/>
      <c r="G272" s="362"/>
      <c r="H272" s="362"/>
      <c r="I272" s="362"/>
    </row>
    <row r="273" spans="1:9" ht="16.2" customHeight="1" x14ac:dyDescent="0.3">
      <c r="A273" s="12"/>
      <c r="B273" s="15" t="s">
        <v>8</v>
      </c>
      <c r="C273" s="362" t="s">
        <v>1072</v>
      </c>
      <c r="D273" s="362"/>
      <c r="E273" s="362"/>
      <c r="F273" s="362"/>
      <c r="G273" s="362"/>
      <c r="H273" s="362"/>
      <c r="I273" s="362"/>
    </row>
    <row r="274" spans="1:9" ht="16.2" customHeight="1" x14ac:dyDescent="0.3">
      <c r="A274" s="12"/>
      <c r="B274" s="15" t="s">
        <v>8</v>
      </c>
      <c r="C274" s="363" t="s">
        <v>1073</v>
      </c>
      <c r="D274" s="363"/>
      <c r="E274" s="363"/>
      <c r="F274" s="363"/>
      <c r="G274" s="363"/>
      <c r="H274" s="363"/>
      <c r="I274" s="363"/>
    </row>
    <row r="275" spans="1:9" ht="31.2" customHeight="1" x14ac:dyDescent="0.3">
      <c r="A275" s="12"/>
      <c r="B275" s="15"/>
      <c r="C275" s="46" t="s">
        <v>1074</v>
      </c>
      <c r="D275" s="315" t="s">
        <v>1075</v>
      </c>
      <c r="E275" s="317"/>
      <c r="F275" s="315" t="s">
        <v>1076</v>
      </c>
      <c r="G275" s="317"/>
      <c r="H275" s="315" t="s">
        <v>1077</v>
      </c>
      <c r="I275" s="317"/>
    </row>
    <row r="276" spans="1:9" ht="25.2" customHeight="1" x14ac:dyDescent="0.3">
      <c r="C276" s="72" t="str">
        <f>_xlfn.CONCAT(_xlfn.XLOOKUP("[S06_VirtualVisitsInstallationsDetails][1][TypeForceMajeur]",Submission!$O:$O,Submission!$H:$N,""))</f>
        <v/>
      </c>
      <c r="D276" s="425" t="str">
        <f>_xlfn.CONCAT(_xlfn.XLOOKUP("[S06_VirtualVisitsInstallationsDetails][1][NumberOfInstallationsVV]",Submission!$O:$O,Submission!$H:$N,""))</f>
        <v/>
      </c>
      <c r="E276" s="426"/>
      <c r="F276" s="284" t="str">
        <f>_xlfn.CONCAT(_xlfn.XLOOKUP("[S06_VirtualVisitsInstallationsDetails][1][AuthorityApproval]",Submission!$O:$O,Submission!$H:$N,""))</f>
        <v/>
      </c>
      <c r="G276" s="285"/>
      <c r="H276" s="284" t="str">
        <f>_xlfn.CONCAT(_xlfn.XLOOKUP("[S06_VirtualVisitsInstallationsDetails][1][ConfirmationConditionsMet]",Submission!$O:$O,Submission!$H:$N,""))</f>
        <v/>
      </c>
      <c r="I276" s="285"/>
    </row>
    <row r="277" spans="1:9" ht="25.2" customHeight="1" x14ac:dyDescent="0.3">
      <c r="C277" s="72" t="str">
        <f>_xlfn.CONCAT(_xlfn.XLOOKUP("[S06_VirtualVisitsInstallationsDetails][2][TypeForceMajeur]",Submission!$O:$O,Submission!$H:$N,""))</f>
        <v/>
      </c>
      <c r="D277" s="425" t="str">
        <f>_xlfn.CONCAT(_xlfn.XLOOKUP("[S06_VirtualVisitsInstallationsDetails][2][NumberOfInstallationsVV]",Submission!$O:$O,Submission!$H:$N,""))</f>
        <v/>
      </c>
      <c r="E277" s="426"/>
      <c r="F277" s="284" t="str">
        <f>_xlfn.CONCAT(_xlfn.XLOOKUP("[S06_VirtualVisitsInstallationsDetails][2][AuthorityApproval]",Submission!$O:$O,Submission!$H:$N,""))</f>
        <v/>
      </c>
      <c r="G277" s="285"/>
      <c r="H277" s="284" t="str">
        <f>_xlfn.CONCAT(_xlfn.XLOOKUP("[S06_VirtualVisitsInstallationsDetails][2][ConfirmationConditionsMet]",Submission!$O:$O,Submission!$H:$N,""))</f>
        <v/>
      </c>
      <c r="I277" s="285"/>
    </row>
    <row r="278" spans="1:9" ht="25.2" customHeight="1" x14ac:dyDescent="0.3">
      <c r="C278" s="72" t="str">
        <f>_xlfn.CONCAT(_xlfn.XLOOKUP("[S06_VirtualVisitsInstallationsDetails][3][TypeForceMajeur]",Submission!$O:$O,Submission!$H:$N,""))</f>
        <v/>
      </c>
      <c r="D278" s="425" t="str">
        <f>_xlfn.CONCAT(_xlfn.XLOOKUP("[S06_VirtualVisitsInstallationsDetails][3][NumberOfInstallationsVV]",Submission!$O:$O,Submission!$H:$N,""))</f>
        <v/>
      </c>
      <c r="E278" s="426"/>
      <c r="F278" s="284" t="str">
        <f>_xlfn.CONCAT(_xlfn.XLOOKUP("[S06_VirtualVisitsInstallationsDetails][3][AuthorityApproval]",Submission!$O:$O,Submission!$H:$N,""))</f>
        <v/>
      </c>
      <c r="G278" s="285"/>
      <c r="H278" s="284" t="str">
        <f>_xlfn.CONCAT(_xlfn.XLOOKUP("[S06_VirtualVisitsInstallationsDetails][3][ConfirmationConditionsMet]",Submission!$O:$O,Submission!$H:$N,""))</f>
        <v/>
      </c>
      <c r="I278" s="285"/>
    </row>
    <row r="279" spans="1:9" ht="25.2" customHeight="1" x14ac:dyDescent="0.3">
      <c r="C279" s="72" t="str">
        <f>_xlfn.CONCAT(_xlfn.XLOOKUP("[S06_VirtualVisitsInstallationsDetails][4][TypeForceMajeur]",Submission!$O:$O,Submission!$H:$N,""))</f>
        <v/>
      </c>
      <c r="D279" s="425" t="str">
        <f>_xlfn.CONCAT(_xlfn.XLOOKUP("[S06_VirtualVisitsInstallationsDetails][4][NumberOfInstallationsVV]",Submission!$O:$O,Submission!$H:$N,""))</f>
        <v/>
      </c>
      <c r="E279" s="426"/>
      <c r="F279" s="284" t="str">
        <f>_xlfn.CONCAT(_xlfn.XLOOKUP("[S06_VirtualVisitsInstallationsDetails][4][AuthorityApproval]",Submission!$O:$O,Submission!$H:$N,""))</f>
        <v/>
      </c>
      <c r="G279" s="285"/>
      <c r="H279" s="284" t="str">
        <f>_xlfn.CONCAT(_xlfn.XLOOKUP("[S06_VirtualVisitsInstallationsDetails][4][ConfirmationConditionsMet]",Submission!$O:$O,Submission!$H:$N,""))</f>
        <v/>
      </c>
      <c r="I279" s="285"/>
    </row>
    <row r="280" spans="1:9" ht="25.2" hidden="1" customHeight="1" outlineLevel="1" x14ac:dyDescent="0.3">
      <c r="C280" s="72" t="str">
        <f>_xlfn.CONCAT(_xlfn.XLOOKUP("[S06_VirtualVisitsInstallationsDetails][5][TypeForceMajeur]",Submission!$O:$O,Submission!$H:$N,""))</f>
        <v/>
      </c>
      <c r="D280" s="425" t="str">
        <f>_xlfn.CONCAT(_xlfn.XLOOKUP("[S06_VirtualVisitsInstallationsDetails][5][NumberOfInstallationsVV]",Submission!$O:$O,Submission!$H:$N,""))</f>
        <v/>
      </c>
      <c r="E280" s="426"/>
      <c r="F280" s="284" t="str">
        <f>_xlfn.CONCAT(_xlfn.XLOOKUP("[S06_VirtualVisitsInstallationsDetails][5][AuthorityApproval]",Submission!$O:$O,Submission!$H:$N,""))</f>
        <v/>
      </c>
      <c r="G280" s="285"/>
      <c r="H280" s="284" t="str">
        <f>_xlfn.CONCAT(_xlfn.XLOOKUP("[S06_VirtualVisitsInstallationsDetails][5][ConfirmationConditionsMet]",Submission!$O:$O,Submission!$H:$N,""))</f>
        <v/>
      </c>
      <c r="I280" s="285"/>
    </row>
    <row r="281" spans="1:9" ht="25.2" hidden="1" customHeight="1" outlineLevel="1" x14ac:dyDescent="0.3">
      <c r="C281" s="72" t="str">
        <f>_xlfn.CONCAT(_xlfn.XLOOKUP("[S06_VirtualVisitsInstallationsDetails][6][TypeForceMajeur]",Submission!$O:$O,Submission!$H:$N,""))</f>
        <v/>
      </c>
      <c r="D281" s="425" t="str">
        <f>_xlfn.CONCAT(_xlfn.XLOOKUP("[S06_VirtualVisitsInstallationsDetails][6][NumberOfInstallationsVV]",Submission!$O:$O,Submission!$H:$N,""))</f>
        <v/>
      </c>
      <c r="E281" s="426"/>
      <c r="F281" s="284" t="str">
        <f>_xlfn.CONCAT(_xlfn.XLOOKUP("[S06_VirtualVisitsInstallationsDetails][6][AuthorityApproval]",Submission!$O:$O,Submission!$H:$N,""))</f>
        <v/>
      </c>
      <c r="G281" s="285"/>
      <c r="H281" s="284" t="str">
        <f>_xlfn.CONCAT(_xlfn.XLOOKUP("[S06_VirtualVisitsInstallationsDetails][6][ConfirmationConditionsMet]",Submission!$O:$O,Submission!$H:$N,""))</f>
        <v/>
      </c>
      <c r="I281" s="285"/>
    </row>
    <row r="282" spans="1:9" ht="25.2" hidden="1" customHeight="1" outlineLevel="1" x14ac:dyDescent="0.3">
      <c r="C282" s="72" t="str">
        <f>_xlfn.CONCAT(_xlfn.XLOOKUP("[S06_VirtualVisitsInstallationsDetails][7][TypeForceMajeur]",Submission!$O:$O,Submission!$H:$N,""))</f>
        <v/>
      </c>
      <c r="D282" s="425" t="str">
        <f>_xlfn.CONCAT(_xlfn.XLOOKUP("[S06_VirtualVisitsInstallationsDetails][7][NumberOfInstallationsVV]",Submission!$O:$O,Submission!$H:$N,""))</f>
        <v/>
      </c>
      <c r="E282" s="426"/>
      <c r="F282" s="284" t="str">
        <f>_xlfn.CONCAT(_xlfn.XLOOKUP("[S06_VirtualVisitsInstallationsDetails][7][AuthorityApproval]",Submission!$O:$O,Submission!$H:$N,""))</f>
        <v/>
      </c>
      <c r="G282" s="285"/>
      <c r="H282" s="284" t="str">
        <f>_xlfn.CONCAT(_xlfn.XLOOKUP("[S06_VirtualVisitsInstallationsDetails][7][ConfirmationConditionsMet]",Submission!$O:$O,Submission!$H:$N,""))</f>
        <v/>
      </c>
      <c r="I282" s="285"/>
    </row>
    <row r="283" spans="1:9" ht="25.2" hidden="1" customHeight="1" outlineLevel="1" x14ac:dyDescent="0.3">
      <c r="C283" s="72" t="str">
        <f>_xlfn.CONCAT(_xlfn.XLOOKUP("[S06_VirtualVisitsInstallationsDetails][8][TypeForceMajeur]",Submission!$O:$O,Submission!$H:$N,""))</f>
        <v/>
      </c>
      <c r="D283" s="425" t="str">
        <f>_xlfn.CONCAT(_xlfn.XLOOKUP("[S06_VirtualVisitsInstallationsDetails][8][NumberOfInstallationsVV]",Submission!$O:$O,Submission!$H:$N,""))</f>
        <v/>
      </c>
      <c r="E283" s="426"/>
      <c r="F283" s="284" t="str">
        <f>_xlfn.CONCAT(_xlfn.XLOOKUP("[S06_VirtualVisitsInstallationsDetails][8][AuthorityApproval]",Submission!$O:$O,Submission!$H:$N,""))</f>
        <v/>
      </c>
      <c r="G283" s="285"/>
      <c r="H283" s="284" t="str">
        <f>_xlfn.CONCAT(_xlfn.XLOOKUP("[S06_VirtualVisitsInstallationsDetails][8][ConfirmationConditionsMet]",Submission!$O:$O,Submission!$H:$N,""))</f>
        <v/>
      </c>
      <c r="I283" s="285"/>
    </row>
    <row r="284" spans="1:9" ht="25.2" hidden="1" customHeight="1" outlineLevel="1" x14ac:dyDescent="0.3">
      <c r="C284" s="72" t="str">
        <f>_xlfn.CONCAT(_xlfn.XLOOKUP("[S06_VirtualVisitsInstallationsDetails][9][TypeForceMajeur]",Submission!$O:$O,Submission!$H:$N,""))</f>
        <v/>
      </c>
      <c r="D284" s="425" t="str">
        <f>_xlfn.CONCAT(_xlfn.XLOOKUP("[S06_VirtualVisitsInstallationsDetails][9][NumberOfInstallationsVV]",Submission!$O:$O,Submission!$H:$N,""))</f>
        <v/>
      </c>
      <c r="E284" s="426"/>
      <c r="F284" s="284" t="str">
        <f>_xlfn.CONCAT(_xlfn.XLOOKUP("[S06_VirtualVisitsInstallationsDetails][9][AuthorityApproval]",Submission!$O:$O,Submission!$H:$N,""))</f>
        <v/>
      </c>
      <c r="G284" s="285"/>
      <c r="H284" s="284" t="str">
        <f>_xlfn.CONCAT(_xlfn.XLOOKUP("[S06_VirtualVisitsInstallationsDetails][9][ConfirmationConditionsMet]",Submission!$O:$O,Submission!$H:$N,""))</f>
        <v/>
      </c>
      <c r="I284" s="285"/>
    </row>
    <row r="285" spans="1:9" ht="25.2" hidden="1" customHeight="1" outlineLevel="1" x14ac:dyDescent="0.3">
      <c r="C285" s="72" t="str">
        <f>_xlfn.CONCAT(_xlfn.XLOOKUP("[S06_VirtualVisitsInstallationsDetails][10][TypeForceMajeur]",Submission!$O:$O,Submission!$H:$N,""))</f>
        <v/>
      </c>
      <c r="D285" s="425" t="str">
        <f>_xlfn.CONCAT(_xlfn.XLOOKUP("[S06_VirtualVisitsInstallationsDetails][10][NumberOfInstallationsVV]",Submission!$O:$O,Submission!$H:$N,""))</f>
        <v/>
      </c>
      <c r="E285" s="426"/>
      <c r="F285" s="284" t="str">
        <f>_xlfn.CONCAT(_xlfn.XLOOKUP("[S06_VirtualVisitsInstallationsDetails][10][AuthorityApproval]",Submission!$O:$O,Submission!$H:$N,""))</f>
        <v/>
      </c>
      <c r="G285" s="285"/>
      <c r="H285" s="284" t="str">
        <f>_xlfn.CONCAT(_xlfn.XLOOKUP("[S06_VirtualVisitsInstallationsDetails][10][ConfirmationConditionsMet]",Submission!$O:$O,Submission!$H:$N,""))</f>
        <v/>
      </c>
      <c r="I285" s="285"/>
    </row>
    <row r="286" spans="1:9" ht="25.2" hidden="1" customHeight="1" outlineLevel="1" x14ac:dyDescent="0.3">
      <c r="C286" s="72" t="str">
        <f>_xlfn.CONCAT(_xlfn.XLOOKUP("[S06_VirtualVisitsInstallationsDetails][11][TypeForceMajeur]",Submission!$O:$O,Submission!$H:$N,""))</f>
        <v/>
      </c>
      <c r="D286" s="425" t="str">
        <f>_xlfn.CONCAT(_xlfn.XLOOKUP("[S06_VirtualVisitsInstallationsDetails][11][NumberOfInstallationsVV]",Submission!$O:$O,Submission!$H:$N,""))</f>
        <v/>
      </c>
      <c r="E286" s="426"/>
      <c r="F286" s="284" t="str">
        <f>_xlfn.CONCAT(_xlfn.XLOOKUP("[S06_VirtualVisitsInstallationsDetails][11][AuthorityApproval]",Submission!$O:$O,Submission!$H:$N,""))</f>
        <v/>
      </c>
      <c r="G286" s="285"/>
      <c r="H286" s="284" t="str">
        <f>_xlfn.CONCAT(_xlfn.XLOOKUP("[S06_VirtualVisitsInstallationsDetails][11][ConfirmationConditionsMet]",Submission!$O:$O,Submission!$H:$N,""))</f>
        <v/>
      </c>
      <c r="I286" s="285"/>
    </row>
    <row r="287" spans="1:9" ht="25.2" hidden="1" customHeight="1" outlineLevel="1" x14ac:dyDescent="0.3">
      <c r="C287" s="72" t="str">
        <f>_xlfn.CONCAT(_xlfn.XLOOKUP("[S06_VirtualVisitsInstallationsDetails][12][TypeForceMajeur]",Submission!$O:$O,Submission!$H:$N,""))</f>
        <v/>
      </c>
      <c r="D287" s="425" t="str">
        <f>_xlfn.CONCAT(_xlfn.XLOOKUP("[S06_VirtualVisitsInstallationsDetails][12][NumberOfInstallationsVV]",Submission!$O:$O,Submission!$H:$N,""))</f>
        <v/>
      </c>
      <c r="E287" s="426"/>
      <c r="F287" s="284" t="str">
        <f>_xlfn.CONCAT(_xlfn.XLOOKUP("[S06_VirtualVisitsInstallationsDetails][12][AuthorityApproval]",Submission!$O:$O,Submission!$H:$N,""))</f>
        <v/>
      </c>
      <c r="G287" s="285"/>
      <c r="H287" s="284" t="str">
        <f>_xlfn.CONCAT(_xlfn.XLOOKUP("[S06_VirtualVisitsInstallationsDetails][12][ConfirmationConditionsMet]",Submission!$O:$O,Submission!$H:$N,""))</f>
        <v/>
      </c>
      <c r="I287" s="285"/>
    </row>
    <row r="288" spans="1:9" ht="25.2" hidden="1" customHeight="1" outlineLevel="1" x14ac:dyDescent="0.3">
      <c r="C288" s="72" t="str">
        <f>_xlfn.CONCAT(_xlfn.XLOOKUP("[S06_VirtualVisitsInstallationsDetails][13][TypeForceMajeur]",Submission!$O:$O,Submission!$H:$N,""))</f>
        <v/>
      </c>
      <c r="D288" s="425" t="str">
        <f>_xlfn.CONCAT(_xlfn.XLOOKUP("[S06_VirtualVisitsInstallationsDetails][13][NumberOfInstallationsVV]",Submission!$O:$O,Submission!$H:$N,""))</f>
        <v/>
      </c>
      <c r="E288" s="426"/>
      <c r="F288" s="284" t="str">
        <f>_xlfn.CONCAT(_xlfn.XLOOKUP("[S06_VirtualVisitsInstallationsDetails][13][AuthorityApproval]",Submission!$O:$O,Submission!$H:$N,""))</f>
        <v/>
      </c>
      <c r="G288" s="285"/>
      <c r="H288" s="284" t="str">
        <f>_xlfn.CONCAT(_xlfn.XLOOKUP("[S06_VirtualVisitsInstallationsDetails][13][ConfirmationConditionsMet]",Submission!$O:$O,Submission!$H:$N,""))</f>
        <v/>
      </c>
      <c r="I288" s="285"/>
    </row>
    <row r="289" spans="1:11" ht="15.9" customHeight="1" collapsed="1" x14ac:dyDescent="0.3">
      <c r="A289" s="13"/>
      <c r="B289" s="26" t="s">
        <v>1000</v>
      </c>
      <c r="C289" s="19"/>
      <c r="D289" s="11"/>
      <c r="E289" s="11"/>
      <c r="F289" s="11"/>
      <c r="G289" s="11"/>
      <c r="H289" s="11"/>
    </row>
    <row r="290" spans="1:11" ht="15.9" customHeight="1" x14ac:dyDescent="0.3">
      <c r="A290" s="13"/>
      <c r="B290" s="427" t="s">
        <v>1078</v>
      </c>
      <c r="C290" s="428"/>
      <c r="D290" s="428"/>
      <c r="E290" s="428"/>
      <c r="F290" s="428"/>
      <c r="G290" s="428"/>
      <c r="H290" s="428"/>
      <c r="I290" s="428"/>
    </row>
    <row r="291" spans="1:11" ht="15.9" customHeight="1" x14ac:dyDescent="0.3">
      <c r="B291" s="22"/>
      <c r="C291" s="24"/>
      <c r="D291" s="24"/>
      <c r="E291" s="24"/>
      <c r="F291" s="24"/>
      <c r="G291" s="24"/>
      <c r="H291" s="24"/>
      <c r="I291" s="24"/>
    </row>
    <row r="292" spans="1:11" ht="18.899999999999999" customHeight="1" x14ac:dyDescent="0.35">
      <c r="A292" s="85" t="s">
        <v>1079</v>
      </c>
      <c r="B292" s="325" t="s">
        <v>1080</v>
      </c>
      <c r="C292" s="325"/>
      <c r="D292" s="325"/>
      <c r="E292" s="325"/>
      <c r="F292" s="325"/>
      <c r="G292" s="325"/>
      <c r="H292" s="325"/>
      <c r="I292" s="326"/>
    </row>
    <row r="293" spans="1:11" ht="33" customHeight="1" x14ac:dyDescent="0.3">
      <c r="A293" s="12" t="s">
        <v>407</v>
      </c>
      <c r="B293" s="328" t="s">
        <v>1081</v>
      </c>
      <c r="C293" s="328"/>
      <c r="D293" s="328"/>
      <c r="E293" s="328"/>
      <c r="F293" s="328"/>
      <c r="G293" s="328"/>
      <c r="H293" s="328"/>
      <c r="I293" s="328"/>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48" t="s">
        <v>1087</v>
      </c>
      <c r="D317" s="249"/>
      <c r="E317" s="249"/>
      <c r="F317" s="249"/>
      <c r="G317" s="249"/>
      <c r="H317" s="249"/>
      <c r="I317" s="249"/>
    </row>
    <row r="318" spans="1:9" s="11" customFormat="1" ht="46.5" customHeight="1" x14ac:dyDescent="0.3">
      <c r="C318" s="367" t="s">
        <v>1088</v>
      </c>
      <c r="D318" s="380"/>
      <c r="E318" s="380"/>
      <c r="F318" s="380"/>
      <c r="G318" s="380"/>
      <c r="H318" s="380"/>
      <c r="I318" s="380"/>
    </row>
    <row r="319" spans="1:9" s="11" customFormat="1" ht="26.1" customHeight="1" x14ac:dyDescent="0.3">
      <c r="C319" s="367" t="s">
        <v>1089</v>
      </c>
      <c r="D319" s="380"/>
      <c r="E319" s="380"/>
      <c r="F319" s="380"/>
      <c r="G319" s="380"/>
      <c r="H319" s="380"/>
      <c r="I319" s="380"/>
    </row>
    <row r="320" spans="1:9" s="11" customFormat="1" ht="16.95" customHeight="1" x14ac:dyDescent="0.3">
      <c r="C320" s="19"/>
      <c r="D320" s="31"/>
      <c r="E320" s="31"/>
      <c r="F320" s="31"/>
      <c r="G320" s="31"/>
      <c r="H320" s="31"/>
      <c r="I320" s="31"/>
    </row>
    <row r="321" spans="1:9" s="11" customFormat="1" ht="18" customHeight="1" x14ac:dyDescent="0.3">
      <c r="C321" s="340" t="s">
        <v>1090</v>
      </c>
      <c r="D321" s="340"/>
      <c r="E321" s="340"/>
      <c r="F321" s="340"/>
      <c r="G321" s="340"/>
      <c r="H321" s="340"/>
      <c r="I321" s="340"/>
    </row>
    <row r="322" spans="1:9" ht="15.9" customHeight="1" x14ac:dyDescent="0.3">
      <c r="C322" s="303" t="s">
        <v>1037</v>
      </c>
      <c r="D322" s="330"/>
      <c r="E322" s="330"/>
      <c r="F322" s="330"/>
      <c r="G322" s="309"/>
      <c r="H322" s="442" t="s">
        <v>99</v>
      </c>
      <c r="I322" s="443"/>
    </row>
    <row r="323" spans="1:9" ht="15.9" customHeight="1" x14ac:dyDescent="0.3">
      <c r="C323" s="246" t="s">
        <v>1038</v>
      </c>
      <c r="D323" s="283"/>
      <c r="E323" s="283"/>
      <c r="F323" s="283"/>
      <c r="G323" s="239"/>
      <c r="H323" s="341" t="str">
        <f>_xlfn.CONCAT(_xlfn.XLOOKUP("[S06_NegativeOpinionAircraft][1][CountNegativeOpinions]",Submission!$O:$O,Submission!$H:$N,""))</f>
        <v>1</v>
      </c>
      <c r="I323" s="356"/>
    </row>
    <row r="324" spans="1:9" x14ac:dyDescent="0.3">
      <c r="C324" s="246" t="s">
        <v>1091</v>
      </c>
      <c r="D324" s="283"/>
      <c r="E324" s="283"/>
      <c r="F324" s="283"/>
      <c r="G324" s="239"/>
      <c r="H324" s="341" t="str">
        <f>_xlfn.CONCAT(_xlfn.XLOOKUP("[S06_NegativeOpinionAircraft][2][CountNegativeOpinions]",Submission!$O:$O,Submission!$H:$N,""))</f>
        <v>0</v>
      </c>
      <c r="I324" s="356"/>
    </row>
    <row r="325" spans="1:9" ht="15.9" customHeight="1" x14ac:dyDescent="0.3">
      <c r="C325" s="246" t="s">
        <v>1040</v>
      </c>
      <c r="D325" s="283"/>
      <c r="E325" s="283"/>
      <c r="F325" s="283"/>
      <c r="G325" s="239"/>
      <c r="H325" s="341" t="str">
        <f>_xlfn.CONCAT(_xlfn.XLOOKUP("[S06_NegativeOpinionAircraft][3][CountNegativeOpinions]",Submission!$O:$O,Submission!$H:$N,""))</f>
        <v>0</v>
      </c>
      <c r="I325" s="356"/>
    </row>
    <row r="326" spans="1:9" ht="18" customHeight="1" x14ac:dyDescent="0.3">
      <c r="C326" s="246" t="s">
        <v>1041</v>
      </c>
      <c r="D326" s="283"/>
      <c r="E326" s="283"/>
      <c r="F326" s="283"/>
      <c r="G326" s="239"/>
      <c r="H326" s="341" t="str">
        <f>_xlfn.CONCAT(_xlfn.XLOOKUP("[S06_NegativeOpinionAircraft][4][CountNegativeOpinions]",Submission!$O:$O,Submission!$H:$N,""))</f>
        <v>0</v>
      </c>
      <c r="I326" s="356"/>
    </row>
    <row r="327" spans="1:9" s="11" customFormat="1" ht="14.4" x14ac:dyDescent="0.3">
      <c r="C327" s="20"/>
      <c r="D327" s="24"/>
      <c r="E327" s="24"/>
      <c r="F327" s="24"/>
      <c r="G327" s="24"/>
      <c r="H327" s="24"/>
      <c r="I327" s="24"/>
    </row>
    <row r="328" spans="1:9" ht="32.1" customHeight="1" x14ac:dyDescent="0.3">
      <c r="A328" s="12" t="s">
        <v>412</v>
      </c>
      <c r="B328" s="293" t="s">
        <v>1092</v>
      </c>
      <c r="C328" s="294"/>
      <c r="D328" s="294"/>
      <c r="E328" s="294"/>
      <c r="F328" s="294"/>
      <c r="G328" s="294"/>
      <c r="H328" s="295"/>
      <c r="I328" s="41" t="str">
        <f>_xlfn.CONCAT(_xlfn.XLOOKUP("[AircraftOperatorsVerificationReportIssues][0][AircraftOperatorsVerificationReportIssues]",Submission!$O:$O,Submission!$H:$N,""))</f>
        <v>No</v>
      </c>
    </row>
    <row r="329" spans="1:9" ht="16.2" customHeight="1" x14ac:dyDescent="0.3">
      <c r="A329" s="12"/>
      <c r="B329" s="271" t="s">
        <v>1093</v>
      </c>
      <c r="C329" s="272"/>
      <c r="D329" s="272"/>
      <c r="E329" s="272"/>
      <c r="F329" s="272"/>
      <c r="G329" s="272"/>
      <c r="H329" s="272"/>
      <c r="I329" s="272"/>
    </row>
    <row r="330" spans="1:9" ht="15.6" customHeight="1" x14ac:dyDescent="0.3">
      <c r="A330" s="12"/>
      <c r="B330" s="22"/>
      <c r="C330" s="431" t="s">
        <v>1094</v>
      </c>
      <c r="D330" s="431"/>
      <c r="E330" s="431"/>
      <c r="F330" s="431"/>
      <c r="G330" s="431"/>
      <c r="H330" s="431"/>
      <c r="I330" s="431"/>
    </row>
    <row r="331" spans="1:9" ht="43.95" customHeight="1" x14ac:dyDescent="0.3">
      <c r="A331" s="12"/>
      <c r="B331" s="23"/>
      <c r="C331" s="303" t="s">
        <v>1044</v>
      </c>
      <c r="D331" s="304"/>
      <c r="E331" s="305"/>
      <c r="F331" s="51" t="s">
        <v>945</v>
      </c>
      <c r="G331" s="51" t="s">
        <v>1046</v>
      </c>
      <c r="H331" s="303" t="s">
        <v>1047</v>
      </c>
      <c r="I331" s="305"/>
    </row>
    <row r="332" spans="1:9" ht="15.9" customHeight="1" x14ac:dyDescent="0.3">
      <c r="A332" s="12"/>
      <c r="B332" s="23"/>
      <c r="C332" s="412" t="str">
        <f>_xlfn.CONCAT(_xlfn.XLOOKUP("[S06_AircraftOperatorsVerificationReportIssuesEmissions][1][TypeOfIssue]",Submission!$O:$O,Submission!$H:$N,""))</f>
        <v/>
      </c>
      <c r="D332" s="413"/>
      <c r="E332" s="414"/>
      <c r="F332" s="132" t="str">
        <f>_xlfn.CONCAT(_xlfn.XLOOKUP("[S06_AircraftOperatorsVerificationReportIssuesEmissions][1][NumberOfAircraftOperators]",Submission!$O:$O,Submission!$H:$N,""))</f>
        <v/>
      </c>
      <c r="G332" s="132" t="str">
        <f>_xlfn.CONCAT(_xlfn.XLOOKUP("[S06_AircraftOperatorsVerificationReportIssuesEmissions][1][NumberOfIssues]",Submission!$O:$O,Submission!$H:$N,""))</f>
        <v/>
      </c>
      <c r="H332" s="429" t="str">
        <f>_xlfn.CONCAT(_xlfn.XLOOKUP("[S06_AircraftOperatorsVerificationReportIssuesEmissions][1][ShareOfReportsConservativeEstimate]",Submission!$O:$O,Submission!$H:$N,""))</f>
        <v/>
      </c>
      <c r="I332" s="430"/>
    </row>
    <row r="333" spans="1:9" ht="15.9" customHeight="1" x14ac:dyDescent="0.3">
      <c r="A333" s="12"/>
      <c r="B333" s="23"/>
      <c r="C333" s="412" t="str">
        <f>_xlfn.CONCAT(_xlfn.XLOOKUP("[S06_AircraftOperatorsVerificationReportIssuesEmissions][2][TypeOfIssue]",Submission!$O:$O,Submission!$H:$N,""))</f>
        <v/>
      </c>
      <c r="D333" s="413"/>
      <c r="E333" s="414"/>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29" t="str">
        <f>_xlfn.CONCAT(_xlfn.XLOOKUP("[S06_AircraftOperatorsVerificationReportIssuesEmissions][2][ShareOfReportsConservativeEstimate]",Submission!$O:$O,Submission!$H:$N,""))</f>
        <v/>
      </c>
      <c r="I333" s="430"/>
    </row>
    <row r="334" spans="1:9" ht="15.9" hidden="1" customHeight="1" outlineLevel="1" x14ac:dyDescent="0.3">
      <c r="A334" s="12"/>
      <c r="B334" s="23"/>
      <c r="C334" s="412" t="str">
        <f>_xlfn.CONCAT(_xlfn.XLOOKUP("[S06_AircraftOperatorsVerificationReportIssuesEmissions][3][TypeOfIssue]",Submission!$O:$O,Submission!$H:$N,""))</f>
        <v/>
      </c>
      <c r="D334" s="413"/>
      <c r="E334" s="414"/>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29" t="str">
        <f>_xlfn.CONCAT(_xlfn.XLOOKUP("[S06_AircraftOperatorsVerificationReportIssuesEmissions][3][ShareOfReportsConservativeEstimate]",Submission!$O:$O,Submission!$H:$N,""))</f>
        <v/>
      </c>
      <c r="I334" s="430"/>
    </row>
    <row r="335" spans="1:9" ht="15.9" hidden="1" customHeight="1" outlineLevel="1" x14ac:dyDescent="0.3">
      <c r="A335" s="12"/>
      <c r="B335" s="23"/>
      <c r="C335" s="412" t="str">
        <f>_xlfn.CONCAT(_xlfn.XLOOKUP("[S06_AircraftOperatorsVerificationReportIssuesEmissions][4][TypeOfIssue]",Submission!$O:$O,Submission!$H:$N,""))</f>
        <v/>
      </c>
      <c r="D335" s="413"/>
      <c r="E335" s="414"/>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29" t="str">
        <f>_xlfn.CONCAT(_xlfn.XLOOKUP("[S06_AircraftOperatorsVerificationReportIssuesEmissions][4][ShareOfReportsConservativeEstimate]",Submission!$O:$O,Submission!$H:$N,""))</f>
        <v/>
      </c>
      <c r="I335" s="430"/>
    </row>
    <row r="336" spans="1:9" ht="15.9" customHeight="1" collapsed="1" x14ac:dyDescent="0.3">
      <c r="A336" s="12"/>
      <c r="B336" s="26" t="s">
        <v>1000</v>
      </c>
      <c r="C336" s="19"/>
      <c r="D336" s="11"/>
      <c r="E336" s="11"/>
      <c r="F336" s="11"/>
      <c r="G336" s="11"/>
      <c r="H336" s="11"/>
    </row>
    <row r="337" spans="1:9" ht="27" customHeight="1" x14ac:dyDescent="0.3">
      <c r="A337" s="12"/>
      <c r="C337" s="248" t="s">
        <v>1095</v>
      </c>
      <c r="D337" s="249"/>
      <c r="E337" s="249"/>
      <c r="F337" s="249"/>
      <c r="G337" s="249"/>
      <c r="H337" s="249"/>
      <c r="I337" s="249"/>
    </row>
    <row r="338" spans="1:9" ht="15.9" customHeight="1" x14ac:dyDescent="0.3">
      <c r="A338" s="12"/>
      <c r="C338" s="20"/>
      <c r="D338" s="24"/>
      <c r="E338" s="24"/>
      <c r="F338" s="24"/>
      <c r="G338" s="24"/>
      <c r="H338" s="24"/>
      <c r="I338" s="24"/>
    </row>
    <row r="339" spans="1:9" ht="15.9" customHeight="1" x14ac:dyDescent="0.3">
      <c r="A339" s="12"/>
      <c r="C339" s="431" t="s">
        <v>1096</v>
      </c>
      <c r="D339" s="431"/>
      <c r="E339" s="431"/>
      <c r="F339" s="431"/>
      <c r="G339" s="431"/>
      <c r="H339" s="431"/>
      <c r="I339" s="431"/>
    </row>
    <row r="340" spans="1:9" ht="15.9" customHeight="1" x14ac:dyDescent="0.3">
      <c r="A340" s="12"/>
      <c r="B340" s="23"/>
      <c r="C340" s="303" t="s">
        <v>1044</v>
      </c>
      <c r="D340" s="304"/>
      <c r="E340" s="305"/>
      <c r="F340" s="51" t="s">
        <v>945</v>
      </c>
      <c r="G340" s="444" t="s">
        <v>1046</v>
      </c>
      <c r="H340" s="445"/>
      <c r="I340" s="446"/>
    </row>
    <row r="341" spans="1:9" ht="15.9" customHeight="1" x14ac:dyDescent="0.3">
      <c r="A341" s="12"/>
      <c r="B341" s="23"/>
      <c r="C341" s="412" t="str">
        <f>_xlfn.CONCAT(_xlfn.XLOOKUP("[S06_AircraftOperatorsVerificationReportIssuesTKM][1][TypeOfIssue]",Submission!$O:$O,Submission!$H:$N,""))</f>
        <v/>
      </c>
      <c r="D341" s="413"/>
      <c r="E341" s="414"/>
      <c r="F341" s="132" t="str">
        <f>_xlfn.CONCAT(_xlfn.XLOOKUP("[S06_AircraftOperatorsVerificationReportIssuesTKM][1][NumberOfAircraftOperators]",Submission!$O:$O,Submission!$H:$N,""))</f>
        <v/>
      </c>
      <c r="G341" s="322" t="str">
        <f>_xlfn.CONCAT(_xlfn.XLOOKUP("[S06_AircraftOperatorsVerificationReportIssuesTKM][1][NumberOfIssues]",Submission!$O:$O,Submission!$H:$N,""))</f>
        <v/>
      </c>
      <c r="H341" s="323"/>
      <c r="I341" s="324"/>
    </row>
    <row r="342" spans="1:9" ht="15.9" customHeight="1" x14ac:dyDescent="0.3">
      <c r="A342" s="12"/>
      <c r="B342" s="23"/>
      <c r="C342" s="412" t="str">
        <f>_xlfn.CONCAT(_xlfn.XLOOKUP("[S06_AircraftOperatorsVerificationReportIssuesTKM][2][TypeOfIssue]",Submission!$O:$O,Submission!$H:$N,""))</f>
        <v/>
      </c>
      <c r="D342" s="413"/>
      <c r="E342" s="414"/>
      <c r="F342" s="132" t="str">
        <f>_xlfn.CONCAT(_xlfn.XLOOKUP("[S06_AircraftOperatorsVerificationReportIssuesTKM][2][NumberOfAircraftOperators]",Submission!$O:$O,Submission!$H:$N,""))</f>
        <v/>
      </c>
      <c r="G342" s="322" t="str">
        <f>_xlfn.CONCAT(_xlfn.XLOOKUP("[S06_AircraftOperatorsVerificationReportIssuesTKM][2][NumberOfIssues]",Submission!$O:$O,Submission!$H:$N,""))</f>
        <v/>
      </c>
      <c r="H342" s="323"/>
      <c r="I342" s="324"/>
    </row>
    <row r="343" spans="1:9" ht="15.9" hidden="1" customHeight="1" outlineLevel="1" x14ac:dyDescent="0.3">
      <c r="A343" s="12"/>
      <c r="B343" s="23"/>
      <c r="C343" s="412" t="str">
        <f>_xlfn.CONCAT(_xlfn.XLOOKUP("[S06_AircraftOperatorsVerificationReportIssuesTKM][3][TypeOfIssue]",Submission!$O:$O,Submission!$H:$N,""))</f>
        <v/>
      </c>
      <c r="D343" s="413"/>
      <c r="E343" s="414"/>
      <c r="F343" s="132" t="str">
        <f>_xlfn.CONCAT(_xlfn.XLOOKUP("[S06_AircraftOperatorsVerificationReportIssuesTKM][3][NumberOfAircraftOperators]",Submission!$O:$O,Submission!$H:$N,""))</f>
        <v/>
      </c>
      <c r="G343" s="322" t="str">
        <f>_xlfn.CONCAT(_xlfn.XLOOKUP("[S06_AircraftOperatorsVerificationReportIssuesTKM][3][NumberOfIssues]",Submission!$O:$O,Submission!$H:$N,""))</f>
        <v/>
      </c>
      <c r="H343" s="323"/>
      <c r="I343" s="324"/>
    </row>
    <row r="344" spans="1:9" ht="15.9" hidden="1" customHeight="1" outlineLevel="1" x14ac:dyDescent="0.3">
      <c r="A344" s="12"/>
      <c r="B344" s="23"/>
      <c r="C344" s="412" t="str">
        <f>_xlfn.CONCAT(_xlfn.XLOOKUP("[S06_AircraftOperatorsVerificationReportIssuesTKM][4][TypeOfIssue]",Submission!$O:$O,Submission!$H:$N,""))</f>
        <v/>
      </c>
      <c r="D344" s="413"/>
      <c r="E344" s="414"/>
      <c r="F344" s="132" t="str">
        <f>_xlfn.CONCAT(_xlfn.XLOOKUP("[S06_AircraftOperatorsVerificationReportIssuesTKM][4][NumberOfAircraftOperators]",Submission!$O:$O,Submission!$H:$N,""))</f>
        <v/>
      </c>
      <c r="G344" s="322" t="str">
        <f>_xlfn.CONCAT(_xlfn.XLOOKUP("[S06_AircraftOperatorsVerificationReportIssuesTKM][4][NumberOfIssues]",Submission!$O:$O,Submission!$H:$N,""))</f>
        <v/>
      </c>
      <c r="H344" s="323"/>
      <c r="I344" s="324"/>
    </row>
    <row r="345" spans="1:9" ht="15.9" customHeight="1" collapsed="1" x14ac:dyDescent="0.3">
      <c r="A345" s="12"/>
      <c r="B345" s="26" t="s">
        <v>1000</v>
      </c>
      <c r="C345" s="19"/>
      <c r="D345" s="11"/>
      <c r="E345" s="11"/>
      <c r="F345" s="11"/>
      <c r="G345" s="11"/>
      <c r="H345" s="11"/>
    </row>
    <row r="346" spans="1:9" ht="27" customHeight="1" x14ac:dyDescent="0.3">
      <c r="A346" s="12"/>
      <c r="C346" s="248" t="s">
        <v>1095</v>
      </c>
      <c r="D346" s="249"/>
      <c r="E346" s="249"/>
      <c r="F346" s="249"/>
      <c r="G346" s="249"/>
      <c r="H346" s="249"/>
      <c r="I346" s="249"/>
    </row>
    <row r="347" spans="1:9" ht="15.9" customHeight="1" x14ac:dyDescent="0.3">
      <c r="A347" s="12"/>
      <c r="B347" s="23"/>
      <c r="D347" s="11"/>
      <c r="E347" s="11"/>
      <c r="F347" s="11"/>
    </row>
    <row r="348" spans="1:9" ht="15.9" customHeight="1" x14ac:dyDescent="0.3">
      <c r="A348" s="12" t="s">
        <v>417</v>
      </c>
      <c r="B348" s="293" t="s">
        <v>1049</v>
      </c>
      <c r="C348" s="294"/>
      <c r="D348" s="294"/>
      <c r="E348" s="294"/>
      <c r="F348" s="294"/>
      <c r="G348" s="294"/>
      <c r="H348" s="295"/>
      <c r="I348" s="41" t="str">
        <f>_xlfn.CONCAT(_xlfn.XLOOKUP("[AircraftOperatorsVerificationReportChecks][0][AircraftOperatorsVerificationReportChecks]",Submission!$O:$O,Submission!$H:$N,""))</f>
        <v>Yes</v>
      </c>
    </row>
    <row r="349" spans="1:9" ht="15.9" customHeight="1" x14ac:dyDescent="0.3">
      <c r="A349" s="12"/>
      <c r="B349" s="271" t="s">
        <v>1097</v>
      </c>
      <c r="C349" s="272"/>
      <c r="D349" s="272"/>
      <c r="E349" s="272"/>
      <c r="F349" s="272"/>
      <c r="G349" s="272"/>
      <c r="H349" s="272"/>
      <c r="I349" s="272"/>
    </row>
    <row r="350" spans="1:9" ht="15.9" customHeight="1" x14ac:dyDescent="0.3">
      <c r="A350" s="12"/>
      <c r="B350" s="22"/>
      <c r="C350" s="431" t="s">
        <v>1098</v>
      </c>
      <c r="D350" s="431"/>
      <c r="E350" s="431"/>
      <c r="F350" s="431"/>
      <c r="G350" s="431"/>
      <c r="H350" s="431"/>
      <c r="I350" s="431"/>
    </row>
    <row r="351" spans="1:9" ht="15.9" customHeight="1" x14ac:dyDescent="0.3">
      <c r="A351" s="12"/>
      <c r="C351" s="315" t="s">
        <v>1099</v>
      </c>
      <c r="D351" s="316"/>
      <c r="E351" s="316"/>
      <c r="F351" s="316"/>
      <c r="G351" s="316"/>
      <c r="H351" s="316"/>
      <c r="I351" s="317"/>
    </row>
    <row r="352" spans="1:9" s="79" customFormat="1" ht="30" customHeight="1" x14ac:dyDescent="0.3">
      <c r="A352" s="131"/>
      <c r="C352" s="246" t="s">
        <v>1052</v>
      </c>
      <c r="D352" s="263"/>
      <c r="E352" s="263"/>
      <c r="F352" s="264"/>
      <c r="G352" s="138" t="str">
        <f>_xlfn.CONCAT(_xlfn.XLOOKUP("[S06_AircraftOperatorsVerificationEmissionReportChecks1][1][PercentageShare]",Submission!$O:$O,Submission!$H:$N,""))</f>
        <v>1</v>
      </c>
      <c r="H352" s="440"/>
      <c r="I352" s="441"/>
    </row>
    <row r="353" spans="1:9" s="79" customFormat="1" ht="30" customHeight="1" x14ac:dyDescent="0.3">
      <c r="A353" s="131"/>
      <c r="C353" s="246" t="s">
        <v>1053</v>
      </c>
      <c r="D353" s="263"/>
      <c r="E353" s="263"/>
      <c r="F353" s="264"/>
      <c r="G353" s="138" t="str">
        <f>_xlfn.CONCAT(_xlfn.XLOOKUP("[S06_AircraftOperatorsVerificationEmissionReportChecks1][2][PercentageShare]",Submission!$O:$O,Submission!$H:$N,""))</f>
        <v>1</v>
      </c>
      <c r="H353" s="440"/>
      <c r="I353" s="441"/>
    </row>
    <row r="354" spans="1:9" s="79" customFormat="1" ht="30" customHeight="1" x14ac:dyDescent="0.3">
      <c r="A354" s="131"/>
      <c r="C354" s="246" t="s">
        <v>1055</v>
      </c>
      <c r="D354" s="263"/>
      <c r="E354" s="263"/>
      <c r="F354" s="264"/>
      <c r="G354" s="138" t="str">
        <f>_xlfn.CONCAT(_xlfn.XLOOKUP("[S06_AircraftOperatorsVerificationEmissionReportChecks1][3][PercentageShare]",Submission!$O:$O,Submission!$H:$N,""))</f>
        <v>1</v>
      </c>
      <c r="H354" s="251" t="str">
        <f>_xlfn.CONCAT(_xlfn.XLOOKUP("[S06_AircraftOperatorsVerificationEmissionReportChecks1][3][FurtherInformation]",Submission!$O:$O,Submission!$H:$N,""))</f>
        <v/>
      </c>
      <c r="I354" s="252"/>
    </row>
    <row r="355" spans="1:9" s="79" customFormat="1" ht="43.2" customHeight="1" x14ac:dyDescent="0.3">
      <c r="A355" s="131"/>
      <c r="C355" s="246" t="s">
        <v>1100</v>
      </c>
      <c r="D355" s="263"/>
      <c r="E355" s="263"/>
      <c r="F355" s="264"/>
      <c r="G355" s="138" t="str">
        <f>_xlfn.CONCAT(_xlfn.XLOOKUP("[S06_AircraftOperatorsVerificationEmissionReportChecks1][4][PercentageShare]",Submission!$O:$O,Submission!$H:$N,""))</f>
        <v>1</v>
      </c>
      <c r="H355" s="129" t="str">
        <f>_xlfn.CONCAT(_xlfn.XLOOKUP("[S06_AircraftOperatorsVerificationEmissionReportChecks1][4][SelectingCriteria]",Submission!$O:$O,Submission!$H:$N,""))</f>
        <v>Other please specify</v>
      </c>
      <c r="I355" s="130" t="str">
        <f>_xlfn.CONCAT(_xlfn.XLOOKUP("[S06_AircraftOperatorsVerificationEmissionReportChecks1][4][FurtherInformation]",Submission!$O:$O,Submission!$H:$N,""))</f>
        <v>All emission reports are analysed.</v>
      </c>
    </row>
    <row r="356" spans="1:9" s="79" customFormat="1" ht="30" customHeight="1" x14ac:dyDescent="0.3">
      <c r="A356" s="131"/>
      <c r="C356" s="246" t="s">
        <v>1101</v>
      </c>
      <c r="D356" s="263"/>
      <c r="E356" s="263"/>
      <c r="F356" s="264"/>
      <c r="G356" s="139" t="str">
        <f>_xlfn.CONCAT(_xlfn.XLOOKUP("[S06_AircraftOperatorsVerificationEmissionReportChecks2][1][NumberOfReports]",Submission!$O:$O,Submission!$H:$N,""))</f>
        <v>0</v>
      </c>
      <c r="H356" s="440"/>
      <c r="I356" s="441"/>
    </row>
    <row r="357" spans="1:9" s="79" customFormat="1" ht="30" customHeight="1" x14ac:dyDescent="0.3">
      <c r="A357" s="131"/>
      <c r="C357" s="246" t="s">
        <v>1102</v>
      </c>
      <c r="D357" s="263"/>
      <c r="E357" s="263"/>
      <c r="F357" s="264"/>
      <c r="G357" s="139" t="str">
        <f>_xlfn.CONCAT(_xlfn.XLOOKUP("[S06_AircraftOperatorsVerificationEmissionReportChecks2][2][NumberOfReports]",Submission!$O:$O,Submission!$H:$N,""))</f>
        <v>0</v>
      </c>
      <c r="H357" s="251" t="str">
        <f>_xlfn.CONCAT(_xlfn.XLOOKUP("[S06_AircraftOperatorsVerificationEmissionReportChecks2][2][FurtherInformation]",Submission!$O:$O,Submission!$H:$N,""))</f>
        <v/>
      </c>
      <c r="I357" s="252"/>
    </row>
    <row r="358" spans="1:9" s="79" customFormat="1" ht="30" customHeight="1" x14ac:dyDescent="0.3">
      <c r="A358" s="131"/>
      <c r="C358" s="246" t="s">
        <v>1059</v>
      </c>
      <c r="D358" s="263"/>
      <c r="E358" s="263"/>
      <c r="F358" s="264"/>
      <c r="G358" s="284" t="str">
        <f>_xlfn.CONCAT(_xlfn.XLOOKUP("[S06_AircraftOperatorsVerificationEmissionReportChecks3][1][ActionsTaken]",Submission!$O:$O,Submission!$H:$N,""))</f>
        <v>Not applicable</v>
      </c>
      <c r="H358" s="348"/>
      <c r="I358" s="285"/>
    </row>
    <row r="359" spans="1:9" s="79" customFormat="1" ht="30" customHeight="1" x14ac:dyDescent="0.3">
      <c r="A359" s="131"/>
      <c r="C359" s="246" t="s">
        <v>1060</v>
      </c>
      <c r="D359" s="263"/>
      <c r="E359" s="263"/>
      <c r="F359" s="264"/>
      <c r="G359" s="284" t="str">
        <f>_xlfn.CONCAT(_xlfn.XLOOKUP("[S06_AircraftOperatorsVerificationEmissionReportChecks3][2][ActionsTaken]",Submission!$O:$O,Submission!$H:$N,""))</f>
        <v>Not applicable</v>
      </c>
      <c r="H359" s="348"/>
      <c r="I359" s="285"/>
    </row>
    <row r="360" spans="1:9" ht="15.9" customHeight="1" x14ac:dyDescent="0.3">
      <c r="A360" s="12"/>
      <c r="C360" s="395" t="s">
        <v>1103</v>
      </c>
      <c r="D360" s="395"/>
      <c r="E360" s="395"/>
      <c r="F360" s="395"/>
      <c r="G360" s="395"/>
      <c r="H360" s="395"/>
      <c r="I360" s="395"/>
    </row>
    <row r="361" spans="1:9" ht="9.75" customHeight="1" x14ac:dyDescent="0.3">
      <c r="A361" s="13"/>
      <c r="C361" s="11"/>
      <c r="D361" s="11"/>
      <c r="E361" s="11"/>
      <c r="F361" s="11"/>
      <c r="G361" s="11"/>
      <c r="H361" s="11"/>
      <c r="I361" s="11"/>
    </row>
    <row r="362" spans="1:9" ht="15.9" customHeight="1" x14ac:dyDescent="0.3">
      <c r="A362" s="12"/>
      <c r="B362" s="22"/>
      <c r="C362" s="431" t="s">
        <v>1104</v>
      </c>
      <c r="D362" s="431"/>
      <c r="E362" s="431"/>
      <c r="F362" s="431"/>
      <c r="G362" s="431"/>
      <c r="H362" s="431"/>
      <c r="I362" s="431"/>
    </row>
    <row r="363" spans="1:9" ht="15.9" customHeight="1" x14ac:dyDescent="0.3">
      <c r="A363" s="12"/>
      <c r="C363" s="315" t="s">
        <v>1105</v>
      </c>
      <c r="D363" s="379"/>
      <c r="E363" s="379"/>
      <c r="F363" s="379"/>
      <c r="G363" s="379"/>
      <c r="H363" s="379"/>
      <c r="I363" s="336"/>
    </row>
    <row r="364" spans="1:9" s="58" customFormat="1" ht="29.4" customHeight="1" x14ac:dyDescent="0.3">
      <c r="A364" s="57"/>
      <c r="C364" s="246" t="s">
        <v>1106</v>
      </c>
      <c r="D364" s="263"/>
      <c r="E364" s="263"/>
      <c r="F364" s="264"/>
      <c r="G364" s="138" t="str">
        <f>_xlfn.CONCAT(_xlfn.XLOOKUP("[S06_AircraftOperatorsVerificationTKMReportChecks1][1][PercentageShare]",Submission!$O:$O,Submission!$H:$N,""))</f>
        <v/>
      </c>
      <c r="H364" s="440"/>
      <c r="I364" s="441"/>
    </row>
    <row r="365" spans="1:9" s="58" customFormat="1" ht="29.4" customHeight="1" x14ac:dyDescent="0.3">
      <c r="A365" s="57"/>
      <c r="C365" s="246" t="s">
        <v>1107</v>
      </c>
      <c r="D365" s="263"/>
      <c r="E365" s="263"/>
      <c r="F365" s="264"/>
      <c r="G365" s="138" t="str">
        <f>_xlfn.CONCAT(_xlfn.XLOOKUP("[S06_AircraftOperatorsVerificationTKMReportChecks1][2][PercentageShare]",Submission!$O:$O,Submission!$H:$N,""))</f>
        <v/>
      </c>
      <c r="H365" s="440"/>
      <c r="I365" s="441"/>
    </row>
    <row r="366" spans="1:9" s="58" customFormat="1" ht="29.4" customHeight="1" x14ac:dyDescent="0.3">
      <c r="A366" s="57"/>
      <c r="C366" s="246" t="s">
        <v>1108</v>
      </c>
      <c r="D366" s="263"/>
      <c r="E366" s="263"/>
      <c r="F366" s="264"/>
      <c r="G366" s="138" t="str">
        <f>_xlfn.CONCAT(_xlfn.XLOOKUP("[S06_AircraftOperatorsVerificationTKMReportChecks1][3][PercentageShare]",Submission!$O:$O,Submission!$H:$N,""))</f>
        <v/>
      </c>
      <c r="H366" s="251" t="str">
        <f>_xlfn.CONCAT(_xlfn.XLOOKUP("[S06_AircraftOperatorsVerificationTKMReportChecks1][3][FurtherInformation]",Submission!$O:$O,Submission!$H:$N,""))</f>
        <v/>
      </c>
      <c r="I366" s="252"/>
    </row>
    <row r="367" spans="1:9" s="58" customFormat="1" ht="48" customHeight="1" x14ac:dyDescent="0.3">
      <c r="A367" s="57"/>
      <c r="C367" s="246" t="s">
        <v>1109</v>
      </c>
      <c r="D367" s="263"/>
      <c r="E367" s="263"/>
      <c r="F367" s="264"/>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6" t="s">
        <v>1110</v>
      </c>
      <c r="D368" s="263"/>
      <c r="E368" s="263"/>
      <c r="F368" s="264"/>
      <c r="G368" s="139" t="str">
        <f>_xlfn.CONCAT(_xlfn.XLOOKUP("[S06_AircraftOperatorsVerificationTKMReportChecks2][1][NumberOfReports]",Submission!$O:$O,Submission!$H:$N,""))</f>
        <v/>
      </c>
      <c r="H368" s="440"/>
      <c r="I368" s="441"/>
    </row>
    <row r="369" spans="1:11" s="58" customFormat="1" ht="29.4" customHeight="1" x14ac:dyDescent="0.3">
      <c r="A369" s="57"/>
      <c r="C369" s="246" t="s">
        <v>1111</v>
      </c>
      <c r="D369" s="263"/>
      <c r="E369" s="263"/>
      <c r="F369" s="264"/>
      <c r="G369" s="139" t="str">
        <f>_xlfn.CONCAT(_xlfn.XLOOKUP("[S06_AircraftOperatorsVerificationTKMReportChecks2][2][NumberOfReports]",Submission!$O:$O,Submission!$H:$N,""))</f>
        <v/>
      </c>
      <c r="H369" s="251" t="str">
        <f>_xlfn.CONCAT(_xlfn.XLOOKUP("[S06_AircraftOperatorsVerificationTKMReportChecks2][2][FurtherInformation]",Submission!$O:$O,Submission!$H:$N,""))</f>
        <v/>
      </c>
      <c r="I369" s="252"/>
    </row>
    <row r="370" spans="1:11" s="58" customFormat="1" ht="29.4" customHeight="1" x14ac:dyDescent="0.3">
      <c r="A370" s="57"/>
      <c r="C370" s="246" t="s">
        <v>1112</v>
      </c>
      <c r="D370" s="263"/>
      <c r="E370" s="263"/>
      <c r="F370" s="264"/>
      <c r="G370" s="284" t="str">
        <f>_xlfn.CONCAT(_xlfn.XLOOKUP("[S06_AircraftOperatorsVerificationTKMReportChecks3][1][ActionsTaken]",Submission!$O:$O,Submission!$H:$N,""))</f>
        <v/>
      </c>
      <c r="H370" s="348"/>
      <c r="I370" s="285"/>
    </row>
    <row r="371" spans="1:11" ht="15.9" customHeight="1" x14ac:dyDescent="0.3">
      <c r="A371" s="12"/>
      <c r="C371" s="395" t="s">
        <v>1113</v>
      </c>
      <c r="D371" s="396"/>
      <c r="E371" s="396"/>
      <c r="F371" s="396"/>
      <c r="G371" s="396"/>
      <c r="H371" s="396"/>
      <c r="I371" s="396"/>
    </row>
    <row r="372" spans="1:11" ht="15.9" customHeight="1" x14ac:dyDescent="0.3">
      <c r="A372" s="13"/>
      <c r="C372" s="29"/>
      <c r="D372" s="29"/>
      <c r="E372" s="11"/>
      <c r="F372" s="11"/>
    </row>
    <row r="373" spans="1:11" ht="15.9" customHeight="1" x14ac:dyDescent="0.3">
      <c r="A373" s="12" t="s">
        <v>423</v>
      </c>
      <c r="B373" s="293" t="s">
        <v>1114</v>
      </c>
      <c r="C373" s="294"/>
      <c r="D373" s="294"/>
      <c r="E373" s="294"/>
      <c r="F373" s="294"/>
      <c r="G373" s="294"/>
      <c r="H373" s="295"/>
      <c r="I373" s="41" t="str">
        <f>_xlfn.CONCAT(_xlfn.XLOOKUP("[AircraftOperatorsVisitsWaivedLowEmitters][0][AircraftOperatorsVisitsWaivedLowEmitters]",Submission!$O:$O,Submission!$H:$N,""))</f>
        <v>No</v>
      </c>
    </row>
    <row r="374" spans="1:11" ht="18.600000000000001" customHeight="1" x14ac:dyDescent="0.3">
      <c r="B374" s="293" t="s">
        <v>1115</v>
      </c>
      <c r="C374" s="294"/>
      <c r="D374" s="294"/>
      <c r="E374" s="294"/>
      <c r="F374" s="294"/>
      <c r="G374" s="294"/>
      <c r="H374" s="294"/>
      <c r="I374" s="294"/>
    </row>
    <row r="375" spans="1:11" ht="15.9" customHeight="1" x14ac:dyDescent="0.3">
      <c r="B375" s="11"/>
      <c r="C375" s="422" t="s">
        <v>1116</v>
      </c>
      <c r="D375" s="423"/>
      <c r="E375" s="423"/>
      <c r="F375" s="423"/>
      <c r="G375" s="423"/>
      <c r="H375" s="447" t="str">
        <f>_xlfn.CONCAT(_xlfn.XLOOKUP("[AircraftOperatorsVisitsWaivedLowEmittersDetail][0][AircraftOperatorsVisitsWaivedLowEmittersDetail]",Submission!$O:$O,Submission!$H:$N,""))</f>
        <v/>
      </c>
      <c r="I375" s="448"/>
    </row>
    <row r="377" spans="1:11" ht="15.9" customHeight="1" x14ac:dyDescent="0.3">
      <c r="A377" s="12" t="s">
        <v>428</v>
      </c>
      <c r="B377" s="293" t="s">
        <v>1069</v>
      </c>
      <c r="C377" s="294"/>
      <c r="D377" s="294"/>
      <c r="E377" s="294"/>
      <c r="F377" s="294"/>
      <c r="G377" s="294"/>
      <c r="H377" s="295"/>
      <c r="I377" s="41" t="str">
        <f>_xlfn.CONCAT(_xlfn.XLOOKUP("[VirtualVisitsAircraft][0][VirtualVisitsAircraft]",Submission!$O:$O,Submission!$H:$N,""))</f>
        <v>Yes</v>
      </c>
    </row>
    <row r="378" spans="1:11" ht="15.9" customHeight="1" x14ac:dyDescent="0.3">
      <c r="B378" s="293" t="s">
        <v>1070</v>
      </c>
      <c r="C378" s="294"/>
      <c r="D378" s="294"/>
      <c r="E378" s="294"/>
      <c r="F378" s="294"/>
      <c r="G378" s="294"/>
      <c r="H378" s="294"/>
      <c r="I378" s="294"/>
    </row>
    <row r="379" spans="1:11" ht="15.9" customHeight="1" x14ac:dyDescent="0.3">
      <c r="B379" s="15" t="s">
        <v>8</v>
      </c>
      <c r="C379" s="310" t="s">
        <v>1117</v>
      </c>
      <c r="D379" s="310"/>
      <c r="E379" s="310"/>
      <c r="F379" s="310"/>
      <c r="G379" s="310"/>
      <c r="H379" s="310"/>
      <c r="I379" s="310"/>
    </row>
    <row r="380" spans="1:11" ht="15.9" customHeight="1" x14ac:dyDescent="0.3">
      <c r="B380" s="15" t="s">
        <v>8</v>
      </c>
      <c r="C380" s="310" t="s">
        <v>1072</v>
      </c>
      <c r="D380" s="310"/>
      <c r="E380" s="310"/>
      <c r="F380" s="310"/>
      <c r="G380" s="310"/>
      <c r="H380" s="310"/>
      <c r="I380" s="310"/>
      <c r="K380" s="173"/>
    </row>
    <row r="381" spans="1:11" ht="15.9" customHeight="1" x14ac:dyDescent="0.3">
      <c r="B381" s="15" t="s">
        <v>8</v>
      </c>
      <c r="C381" s="314" t="s">
        <v>1073</v>
      </c>
      <c r="D381" s="314"/>
      <c r="E381" s="314"/>
      <c r="F381" s="314"/>
      <c r="G381" s="314"/>
      <c r="H381" s="314"/>
      <c r="I381" s="314"/>
    </row>
    <row r="382" spans="1:11" ht="31.2" customHeight="1" x14ac:dyDescent="0.3">
      <c r="A382" s="12"/>
      <c r="B382" s="15"/>
      <c r="C382" s="46" t="s">
        <v>1074</v>
      </c>
      <c r="D382" s="315" t="s">
        <v>1118</v>
      </c>
      <c r="E382" s="317"/>
      <c r="F382" s="315" t="s">
        <v>1076</v>
      </c>
      <c r="G382" s="317"/>
      <c r="H382" s="315" t="s">
        <v>1077</v>
      </c>
      <c r="I382" s="317"/>
    </row>
    <row r="383" spans="1:11" ht="25.2" customHeight="1" x14ac:dyDescent="0.3">
      <c r="C383" s="72" t="str">
        <f>_xlfn.CONCAT(_xlfn.XLOOKUP("[S06_VirtualVisitsAircraftDetails][1][TypeForceMajeur]",Submission!$O:$O,Submission!$H:$N,""))</f>
        <v>Travel restrictions due to COVID-19 pandemic.</v>
      </c>
      <c r="D383" s="341" t="str">
        <f>_xlfn.CONCAT(_xlfn.XLOOKUP("[S06_VirtualVisitsAircraftDetails][1][NumberOfAirOperatorsVV]",Submission!$O:$O,Submission!$H:$N,""))</f>
        <v>13</v>
      </c>
      <c r="E383" s="356"/>
      <c r="F383" s="284" t="str">
        <f>_xlfn.CONCAT(_xlfn.XLOOKUP("[S06_VirtualVisitsAircraftDetails][1][AuthorityApproval]",Submission!$O:$O,Submission!$H:$N,""))</f>
        <v>Approval by competent authority</v>
      </c>
      <c r="G383" s="285"/>
      <c r="H383" s="284" t="str">
        <f>_xlfn.CONCAT(_xlfn.XLOOKUP("[S06_VirtualVisitsAircraftDetails][1][ConfirmationConditionsMet]",Submission!$O:$O,Submission!$H:$N,""))</f>
        <v>Yes.</v>
      </c>
      <c r="I383" s="285"/>
    </row>
    <row r="384" spans="1:11" ht="25.2" customHeight="1" x14ac:dyDescent="0.3">
      <c r="C384" s="72" t="str">
        <f>_xlfn.CONCAT(_xlfn.XLOOKUP("[S06_VirtualVisitsAircraftDetails][2][TypeForceMajeur]",Submission!$O:$O,Submission!$H:$N,""))</f>
        <v/>
      </c>
      <c r="D384" s="341" t="str">
        <f>_xlfn.CONCAT(_xlfn.XLOOKUP("[S06_VirtualVisitsAircraftDetails][2][NumberOfAirOperatorsVV]",Submission!$O:$O,Submission!$H:$N,""))</f>
        <v/>
      </c>
      <c r="E384" s="356"/>
      <c r="F384" s="284" t="str">
        <f>_xlfn.CONCAT(_xlfn.XLOOKUP("[S06_VirtualVisitsAircraftDetails][2][AuthorityApproval]",Submission!$O:$O,Submission!$H:$N,""))</f>
        <v/>
      </c>
      <c r="G384" s="285"/>
      <c r="H384" s="284" t="str">
        <f>_xlfn.CONCAT(_xlfn.XLOOKUP("[S06_VirtualVisitsAircraftDetails][2][ConfirmationConditionsMet]",Submission!$O:$O,Submission!$H:$N,""))</f>
        <v/>
      </c>
      <c r="I384" s="285"/>
    </row>
    <row r="385" spans="1:9" ht="25.2" customHeight="1" x14ac:dyDescent="0.3">
      <c r="C385" s="72" t="str">
        <f>_xlfn.CONCAT(_xlfn.XLOOKUP("[S06_VirtualVisitsAircraftDetails][3][TypeForceMajeur]",Submission!$O:$O,Submission!$H:$N,""))</f>
        <v/>
      </c>
      <c r="D385" s="341" t="str">
        <f>_xlfn.CONCAT(_xlfn.XLOOKUP("[S06_VirtualVisitsAircraftDetails][3][NumberOfAirOperatorsVV]",Submission!$O:$O,Submission!$H:$N,""))</f>
        <v/>
      </c>
      <c r="E385" s="356"/>
      <c r="F385" s="284" t="str">
        <f>_xlfn.CONCAT(_xlfn.XLOOKUP("[S06_VirtualVisitsAircraftDetails][3][AuthorityApproval]",Submission!$O:$O,Submission!$H:$N,""))</f>
        <v/>
      </c>
      <c r="G385" s="285"/>
      <c r="H385" s="284" t="str">
        <f>_xlfn.CONCAT(_xlfn.XLOOKUP("[S06_VirtualVisitsAircraftDetails][3][ConfirmationConditionsMet]",Submission!$O:$O,Submission!$H:$N,""))</f>
        <v/>
      </c>
      <c r="I385" s="285"/>
    </row>
    <row r="386" spans="1:9" ht="25.2" customHeight="1" x14ac:dyDescent="0.3">
      <c r="C386" s="72" t="str">
        <f>_xlfn.CONCAT(_xlfn.XLOOKUP("[S06_VirtualVisitsAircraftDetails][4][TypeForceMajeur]",Submission!$O:$O,Submission!$H:$N,""))</f>
        <v/>
      </c>
      <c r="D386" s="341" t="str">
        <f>_xlfn.CONCAT(_xlfn.XLOOKUP("[S06_VirtualVisitsAircraftDetails][4][NumberOfAirOperatorsVV]",Submission!$O:$O,Submission!$H:$N,""))</f>
        <v/>
      </c>
      <c r="E386" s="356"/>
      <c r="F386" s="284" t="str">
        <f>_xlfn.CONCAT(_xlfn.XLOOKUP("[S06_VirtualVisitsAircraftDetails][4][AuthorityApproval]",Submission!$O:$O,Submission!$H:$N,""))</f>
        <v/>
      </c>
      <c r="G386" s="285"/>
      <c r="H386" s="284" t="str">
        <f>_xlfn.CONCAT(_xlfn.XLOOKUP("[S06_VirtualVisitsAircraftDetails][4][ConfirmationConditionsMet]",Submission!$O:$O,Submission!$H:$N,""))</f>
        <v/>
      </c>
      <c r="I386" s="285"/>
    </row>
    <row r="387" spans="1:9" ht="25.2" hidden="1" customHeight="1" outlineLevel="1" x14ac:dyDescent="0.3">
      <c r="C387" s="72" t="str">
        <f>_xlfn.CONCAT(_xlfn.XLOOKUP("[S06_VirtualVisitsAircraftDetails][5][TypeForceMajeur]",Submission!$O:$O,Submission!$H:$N,""))</f>
        <v/>
      </c>
      <c r="D387" s="341" t="str">
        <f>_xlfn.CONCAT(_xlfn.XLOOKUP("[S06_VirtualVisitsAircraftDetails][5][NumberOfAirOperatorsVV]",Submission!$O:$O,Submission!$H:$N,""))</f>
        <v/>
      </c>
      <c r="E387" s="356"/>
      <c r="F387" s="284" t="str">
        <f>_xlfn.CONCAT(_xlfn.XLOOKUP("[S06_VirtualVisitsAircraftDetails][5][AuthorityApproval]",Submission!$O:$O,Submission!$H:$N,""))</f>
        <v/>
      </c>
      <c r="G387" s="285"/>
      <c r="H387" s="284" t="str">
        <f>_xlfn.CONCAT(_xlfn.XLOOKUP("[S06_VirtualVisitsAircraftDetails][5][ConfirmationConditionsMet]",Submission!$O:$O,Submission!$H:$N,""))</f>
        <v/>
      </c>
      <c r="I387" s="285"/>
    </row>
    <row r="388" spans="1:9" ht="25.2" hidden="1" customHeight="1" outlineLevel="1" x14ac:dyDescent="0.3">
      <c r="C388" s="72" t="str">
        <f>_xlfn.CONCAT(_xlfn.XLOOKUP("[S06_VirtualVisitsAircraftDetails][6][TypeForceMajeur]",Submission!$O:$O,Submission!$H:$N,""))</f>
        <v/>
      </c>
      <c r="D388" s="341" t="str">
        <f>_xlfn.CONCAT(_xlfn.XLOOKUP("[S06_VirtualVisitsAircraftDetails][6][NumberOfAirOperatorsVV]",Submission!$O:$O,Submission!$H:$N,""))</f>
        <v/>
      </c>
      <c r="E388" s="356"/>
      <c r="F388" s="284" t="str">
        <f>_xlfn.CONCAT(_xlfn.XLOOKUP("[S06_VirtualVisitsAircraftDetails][6][AuthorityApproval]",Submission!$O:$O,Submission!$H:$N,""))</f>
        <v/>
      </c>
      <c r="G388" s="285"/>
      <c r="H388" s="284" t="str">
        <f>_xlfn.CONCAT(_xlfn.XLOOKUP("[S06_VirtualVisitsAircraftDetails][6][ConfirmationConditionsMet]",Submission!$O:$O,Submission!$H:$N,""))</f>
        <v/>
      </c>
      <c r="I388" s="285"/>
    </row>
    <row r="389" spans="1:9" ht="25.2" hidden="1" customHeight="1" outlineLevel="1" x14ac:dyDescent="0.3">
      <c r="C389" s="72" t="str">
        <f>_xlfn.CONCAT(_xlfn.XLOOKUP("[S06_VirtualVisitsAircraftDetails][7][TypeForceMajeur]",Submission!$O:$O,Submission!$H:$N,""))</f>
        <v/>
      </c>
      <c r="D389" s="341" t="str">
        <f>_xlfn.CONCAT(_xlfn.XLOOKUP("[S06_VirtualVisitsAircraftDetails][7][NumberOfAirOperatorsVV]",Submission!$O:$O,Submission!$H:$N,""))</f>
        <v/>
      </c>
      <c r="E389" s="356"/>
      <c r="F389" s="284" t="str">
        <f>_xlfn.CONCAT(_xlfn.XLOOKUP("[S06_VirtualVisitsAircraftDetails][7][AuthorityApproval]",Submission!$O:$O,Submission!$H:$N,""))</f>
        <v/>
      </c>
      <c r="G389" s="285"/>
      <c r="H389" s="284" t="str">
        <f>_xlfn.CONCAT(_xlfn.XLOOKUP("[S06_VirtualVisitsAircraftDetails][7][ConfirmationConditionsMet]",Submission!$O:$O,Submission!$H:$N,""))</f>
        <v/>
      </c>
      <c r="I389" s="285"/>
    </row>
    <row r="390" spans="1:9" ht="25.2" hidden="1" customHeight="1" outlineLevel="1" x14ac:dyDescent="0.3">
      <c r="C390" s="72" t="str">
        <f>_xlfn.CONCAT(_xlfn.XLOOKUP("[S06_VirtualVisitsAircraftDetails][8][TypeForceMajeur]",Submission!$O:$O,Submission!$H:$N,""))</f>
        <v/>
      </c>
      <c r="D390" s="341" t="str">
        <f>_xlfn.CONCAT(_xlfn.XLOOKUP("[S06_VirtualVisitsAircraftDetails][8][NumberOfAirOperatorsVV]",Submission!$O:$O,Submission!$H:$N,""))</f>
        <v/>
      </c>
      <c r="E390" s="356"/>
      <c r="F390" s="284" t="str">
        <f>_xlfn.CONCAT(_xlfn.XLOOKUP("[S06_VirtualVisitsAircraftDetails][8][AuthorityApproval]",Submission!$O:$O,Submission!$H:$N,""))</f>
        <v/>
      </c>
      <c r="G390" s="285"/>
      <c r="H390" s="284" t="str">
        <f>_xlfn.CONCAT(_xlfn.XLOOKUP("[S06_VirtualVisitsAircraftDetails][8][ConfirmationConditionsMet]",Submission!$O:$O,Submission!$H:$N,""))</f>
        <v/>
      </c>
      <c r="I390" s="285"/>
    </row>
    <row r="391" spans="1:9" ht="25.2" hidden="1" customHeight="1" outlineLevel="1" x14ac:dyDescent="0.3">
      <c r="C391" s="72" t="str">
        <f>_xlfn.CONCAT(_xlfn.XLOOKUP("[S06_VirtualVisitsAircraftDetails][9][TypeForceMajeur]",Submission!$O:$O,Submission!$H:$N,""))</f>
        <v/>
      </c>
      <c r="D391" s="341" t="str">
        <f>_xlfn.CONCAT(_xlfn.XLOOKUP("[S06_VirtualVisitsAircraftDetails][9][NumberOfAirOperatorsVV]",Submission!$O:$O,Submission!$H:$N,""))</f>
        <v/>
      </c>
      <c r="E391" s="356"/>
      <c r="F391" s="284" t="str">
        <f>_xlfn.CONCAT(_xlfn.XLOOKUP("[S06_VirtualVisitsAircraftDetails][9][AuthorityApproval]",Submission!$O:$O,Submission!$H:$N,""))</f>
        <v/>
      </c>
      <c r="G391" s="285"/>
      <c r="H391" s="284" t="str">
        <f>_xlfn.CONCAT(_xlfn.XLOOKUP("[S06_VirtualVisitsAircraftDetails][9][ConfirmationConditionsMet]",Submission!$O:$O,Submission!$H:$N,""))</f>
        <v/>
      </c>
      <c r="I391" s="285"/>
    </row>
    <row r="392" spans="1:9" ht="25.2" hidden="1" customHeight="1" outlineLevel="1" x14ac:dyDescent="0.3">
      <c r="C392" s="72" t="str">
        <f>_xlfn.CONCAT(_xlfn.XLOOKUP("[S06_VirtualVisitsAircraftDetails][10][TypeForceMajeur]",Submission!$O:$O,Submission!$H:$N,""))</f>
        <v/>
      </c>
      <c r="D392" s="341" t="str">
        <f>_xlfn.CONCAT(_xlfn.XLOOKUP("[S06_VirtualVisitsAircraftDetails][10][NumberOfAirOperatorsVV]",Submission!$O:$O,Submission!$H:$N,""))</f>
        <v/>
      </c>
      <c r="E392" s="356"/>
      <c r="F392" s="284" t="str">
        <f>_xlfn.CONCAT(_xlfn.XLOOKUP("[S06_VirtualVisitsAircraftDetails][10][AuthorityApproval]",Submission!$O:$O,Submission!$H:$N,""))</f>
        <v/>
      </c>
      <c r="G392" s="285"/>
      <c r="H392" s="284" t="str">
        <f>_xlfn.CONCAT(_xlfn.XLOOKUP("[S06_VirtualVisitsAircraftDetails][10][ConfirmationConditionsMet]",Submission!$O:$O,Submission!$H:$N,""))</f>
        <v/>
      </c>
      <c r="I392" s="285"/>
    </row>
    <row r="393" spans="1:9" ht="25.2" hidden="1" customHeight="1" outlineLevel="1" x14ac:dyDescent="0.3">
      <c r="C393" s="72" t="str">
        <f>_xlfn.CONCAT(_xlfn.XLOOKUP("[S06_VirtualVisitsAircraftDetails][11][TypeForceMajeur]",Submission!$O:$O,Submission!$H:$N,""))</f>
        <v/>
      </c>
      <c r="D393" s="341" t="str">
        <f>_xlfn.CONCAT(_xlfn.XLOOKUP("[S06_VirtualVisitsAircraftDetails][11][NumberOfAirOperatorsVV]",Submission!$O:$O,Submission!$H:$N,""))</f>
        <v/>
      </c>
      <c r="E393" s="356"/>
      <c r="F393" s="284" t="str">
        <f>_xlfn.CONCAT(_xlfn.XLOOKUP("[S06_VirtualVisitsAircraftDetails][11][AuthorityApproval]",Submission!$O:$O,Submission!$H:$N,""))</f>
        <v/>
      </c>
      <c r="G393" s="285"/>
      <c r="H393" s="284" t="str">
        <f>_xlfn.CONCAT(_xlfn.XLOOKUP("[S06_VirtualVisitsAircraftDetails][11][ConfirmationConditionsMet]",Submission!$O:$O,Submission!$H:$N,""))</f>
        <v/>
      </c>
      <c r="I393" s="285"/>
    </row>
    <row r="394" spans="1:9" ht="25.2" hidden="1" customHeight="1" outlineLevel="1" x14ac:dyDescent="0.3">
      <c r="C394" s="72" t="str">
        <f>_xlfn.CONCAT(_xlfn.XLOOKUP("[S06_VirtualVisitsAircraftDetails][12][TypeForceMajeur]",Submission!$O:$O,Submission!$H:$N,""))</f>
        <v/>
      </c>
      <c r="D394" s="341" t="str">
        <f>_xlfn.CONCAT(_xlfn.XLOOKUP("[S06_VirtualVisitsAircraftDetails][12][NumberOfAirOperatorsVV]",Submission!$O:$O,Submission!$H:$N,""))</f>
        <v/>
      </c>
      <c r="E394" s="356"/>
      <c r="F394" s="284" t="str">
        <f>_xlfn.CONCAT(_xlfn.XLOOKUP("[S06_VirtualVisitsAircraftDetails][12][AuthorityApproval]",Submission!$O:$O,Submission!$H:$N,""))</f>
        <v/>
      </c>
      <c r="G394" s="285"/>
      <c r="H394" s="284" t="str">
        <f>_xlfn.CONCAT(_xlfn.XLOOKUP("[S06_VirtualVisitsAircraftDetails][12][ConfirmationConditionsMet]",Submission!$O:$O,Submission!$H:$N,""))</f>
        <v/>
      </c>
      <c r="I394" s="285"/>
    </row>
    <row r="395" spans="1:9" ht="15.9" customHeight="1" collapsed="1" x14ac:dyDescent="0.3">
      <c r="A395" s="13"/>
      <c r="B395" s="26" t="s">
        <v>1000</v>
      </c>
      <c r="C395" s="19"/>
      <c r="D395" s="11"/>
      <c r="E395" s="11"/>
      <c r="F395" s="11"/>
      <c r="G395" s="11"/>
      <c r="H395" s="11"/>
    </row>
    <row r="396" spans="1:9" ht="15.9" customHeight="1" x14ac:dyDescent="0.3">
      <c r="A396" s="13"/>
      <c r="B396" s="449" t="s">
        <v>1078</v>
      </c>
      <c r="C396" s="449"/>
      <c r="D396" s="449"/>
      <c r="E396" s="449"/>
      <c r="F396" s="449"/>
      <c r="G396" s="449"/>
      <c r="H396" s="449"/>
      <c r="I396" s="449"/>
    </row>
  </sheetData>
  <dataConsolidate/>
  <mergeCells count="536">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C141:D141"/>
    <mergeCell ref="E141:F141"/>
    <mergeCell ref="C142:D142"/>
    <mergeCell ref="E142:F142"/>
    <mergeCell ref="C143:D143"/>
    <mergeCell ref="E143:F143"/>
    <mergeCell ref="C144:D144"/>
    <mergeCell ref="E144:F144"/>
    <mergeCell ref="C145:D145"/>
    <mergeCell ref="E145:F145"/>
    <mergeCell ref="C133:D133"/>
    <mergeCell ref="E133:F133"/>
    <mergeCell ref="C134:D134"/>
    <mergeCell ref="E134:F134"/>
    <mergeCell ref="C135:D135"/>
    <mergeCell ref="E135:F135"/>
    <mergeCell ref="C136:D136"/>
    <mergeCell ref="E136:F136"/>
    <mergeCell ref="C137:D137"/>
    <mergeCell ref="E137:F137"/>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61:D161"/>
    <mergeCell ref="E161:F161"/>
    <mergeCell ref="C162:D162"/>
    <mergeCell ref="E162:F162"/>
    <mergeCell ref="C163:D163"/>
    <mergeCell ref="C178:D178"/>
    <mergeCell ref="E178:F178"/>
    <mergeCell ref="C179:D179"/>
    <mergeCell ref="E179:F179"/>
    <mergeCell ref="C156:D156"/>
    <mergeCell ref="E156:F156"/>
    <mergeCell ref="C157:D157"/>
    <mergeCell ref="E157:F157"/>
    <mergeCell ref="C158:D158"/>
    <mergeCell ref="E158:F158"/>
    <mergeCell ref="C159:D159"/>
    <mergeCell ref="E159:F159"/>
    <mergeCell ref="C160:D160"/>
    <mergeCell ref="E160:F160"/>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H326:I326"/>
    <mergeCell ref="B328:H328"/>
    <mergeCell ref="B329:I329"/>
    <mergeCell ref="C322:G322"/>
    <mergeCell ref="H322:I322"/>
    <mergeCell ref="C323:G323"/>
    <mergeCell ref="H323:I323"/>
    <mergeCell ref="C324:G324"/>
    <mergeCell ref="H324:I324"/>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34:F234"/>
    <mergeCell ref="H234:I234"/>
    <mergeCell ref="C235:F235"/>
    <mergeCell ref="H235:I235"/>
    <mergeCell ref="C236:F236"/>
    <mergeCell ref="G236:I236"/>
    <mergeCell ref="C231:F231"/>
    <mergeCell ref="H231:I231"/>
    <mergeCell ref="C232:F232"/>
    <mergeCell ref="H232:I232"/>
    <mergeCell ref="C233:F233"/>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C63:F64"/>
    <mergeCell ref="C65:F65"/>
    <mergeCell ref="G65:I65"/>
    <mergeCell ref="B53:I53"/>
    <mergeCell ref="C54:I54"/>
    <mergeCell ref="C55:F56"/>
    <mergeCell ref="G55:H55"/>
    <mergeCell ref="G56:H56"/>
    <mergeCell ref="C57:F58"/>
    <mergeCell ref="G57:H57"/>
    <mergeCell ref="G58:H58"/>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260:D260"/>
    <mergeCell ref="C261:D261"/>
    <mergeCell ref="C262:D262"/>
    <mergeCell ref="E262:G262"/>
    <mergeCell ref="H262:I262"/>
    <mergeCell ref="C264:I264"/>
    <mergeCell ref="B266:H266"/>
    <mergeCell ref="B267:I267"/>
    <mergeCell ref="C274:I274"/>
    <mergeCell ref="D275:E275"/>
    <mergeCell ref="F275:G275"/>
    <mergeCell ref="H275:I275"/>
    <mergeCell ref="C268:G268"/>
    <mergeCell ref="H268:I268"/>
    <mergeCell ref="B270:H270"/>
    <mergeCell ref="B271:I271"/>
    <mergeCell ref="C272:I272"/>
    <mergeCell ref="C273:I273"/>
    <mergeCell ref="F276:G276"/>
    <mergeCell ref="F277:G277"/>
    <mergeCell ref="F278:G278"/>
    <mergeCell ref="F279:G279"/>
    <mergeCell ref="F280:G280"/>
    <mergeCell ref="F281:G281"/>
    <mergeCell ref="F282:G282"/>
    <mergeCell ref="F283:G283"/>
    <mergeCell ref="F284:G284"/>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C199:D199"/>
    <mergeCell ref="E199:F199"/>
    <mergeCell ref="C200:D200"/>
    <mergeCell ref="E200:F200"/>
    <mergeCell ref="C201:D201"/>
    <mergeCell ref="E201:F201"/>
    <mergeCell ref="C202:D202"/>
    <mergeCell ref="E202:F202"/>
    <mergeCell ref="C203:D203"/>
    <mergeCell ref="E203:F203"/>
    <mergeCell ref="C204:D204"/>
    <mergeCell ref="E204:F204"/>
    <mergeCell ref="C205:D205"/>
    <mergeCell ref="E205:F205"/>
    <mergeCell ref="C206:D206"/>
    <mergeCell ref="E206:F206"/>
    <mergeCell ref="C207:D207"/>
    <mergeCell ref="E207:F207"/>
    <mergeCell ref="C208:D208"/>
    <mergeCell ref="E208:F208"/>
    <mergeCell ref="C209:D209"/>
    <mergeCell ref="E209:F209"/>
    <mergeCell ref="C210:D210"/>
    <mergeCell ref="E210:F210"/>
    <mergeCell ref="C211:D211"/>
    <mergeCell ref="E211:F211"/>
    <mergeCell ref="C212:D212"/>
    <mergeCell ref="E212:F212"/>
    <mergeCell ref="C213:D213"/>
    <mergeCell ref="E213:F213"/>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68</vt:i4>
      </vt:variant>
    </vt:vector>
  </HeadingPairs>
  <TitlesOfParts>
    <vt:vector size="85"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2023-05-30T00:36:17Z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