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12" documentId="8_{E13085B7-851C-4092-B607-9EA103783F90}" xr6:coauthVersionLast="47" xr6:coauthVersionMax="47" xr10:uidLastSave="{B740BBE0-D4CB-4648-9E1B-3CC312921400}"/>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8" i="43" l="1"/>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E11" i="29" s="1"/>
  <c r="O6" i="43"/>
  <c r="O5" i="43"/>
  <c r="O4" i="43"/>
  <c r="O3" i="43"/>
  <c r="O2" i="43"/>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I4739" i="40" s="1"/>
  <c r="E1315" i="10"/>
  <c r="G4641" i="40" s="1"/>
  <c r="D1314" i="10"/>
  <c r="G4543" i="40" s="1"/>
  <c r="C1313" i="10"/>
  <c r="K4445" i="40" s="1"/>
  <c r="I1311" i="10"/>
  <c r="G5025" i="40" s="1"/>
  <c r="H1310" i="10"/>
  <c r="G1309" i="10"/>
  <c r="I4829" i="40" s="1"/>
  <c r="F1308" i="10"/>
  <c r="I4731" i="40" s="1"/>
  <c r="E1307" i="10"/>
  <c r="G4633" i="40" s="1"/>
  <c r="D1306" i="10"/>
  <c r="G4535" i="40" s="1"/>
  <c r="C1305" i="10"/>
  <c r="K4437" i="40" s="1"/>
  <c r="I1303" i="10"/>
  <c r="G5017" i="40" s="1"/>
  <c r="H1302" i="10"/>
  <c r="G1301" i="10"/>
  <c r="I4821" i="40" s="1"/>
  <c r="F1300" i="10"/>
  <c r="I4723" i="40" s="1"/>
  <c r="E1299" i="10"/>
  <c r="D1298" i="10"/>
  <c r="G4527" i="40" s="1"/>
  <c r="C1297" i="10"/>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G4544" i="40" s="1"/>
  <c r="C1314" i="10"/>
  <c r="I1312" i="10"/>
  <c r="G5026" i="40" s="1"/>
  <c r="H1311" i="10"/>
  <c r="K4928" i="40" s="1"/>
  <c r="G1310" i="10"/>
  <c r="F1309" i="10"/>
  <c r="E1308" i="10"/>
  <c r="G4634" i="40" s="1"/>
  <c r="D1307" i="10"/>
  <c r="C1306" i="10"/>
  <c r="K4438" i="40" s="1"/>
  <c r="I1304" i="10"/>
  <c r="H1303" i="10"/>
  <c r="G1302" i="10"/>
  <c r="I4822" i="40" s="1"/>
  <c r="F1301" i="10"/>
  <c r="E1300" i="10"/>
  <c r="G4626" i="40" s="1"/>
  <c r="D1299" i="10"/>
  <c r="G4528" i="40" s="1"/>
  <c r="C1298" i="10"/>
  <c r="I1296" i="10"/>
  <c r="G5010" i="40" s="1"/>
  <c r="H1295" i="10"/>
  <c r="K4912" i="40" s="1"/>
  <c r="G1294" i="10"/>
  <c r="I4814" i="40" s="1"/>
  <c r="F1293" i="10"/>
  <c r="I4716" i="40" s="1"/>
  <c r="E1292" i="10"/>
  <c r="D1291" i="10"/>
  <c r="C1290" i="10"/>
  <c r="K4422" i="40" s="1"/>
  <c r="I1288" i="10"/>
  <c r="H1287" i="10"/>
  <c r="K4904" i="40" s="1"/>
  <c r="G1286" i="10"/>
  <c r="F1285" i="10"/>
  <c r="E1284" i="10"/>
  <c r="D1283" i="10"/>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K4447" i="40" s="1"/>
  <c r="I1313" i="10"/>
  <c r="H1312" i="10"/>
  <c r="K4929" i="40" s="1"/>
  <c r="G1311" i="10"/>
  <c r="I4831" i="40" s="1"/>
  <c r="F1310" i="10"/>
  <c r="I4733" i="40" s="1"/>
  <c r="E1309" i="10"/>
  <c r="G4635" i="40" s="1"/>
  <c r="D1308" i="10"/>
  <c r="G4537" i="40" s="1"/>
  <c r="C1307" i="10"/>
  <c r="I1305" i="10"/>
  <c r="H1304" i="10"/>
  <c r="K4921" i="40" s="1"/>
  <c r="G1303" i="10"/>
  <c r="F1302" i="10"/>
  <c r="I4725" i="40" s="1"/>
  <c r="E1301" i="10"/>
  <c r="D1300" i="10"/>
  <c r="G4529" i="40" s="1"/>
  <c r="C1299" i="10"/>
  <c r="K4431" i="40" s="1"/>
  <c r="I1297" i="10"/>
  <c r="H1296" i="10"/>
  <c r="K4913" i="40" s="1"/>
  <c r="G1295" i="10"/>
  <c r="F1294" i="10"/>
  <c r="I4717" i="40" s="1"/>
  <c r="E1293" i="10"/>
  <c r="G4619" i="40" s="1"/>
  <c r="D1292" i="10"/>
  <c r="C1291" i="10"/>
  <c r="K4423" i="40" s="1"/>
  <c r="I1289" i="10"/>
  <c r="G5003" i="40" s="1"/>
  <c r="H1288" i="10"/>
  <c r="G1287" i="10"/>
  <c r="I4807" i="40" s="1"/>
  <c r="F1286" i="10"/>
  <c r="E1285" i="10"/>
  <c r="G4611" i="40" s="1"/>
  <c r="D1284" i="10"/>
  <c r="G4513" i="40" s="1"/>
  <c r="C1283" i="10"/>
  <c r="I1281" i="10"/>
  <c r="G4995" i="40" s="1"/>
  <c r="H1280" i="10"/>
  <c r="K4897" i="40" s="1"/>
  <c r="G1279" i="10"/>
  <c r="I4799" i="40" s="1"/>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K4930" i="40" s="1"/>
  <c r="G1312" i="10"/>
  <c r="I4832" i="40" s="1"/>
  <c r="F1311" i="10"/>
  <c r="I4734" i="40" s="1"/>
  <c r="E1310" i="10"/>
  <c r="G4636" i="40" s="1"/>
  <c r="D1309" i="10"/>
  <c r="C1308" i="10"/>
  <c r="K4440" i="40" s="1"/>
  <c r="I1306" i="10"/>
  <c r="H1305" i="10"/>
  <c r="K4922" i="40" s="1"/>
  <c r="G1304" i="10"/>
  <c r="I4824" i="40" s="1"/>
  <c r="F1303" i="10"/>
  <c r="I4726" i="40" s="1"/>
  <c r="E1302" i="10"/>
  <c r="G4628" i="40" s="1"/>
  <c r="D1301" i="10"/>
  <c r="G4530" i="40" s="1"/>
  <c r="C1300" i="10"/>
  <c r="I1298" i="10"/>
  <c r="G5012" i="40" s="1"/>
  <c r="H1297" i="10"/>
  <c r="K4914" i="40" s="1"/>
  <c r="G1296" i="10"/>
  <c r="I4816" i="40" s="1"/>
  <c r="F1295" i="10"/>
  <c r="I4718" i="40" s="1"/>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I4735" i="40" s="1"/>
  <c r="E1311" i="10"/>
  <c r="D1310" i="10"/>
  <c r="G4539" i="40" s="1"/>
  <c r="C1309" i="10"/>
  <c r="K4441" i="40" s="1"/>
  <c r="I1307" i="10"/>
  <c r="G5021" i="40" s="1"/>
  <c r="H1306" i="10"/>
  <c r="K4923" i="40" s="1"/>
  <c r="G1305" i="10"/>
  <c r="I4825" i="40" s="1"/>
  <c r="F1304" i="10"/>
  <c r="I4727" i="40" s="1"/>
  <c r="E1303" i="10"/>
  <c r="D1302" i="10"/>
  <c r="C1301" i="10"/>
  <c r="K4433" i="40" s="1"/>
  <c r="I1299" i="10"/>
  <c r="G5013" i="40" s="1"/>
  <c r="H1298" i="10"/>
  <c r="K4915" i="40" s="1"/>
  <c r="G1297" i="10"/>
  <c r="I4817" i="40" s="1"/>
  <c r="F1296" i="10"/>
  <c r="I4719" i="40" s="1"/>
  <c r="E1295" i="10"/>
  <c r="D1294" i="10"/>
  <c r="G4523" i="40" s="1"/>
  <c r="C1293" i="10"/>
  <c r="I1291" i="10"/>
  <c r="G5005" i="40" s="1"/>
  <c r="H1290" i="10"/>
  <c r="K4907" i="40" s="1"/>
  <c r="G1289" i="10"/>
  <c r="I4809" i="40" s="1"/>
  <c r="F1288" i="10"/>
  <c r="I4711" i="40" s="1"/>
  <c r="E1287" i="10"/>
  <c r="G4613" i="40" s="1"/>
  <c r="D1286" i="10"/>
  <c r="C1285" i="10"/>
  <c r="K4417" i="40" s="1"/>
  <c r="I1283" i="10"/>
  <c r="H1282" i="10"/>
  <c r="K4899" i="40" s="1"/>
  <c r="G1281" i="10"/>
  <c r="I4801" i="40" s="1"/>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D1311" i="10"/>
  <c r="G4540" i="40" s="1"/>
  <c r="C1310" i="10"/>
  <c r="I1308" i="10"/>
  <c r="G5022" i="40" s="1"/>
  <c r="H1307" i="10"/>
  <c r="K4924" i="40" s="1"/>
  <c r="G1306" i="10"/>
  <c r="I4826" i="40" s="1"/>
  <c r="F1305" i="10"/>
  <c r="I4728" i="40" s="1"/>
  <c r="E1304" i="10"/>
  <c r="G4630" i="40" s="1"/>
  <c r="D1303" i="10"/>
  <c r="G4532" i="40" s="1"/>
  <c r="C1302" i="10"/>
  <c r="K4434" i="40" s="1"/>
  <c r="I1300" i="10"/>
  <c r="H1299" i="10"/>
  <c r="K4916" i="40" s="1"/>
  <c r="G1298" i="10"/>
  <c r="I4818" i="40" s="1"/>
  <c r="F1297" i="10"/>
  <c r="I4720" i="40" s="1"/>
  <c r="E1296" i="10"/>
  <c r="G4622" i="40" s="1"/>
  <c r="D1295" i="10"/>
  <c r="G4524" i="40" s="1"/>
  <c r="C1294" i="10"/>
  <c r="I1292" i="10"/>
  <c r="G5006" i="40" s="1"/>
  <c r="H1291" i="10"/>
  <c r="G1290" i="10"/>
  <c r="I4810" i="40" s="1"/>
  <c r="F1289" i="10"/>
  <c r="I4712" i="40" s="1"/>
  <c r="E1288" i="10"/>
  <c r="G4614" i="40" s="1"/>
  <c r="D1287" i="10"/>
  <c r="G4516" i="40" s="1"/>
  <c r="C1286" i="10"/>
  <c r="K4418" i="40" s="1"/>
  <c r="I1284" i="10"/>
  <c r="G4998" i="40" s="1"/>
  <c r="H1283" i="10"/>
  <c r="K4900" i="40" s="1"/>
  <c r="G1282" i="10"/>
  <c r="F1281" i="10"/>
  <c r="I4704" i="40" s="1"/>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I1309" i="10"/>
  <c r="H1308" i="10"/>
  <c r="G1307" i="10"/>
  <c r="I4827" i="40" s="1"/>
  <c r="F1306" i="10"/>
  <c r="I4729" i="40" s="1"/>
  <c r="E1305" i="10"/>
  <c r="G4631" i="40" s="1"/>
  <c r="D1304" i="10"/>
  <c r="G4533" i="40" s="1"/>
  <c r="C1303" i="10"/>
  <c r="K4435" i="40" s="1"/>
  <c r="I1301" i="10"/>
  <c r="G5015" i="40" s="1"/>
  <c r="H1300" i="10"/>
  <c r="K4917" i="40" s="1"/>
  <c r="G1299" i="10"/>
  <c r="F1298" i="10"/>
  <c r="I4721" i="40" s="1"/>
  <c r="E1297" i="10"/>
  <c r="G4623" i="40" s="1"/>
  <c r="D1296" i="10"/>
  <c r="G4525" i="40" s="1"/>
  <c r="C1295" i="10"/>
  <c r="K4427" i="40" s="1"/>
  <c r="I1293" i="10"/>
  <c r="G5007" i="40" s="1"/>
  <c r="H1292" i="10"/>
  <c r="G1291" i="10"/>
  <c r="I4811" i="40" s="1"/>
  <c r="F1290" i="10"/>
  <c r="E1289" i="10"/>
  <c r="G4615" i="40" s="1"/>
  <c r="D1288" i="10"/>
  <c r="G4517" i="40" s="1"/>
  <c r="C1287" i="10"/>
  <c r="K4419" i="40" s="1"/>
  <c r="I1285" i="10"/>
  <c r="G4999" i="40" s="1"/>
  <c r="H1284" i="10"/>
  <c r="K4901" i="40" s="1"/>
  <c r="G1283" i="10"/>
  <c r="I4803" i="40" s="1"/>
  <c r="F1282" i="10"/>
  <c r="I4705" i="40" s="1"/>
  <c r="E1281" i="10"/>
  <c r="G4607" i="40" s="1"/>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D1297" i="10"/>
  <c r="G4526" i="40" s="1"/>
  <c r="C1292" i="10"/>
  <c r="C1289" i="10"/>
  <c r="K4421" i="40" s="1"/>
  <c r="H1285" i="10"/>
  <c r="K4902" i="40" s="1"/>
  <c r="I1282" i="10"/>
  <c r="G4996" i="40" s="1"/>
  <c r="E1280" i="10"/>
  <c r="G4606" i="40" s="1"/>
  <c r="H1278" i="10"/>
  <c r="K4895" i="40" s="1"/>
  <c r="E1277" i="10"/>
  <c r="D1276" i="10"/>
  <c r="G4505" i="40" s="1"/>
  <c r="C1275" i="10"/>
  <c r="I1273" i="10"/>
  <c r="G4987" i="40" s="1"/>
  <c r="H1272" i="10"/>
  <c r="K4889" i="40" s="1"/>
  <c r="G1271" i="10"/>
  <c r="I4791" i="40" s="1"/>
  <c r="F1270" i="10"/>
  <c r="I4693" i="40" s="1"/>
  <c r="E1269" i="10"/>
  <c r="G4595" i="40" s="1"/>
  <c r="D1268" i="10"/>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G4640" i="40" s="1"/>
  <c r="D1305" i="10"/>
  <c r="G4534" i="40" s="1"/>
  <c r="C1296" i="10"/>
  <c r="F1291" i="10"/>
  <c r="G1288" i="10"/>
  <c r="G1285" i="10"/>
  <c r="I4805" i="40" s="1"/>
  <c r="E1282" i="10"/>
  <c r="G4608" i="40" s="1"/>
  <c r="C1280" i="10"/>
  <c r="K4412" i="40" s="1"/>
  <c r="G1278" i="10"/>
  <c r="D1277" i="10"/>
  <c r="G4506" i="40" s="1"/>
  <c r="C1276" i="10"/>
  <c r="I1274" i="10"/>
  <c r="G4988" i="40" s="1"/>
  <c r="H1273" i="10"/>
  <c r="K4890" i="40" s="1"/>
  <c r="G1272" i="10"/>
  <c r="I4792" i="40" s="1"/>
  <c r="F1271" i="10"/>
  <c r="I4694" i="40" s="1"/>
  <c r="E1270" i="10"/>
  <c r="G4596" i="40" s="1"/>
  <c r="D1269" i="10"/>
  <c r="G4498" i="40" s="1"/>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C1288" i="10"/>
  <c r="K4420" i="40" s="1"/>
  <c r="D1285" i="10"/>
  <c r="G4514" i="40" s="1"/>
  <c r="D1282" i="10"/>
  <c r="G4511" i="40" s="1"/>
  <c r="I1279" i="10"/>
  <c r="G4993" i="40" s="1"/>
  <c r="E1278" i="10"/>
  <c r="G4604" i="40" s="1"/>
  <c r="C1277" i="10"/>
  <c r="K4409" i="40" s="1"/>
  <c r="I1275" i="10"/>
  <c r="H1274" i="10"/>
  <c r="G1273" i="10"/>
  <c r="I4793" i="40" s="1"/>
  <c r="F1272" i="10"/>
  <c r="I4695" i="40" s="1"/>
  <c r="E1271" i="10"/>
  <c r="G4597" i="40" s="1"/>
  <c r="D1270" i="10"/>
  <c r="G4499" i="40" s="1"/>
  <c r="C1269" i="10"/>
  <c r="K4401" i="40" s="1"/>
  <c r="I1267" i="10"/>
  <c r="G4981" i="40" s="1"/>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G5016" i="40" s="1"/>
  <c r="H1293" i="10"/>
  <c r="K4910" i="40" s="1"/>
  <c r="I1290" i="10"/>
  <c r="G5004" i="40" s="1"/>
  <c r="I1287" i="10"/>
  <c r="G5001" i="40" s="1"/>
  <c r="G1284" i="10"/>
  <c r="I4804" i="40" s="1"/>
  <c r="H1281" i="10"/>
  <c r="H1279" i="10"/>
  <c r="K4896" i="40" s="1"/>
  <c r="D1278" i="10"/>
  <c r="I1276" i="10"/>
  <c r="G4990" i="40" s="1"/>
  <c r="H1275" i="10"/>
  <c r="K4892" i="40" s="1"/>
  <c r="G1274" i="10"/>
  <c r="I4794" i="40" s="1"/>
  <c r="F1273" i="10"/>
  <c r="I4696" i="40" s="1"/>
  <c r="E1272" i="10"/>
  <c r="G4598" i="40" s="1"/>
  <c r="D1271" i="10"/>
  <c r="G4500" i="40" s="1"/>
  <c r="C1270" i="10"/>
  <c r="K4402" i="40" s="1"/>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F1284" i="10"/>
  <c r="I4707" i="40" s="1"/>
  <c r="D1281" i="10"/>
  <c r="F1279" i="10"/>
  <c r="I4702" i="40" s="1"/>
  <c r="C1278" i="10"/>
  <c r="K4410" i="40" s="1"/>
  <c r="H1276" i="10"/>
  <c r="K4893" i="40" s="1"/>
  <c r="G1275" i="10"/>
  <c r="I4795" i="40" s="1"/>
  <c r="F1274" i="10"/>
  <c r="I4697" i="40" s="1"/>
  <c r="E1273" i="10"/>
  <c r="D1272" i="10"/>
  <c r="G4501" i="40" s="1"/>
  <c r="C1271" i="10"/>
  <c r="K4403" i="40" s="1"/>
  <c r="I1269" i="10"/>
  <c r="G4983" i="40" s="1"/>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G4605" i="40" s="1"/>
  <c r="H1277" i="10"/>
  <c r="K4894" i="40" s="1"/>
  <c r="G1276" i="10"/>
  <c r="I4796" i="40" s="1"/>
  <c r="F1275" i="10"/>
  <c r="I4698" i="40" s="1"/>
  <c r="E1274" i="10"/>
  <c r="G4600" i="40" s="1"/>
  <c r="D1273" i="10"/>
  <c r="G4502" i="40" s="1"/>
  <c r="C1272" i="10"/>
  <c r="K4404" i="40" s="1"/>
  <c r="I1270" i="10"/>
  <c r="H1269" i="10"/>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I4722" i="40" s="1"/>
  <c r="G1292" i="10"/>
  <c r="H1289" i="10"/>
  <c r="H1286" i="10"/>
  <c r="K4903" i="40" s="1"/>
  <c r="F1283" i="10"/>
  <c r="I4706" i="40" s="1"/>
  <c r="G1280" i="10"/>
  <c r="I4800" i="40" s="1"/>
  <c r="D1279" i="10"/>
  <c r="G1277" i="10"/>
  <c r="I4797" i="40" s="1"/>
  <c r="F1276" i="10"/>
  <c r="E1275" i="10"/>
  <c r="G4601" i="40" s="1"/>
  <c r="D1274" i="10"/>
  <c r="G4503" i="40" s="1"/>
  <c r="C1273" i="10"/>
  <c r="K4405" i="40" s="1"/>
  <c r="I1271" i="10"/>
  <c r="G4985" i="40" s="1"/>
  <c r="H1270" i="10"/>
  <c r="K4887" i="40" s="1"/>
  <c r="G1269" i="10"/>
  <c r="I4789" i="40" s="1"/>
  <c r="F1268" i="10"/>
  <c r="I4691" i="40" s="1"/>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I4730" i="40" s="1"/>
  <c r="E1298" i="10"/>
  <c r="G4624" i="40" s="1"/>
  <c r="F1292" i="10"/>
  <c r="D1289" i="10"/>
  <c r="E1286" i="10"/>
  <c r="G4612" i="40" s="1"/>
  <c r="E1283" i="10"/>
  <c r="G4609" i="40" s="1"/>
  <c r="F1280" i="10"/>
  <c r="I4703" i="40" s="1"/>
  <c r="I1278" i="10"/>
  <c r="G4992" i="40" s="1"/>
  <c r="F1277" i="10"/>
  <c r="I4700" i="40" s="1"/>
  <c r="E1276" i="10"/>
  <c r="G4602" i="40" s="1"/>
  <c r="D1267" i="10"/>
  <c r="G4496" i="40" s="1"/>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J8467" i="40"/>
  <c r="AK29" i="8"/>
  <c r="AK28" i="8"/>
  <c r="J8477" i="40"/>
  <c r="AK39" i="8"/>
  <c r="K4448" i="40"/>
  <c r="G4984" i="40"/>
  <c r="G4986" i="40"/>
  <c r="G4599" i="40"/>
  <c r="K4891" i="40"/>
  <c r="K4407" i="40"/>
  <c r="G4989" i="40"/>
  <c r="K4408" i="40"/>
  <c r="I4699" i="40"/>
  <c r="G4603" i="40"/>
  <c r="G4507" i="40"/>
  <c r="I4701" i="40"/>
  <c r="I4798" i="40"/>
  <c r="G4508" i="40"/>
  <c r="G4510" i="40"/>
  <c r="K4898" i="40"/>
  <c r="I4802" i="40"/>
  <c r="K4415" i="40"/>
  <c r="G4512" i="40"/>
  <c r="G4997" i="40"/>
  <c r="G4610" i="40"/>
  <c r="I4708" i="40"/>
  <c r="G4515" i="40"/>
  <c r="I4709" i="40"/>
  <c r="I4806" i="40"/>
  <c r="I4710" i="40"/>
  <c r="I4808" i="40"/>
  <c r="K4905" i="40"/>
  <c r="G5002" i="40"/>
  <c r="G4518" i="40"/>
  <c r="K4906" i="40"/>
  <c r="I4713" i="40"/>
  <c r="G4520" i="40"/>
  <c r="G4617" i="40"/>
  <c r="I4714" i="40"/>
  <c r="K4908" i="40"/>
  <c r="K4424" i="40"/>
  <c r="G4521" i="40"/>
  <c r="G4618" i="40"/>
  <c r="I4715" i="40"/>
  <c r="I4812" i="40"/>
  <c r="K4909" i="40"/>
  <c r="K4425" i="40"/>
  <c r="K4426" i="40"/>
  <c r="G4620" i="40"/>
  <c r="G4621" i="40"/>
  <c r="I4815" i="40"/>
  <c r="K4428" i="40"/>
  <c r="K4429" i="40"/>
  <c r="G5011" i="40"/>
  <c r="K4430" i="40"/>
  <c r="G4625" i="40"/>
  <c r="I4819" i="40"/>
  <c r="K4432" i="40"/>
  <c r="G5014" i="40"/>
  <c r="G4627" i="40"/>
  <c r="I4724" i="40"/>
  <c r="G4531" i="40"/>
  <c r="K4919" i="40"/>
  <c r="G4629" i="40"/>
  <c r="I4823" i="40"/>
  <c r="K4920" i="40"/>
  <c r="G5018" i="40"/>
  <c r="G5019" i="40"/>
  <c r="G4632" i="40"/>
  <c r="G5020" i="40"/>
  <c r="K4439" i="40"/>
  <c r="G4536" i="40"/>
  <c r="K4925" i="40"/>
  <c r="G4538" i="40"/>
  <c r="I4732" i="40"/>
  <c r="G5023" i="40"/>
  <c r="K4442" i="40"/>
  <c r="I4830" i="40"/>
  <c r="K4927" i="40"/>
  <c r="K4443" i="40"/>
  <c r="G4637" i="40"/>
  <c r="K4444" i="40"/>
  <c r="G4638" i="40"/>
  <c r="G5027" i="40"/>
  <c r="K4446" i="40"/>
  <c r="G5028" i="40"/>
  <c r="G4545" i="40"/>
  <c r="G4642" i="40"/>
  <c r="I4836" i="40"/>
  <c r="G4593" i="40"/>
  <c r="K4884" i="40"/>
  <c r="K4400" i="40"/>
  <c r="G4497" i="40"/>
  <c r="I4788" i="40"/>
  <c r="G4982" i="40"/>
  <c r="K4886" i="40"/>
  <c r="AK23" i="8" l="1"/>
  <c r="AK27" i="8"/>
  <c r="J8475" i="40"/>
  <c r="J8463" i="40"/>
  <c r="AK25" i="8"/>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<sst xmlns="http://schemas.openxmlformats.org/spreadsheetml/2006/main" count="53042" uniqueCount="2349">
  <si>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</si>
  <si>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</si>
  <si>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</si>
  <si>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</si>
  <si>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</si>
  <si>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</si>
  <si>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</si>
  <si>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</si>
  <si>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</si>
  <si>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</si>
  <si>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</si>
  <si>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</si>
  <si>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</si>
  <si>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</si>
  <si>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</si>
  <si>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</si>
  <si>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</si>
  <si>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</si>
  <si>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</si>
  <si>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</si>
  <si>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</si>
  <si>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</si>
  <si>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</si>
  <si>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</si>
  <si>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</si>
  <si>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</si>
  <si>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</si>
  <si>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</si>
  <si>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</si>
  <si>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</si>
  <si>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</si>
  <si>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</si>
  <si>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</si>
  <si>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</si>
  <si>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</si>
  <si>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</si>
  <si>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</si>
  <si>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</si>
  <si>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</si>
  <si>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</si>
  <si>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</si>
  <si>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</si>
  <si>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</si>
  <si>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</si>
  <si>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</si>
  <si>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</si>
  <si>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</si>
  <si>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</si>
  <si>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</si>
  <si>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</si>
  <si>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</si>
  <si>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</si>
  <si>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</si>
  <si>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</si>
  <si>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</si>
  <si>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</si>
  <si>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</si>
  <si>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</si>
  <si>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</si>
  <si>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</si>
  <si>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</si>
  <si>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</si>
  <si>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</si>
  <si>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</si>
  <si>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</si>
  <si>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</si>
  <si>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</si>
  <si>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</si>
  <si>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</si>
  <si>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</si>
  <si>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</si>
  <si>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</si>
  <si>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</si>
  <si>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</si>
  <si>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</si>
  <si>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</si>
  <si>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</si>
  <si>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</si>
  <si>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</si>
  <si>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</si>
  <si>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</si>
  <si>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</si>
  <si>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</si>
  <si>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</si>
  <si>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</si>
  <si>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</si>
  <si>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</si>
  <si>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</si>
  <si>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</si>
  <si>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</si>
  <si>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</si>
  <si>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</si>
  <si>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</si>
  <si>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</si>
  <si>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</si>
  <si>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</si>
  <si>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</si>
  <si>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</si>
  <si>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</si>
  <si>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</si>
  <si>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</si>
  <si>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</si>
  <si>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</si>
  <si>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</si>
  <si>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</si>
  <si>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</si>
  <si>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</si>
  <si>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</si>
  <si>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</si>
  <si>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</si>
  <si>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</si>
  <si>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</si>
  <si>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</si>
  <si>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</si>
  <si>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</si>
  <si>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</si>
  <si>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</si>
  <si>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</si>
  <si>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</si>
  <si>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</si>
  <si>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</si>
  <si>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</si>
  <si>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</si>
  <si>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</si>
  <si>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</si>
  <si>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</si>
  <si>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</si>
  <si>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</si>
  <si>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</si>
  <si>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</si>
  <si>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</si>
  <si>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</si>
  <si>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</si>
  <si>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</si>
  <si>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</si>
  <si>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</si>
  <si>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</si>
  <si>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</si>
  <si>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</si>
  <si>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</si>
  <si>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</si>
  <si>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</si>
  <si>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</si>
  <si>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</si>
  <si>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</si>
  <si>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</si>
  <si>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</si>
  <si>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</si>
  <si>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</si>
  <si>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</si>
  <si>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</si>
  <si>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</si>
  <si>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</si>
  <si>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</si>
  <si>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</si>
  <si>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</si>
  <si>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</si>
  <si>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</si>
  <si>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</si>
  <si>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</si>
  <si>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</si>
  <si>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</si>
  <si>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</si>
  <si>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</si>
  <si>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</si>
  <si>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</si>
  <si>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</si>
  <si>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</si>
  <si>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</si>
  <si>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</si>
  <si>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</si>
  <si>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</si>
  <si>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</si>
  <si>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</si>
  <si>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</si>
  <si>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</si>
  <si>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</si>
  <si>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</si>
  <si>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</si>
  <si>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</si>
  <si>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</si>
  <si>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</si>
  <si>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</si>
  <si>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</si>
  <si>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</si>
  <si>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</si>
  <si>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</si>
  <si>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</si>
  <si>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</si>
  <si>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</si>
  <si>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</si>
  <si>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</si>
  <si>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</si>
  <si>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</si>
  <si>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</si>
  <si>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</si>
  <si>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</si>
  <si>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</si>
  <si>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</si>
  <si>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</si>
  <si>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</si>
  <si>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</si>
  <si>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</si>
  <si>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</si>
  <si>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</si>
  <si>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</si>
  <si>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</si>
  <si>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</si>
  <si>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</si>
  <si>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</si>
  <si>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</si>
  <si>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</si>
  <si>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</si>
  <si>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</si>
  <si>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</si>
  <si>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</si>
  <si>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</si>
  <si>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</si>
  <si>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</si>
  <si>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</si>
  <si>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</si>
  <si>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</si>
  <si>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</si>
  <si>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</si>
  <si>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</si>
  <si>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</si>
  <si>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</si>
  <si>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</si>
  <si>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</si>
  <si>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</si>
  <si>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</si>
  <si>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</si>
  <si>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</si>
  <si>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</si>
  <si>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</si>
  <si>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</si>
  <si>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</si>
  <si>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</si>
  <si>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</si>
  <si>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</si>
  <si>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</si>
  <si>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</si>
  <si>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</si>
  <si>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</si>
  <si>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</si>
  <si>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</si>
  <si>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</si>
  <si>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</si>
  <si>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</si>
  <si>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</si>
  <si>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</si>
  <si>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</si>
  <si>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</si>
  <si>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</si>
  <si>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</si>
  <si>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</si>
  <si>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</si>
  <si>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</si>
  <si>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</si>
  <si>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</si>
  <si>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</si>
  <si>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</si>
  <si>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</si>
  <si>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</si>
  <si>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</si>
  <si>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</si>
  <si>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</si>
  <si>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</si>
  <si>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</si>
  <si>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</si>
  <si>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</si>
  <si>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</si>
  <si>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</si>
  <si>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</si>
  <si>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</si>
  <si>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</si>
  <si>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</si>
  <si>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</si>
  <si>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</si>
  <si>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</si>
  <si>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</si>
  <si>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</si>
  <si>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</si>
  <si>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</si>
  <si>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</si>
  <si>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</si>
  <si>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</si>
  <si>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</si>
  <si>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</si>
  <si>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</si>
  <si>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</si>
  <si>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</si>
  <si>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</si>
  <si>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</si>
  <si>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</si>
  <si>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</si>
  <si>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</si>
  <si>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</si>
  <si>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</si>
  <si>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</si>
  <si>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</si>
  <si>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</si>
  <si>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</si>
  <si>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</si>
  <si>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</si>
  <si>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</si>
  <si>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</si>
  <si>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</si>
  <si>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</si>
  <si>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</si>
  <si>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</si>
  <si>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</si>
  <si>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</si>
  <si>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</si>
  <si>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</si>
  <si>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</si>
  <si>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</si>
  <si>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</si>
  <si>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</si>
  <si>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</si>
  <si>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</si>
  <si>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</si>
  <si>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</si>
  <si>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</si>
  <si>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</si>
  <si>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</si>
  <si>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</si>
  <si>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</si>
  <si>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</si>
  <si>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</si>
  <si>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</si>
  <si>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</si>
  <si>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</si>
  <si>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</si>
  <si>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</si>
  <si>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</si>
  <si>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</si>
  <si>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</si>
  <si>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</si>
  <si>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</si>
  <si>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</si>
  <si>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</si>
  <si>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</si>
  <si>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</si>
  <si>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</si>
  <si>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</si>
  <si>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</si>
  <si>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</si>
  <si>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</si>
  <si>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</si>
  <si>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</si>
  <si>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</si>
  <si>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</si>
  <si>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</si>
  <si>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</si>
  <si>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</si>
  <si>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</si>
  <si>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</si>
  <si>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</si>
  <si>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</si>
  <si>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</si>
  <si>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</si>
  <si>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</si>
  <si>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</si>
  <si>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</si>
  <si>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</si>
  <si>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</si>
  <si>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</si>
  <si>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</si>
  <si>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</si>
  <si>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</si>
  <si>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</si>
  <si>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</si>
  <si>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</si>
  <si>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</si>
  <si>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</si>
  <si>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</si>
  <si>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</si>
  <si>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</si>
  <si>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</si>
  <si>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</si>
  <si>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</si>
  <si>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</si>
  <si>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</si>
  <si>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</si>
  <si>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</si>
  <si>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</si>
  <si>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</si>
  <si>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</si>
  <si>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</si>
  <si>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</si>
  <si>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</si>
  <si>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</si>
  <si>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</si>
  <si>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</si>
  <si>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</si>
  <si>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</si>
  <si>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</si>
  <si>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</si>
  <si>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</si>
  <si>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</si>
  <si>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</si>
  <si>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</si>
  <si>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</si>
  <si>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</si>
  <si>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</si>
  <si>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</si>
  <si>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</si>
  <si>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</si>
  <si>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</si>
  <si>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</si>
  <si>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</si>
  <si>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</si>
  <si>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</si>
  <si>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</si>
  <si>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</si>
  <si>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</si>
  <si>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</si>
  <si>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</si>
  <si>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</si>
  <si>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</si>
  <si>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</si>
  <si>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</si>
  <si>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</si>
  <si>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</si>
  <si>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</si>
  <si>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</si>
  <si>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</si>
  <si>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</si>
  <si>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</si>
  <si>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</si>
  <si>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</si>
  <si>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</si>
  <si>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</si>
  <si>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</si>
  <si>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</si>
  <si>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</si>
  <si>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</si>
  <si>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</si>
  <si>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</si>
  <si>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</si>
  <si>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</si>
  <si>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</si>
  <si>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</si>
  <si>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</si>
  <si>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</si>
  <si>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</si>
  <si>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</si>
  <si>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</si>
  <si>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</si>
  <si>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</si>
  <si>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</si>
  <si>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</si>
  <si>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</si>
  <si>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</si>
  <si>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</si>
  <si>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</si>
  <si>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</si>
  <si>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</si>
  <si>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</si>
  <si>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</si>
  <si>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</si>
  <si>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</si>
  <si>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</si>
  <si>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</si>
  <si>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</si>
  <si>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</si>
  <si>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</si>
  <si>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</si>
  <si>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</si>
  <si>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</si>
  <si>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</si>
  <si>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</si>
  <si>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</si>
  <si>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</si>
  <si>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</si>
  <si>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</si>
  <si>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</si>
  <si>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</si>
  <si>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</si>
  <si>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</si>
  <si>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</si>
  <si>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</si>
  <si>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</si>
  <si>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</si>
  <si>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</si>
  <si>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</si>
  <si>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</si>
  <si>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</si>
  <si>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</si>
  <si>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</si>
  <si>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</si>
  <si>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</si>
  <si>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</si>
  <si>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</si>
  <si>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</si>
  <si>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</si>
  <si>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</si>
  <si>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</si>
  <si>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</si>
  <si>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</si>
  <si>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</si>
  <si>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</si>
  <si>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</si>
  <si>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</si>
  <si>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</si>
  <si>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</si>
  <si>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</si>
  <si>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</si>
  <si>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</si>
  <si>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</si>
  <si>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</si>
  <si>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</si>
  <si>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</si>
  <si>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</si>
  <si>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</si>
  <si>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</si>
  <si>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</si>
  <si>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</si>
  <si>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</si>
  <si>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</si>
  <si>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</si>
  <si>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</si>
  <si>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</si>
  <si>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</si>
  <si>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</si>
  <si>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</si>
  <si>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</si>
  <si>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</si>
  <si>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</si>
  <si>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</si>
  <si>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</si>
  <si>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</si>
  <si>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</si>
  <si>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</si>
  <si>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</si>
  <si>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</si>
  <si>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</si>
  <si>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</si>
  <si>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</si>
  <si>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</si>
  <si>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</si>
  <si>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</si>
  <si>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</si>
  <si>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</si>
  <si>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</si>
  <si>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</si>
  <si>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</si>
  <si>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</si>
  <si>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</si>
  <si>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</si>
  <si>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</si>
  <si>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</si>
  <si>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</si>
  <si>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</si>
  <si>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</si>
  <si>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</si>
  <si>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</si>
  <si>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</si>
  <si>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</si>
  <si>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</si>
  <si>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</si>
  <si>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</si>
  <si>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</si>
  <si>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</si>
  <si>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</si>
  <si>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</si>
  <si>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</si>
  <si>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</si>
  <si>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</si>
  <si>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</si>
  <si>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</si>
  <si>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</si>
  <si>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</si>
  <si>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</si>
  <si>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</si>
  <si>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</si>
  <si>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</si>
  <si>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</si>
  <si>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</si>
  <si>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</si>
  <si>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</si>
  <si>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</si>
  <si>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</si>
  <si>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</si>
  <si>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</si>
  <si>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</si>
  <si>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</si>
  <si>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</si>
  <si>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</si>
  <si>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</si>
  <si>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</si>
  <si>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</si>
  <si>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</si>
  <si>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</si>
  <si>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</si>
  <si>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</si>
  <si>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</si>
  <si>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</si>
  <si>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</si>
  <si>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</si>
  <si>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</si>
  <si>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</si>
  <si>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</si>
  <si>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</si>
  <si>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</si>
  <si>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</si>
  <si>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</si>
  <si>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</si>
  <si>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</si>
  <si>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</si>
  <si>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</si>
  <si>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</si>
  <si>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</si>
  <si>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</si>
  <si>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</si>
  <si>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</si>
  <si>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</si>
  <si>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</si>
  <si>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</si>
  <si>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</si>
  <si>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</si>
  <si>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</si>
  <si>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</si>
  <si>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</si>
  <si>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</si>
  <si>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</si>
  <si>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</si>
  <si>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</si>
  <si>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</si>
  <si>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</si>
  <si>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</si>
  <si>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</si>
  <si>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</si>
  <si>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</si>
  <si>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</si>
  <si>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</si>
  <si>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</si>
  <si>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</si>
  <si>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</si>
  <si>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</si>
  <si>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</si>
  <si>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</si>
  <si>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</si>
  <si>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</si>
  <si>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</si>
  <si>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</si>
  <si>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</si>
  <si>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</si>
  <si>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</si>
  <si>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</si>
  <si>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</si>
  <si>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</si>
  <si>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</si>
  <si>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</si>
  <si>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</si>
  <si>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</si>
  <si>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</si>
  <si>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</si>
  <si>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</si>
  <si>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</si>
  <si>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</si>
  <si>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</si>
  <si>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</si>
  <si>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</si>
  <si>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</si>
  <si>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</si>
  <si>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</si>
  <si>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</si>
  <si>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</si>
  <si>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</si>
  <si>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</si>
  <si>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</si>
  <si>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</si>
  <si>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</si>
  <si>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</si>
  <si>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</si>
  <si>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</si>
  <si>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</si>
  <si>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</si>
  <si>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</si>
  <si>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</si>
  <si>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</si>
  <si>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</si>
  <si>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</si>
  <si>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</si>
  <si>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</si>
  <si>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</si>
  <si>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</si>
  <si>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</si>
  <si>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</si>
  <si>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</si>
  <si>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</si>
  <si>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</si>
  <si>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</si>
  <si>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</si>
  <si>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</si>
  <si>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</si>
  <si>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</si>
  <si>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</si>
  <si>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</si>
  <si>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</si>
  <si>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</si>
  <si>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</si>
  <si>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</si>
  <si>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</si>
  <si>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</si>
  <si>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</si>
  <si>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</si>
  <si>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</si>
  <si>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</si>
  <si>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</si>
  <si>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</si>
  <si>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</si>
  <si>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</si>
  <si>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</si>
  <si>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</si>
  <si>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</si>
  <si>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</si>
  <si>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</si>
  <si>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</si>
  <si>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</si>
  <si>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</si>
  <si>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</si>
  <si>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</si>
  <si>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</si>
  <si>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</si>
  <si>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</si>
  <si>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</si>
  <si>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</si>
  <si>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</si>
  <si>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</si>
  <si>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</si>
  <si>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</si>
  <si>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</si>
  <si>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</si>
  <si>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</si>
  <si>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</si>
  <si>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</si>
  <si>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</si>
  <si>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</si>
  <si>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</si>
  <si>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</si>
  <si>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</si>
  <si>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</si>
  <si>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</si>
  <si>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</si>
  <si>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</si>
  <si>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</si>
  <si>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</si>
  <si>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</si>
  <si>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</si>
  <si>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</si>
  <si>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</si>
  <si>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</si>
  <si>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</si>
  <si>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</si>
  <si>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</si>
  <si>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</si>
  <si>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</si>
  <si>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</si>
  <si>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</si>
  <si>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</si>
  <si>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</si>
  <si>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</si>
  <si>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</si>
  <si>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</si>
  <si>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</si>
  <si>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</si>
  <si>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</si>
  <si>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</si>
  <si>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</si>
  <si>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</si>
  <si>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</si>
  <si>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</si>
  <si>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</si>
  <si>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</si>
  <si>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</si>
  <si>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</si>
  <si>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</si>
  <si>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</si>
  <si>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</si>
  <si>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</si>
  <si>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</si>
  <si>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</si>
  <si>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</si>
  <si>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</si>
  <si>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</si>
  <si>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</si>
  <si>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</si>
  <si>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</si>
  <si>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</si>
  <si>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</si>
  <si>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</si>
  <si>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</si>
  <si>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</si>
  <si>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</si>
  <si>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</si>
  <si>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</si>
  <si>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</si>
  <si>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</si>
  <si>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</si>
  <si>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</si>
  <si>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</si>
  <si>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</si>
  <si>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</si>
  <si>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</si>
  <si>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</si>
  <si>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</si>
  <si>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</si>
  <si>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</si>
  <si>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</si>
  <si>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</si>
  <si>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</si>
  <si>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</si>
  <si>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</si>
  <si>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</si>
  <si>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</si>
  <si>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</si>
  <si>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</si>
  <si>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</si>
  <si>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</si>
  <si>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</si>
  <si>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</si>
  <si>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</si>
  <si>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</si>
  <si>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</si>
  <si>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</si>
  <si>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</si>
  <si>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</si>
  <si>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</si>
  <si>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</si>
  <si>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</si>
  <si>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</si>
  <si>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</si>
  <si>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</si>
  <si>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</si>
  <si>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</si>
  <si>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</si>
  <si>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</si>
  <si>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</si>
  <si>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</si>
  <si>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</si>
  <si>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</si>
  <si>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</si>
  <si>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</si>
  <si>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</si>
  <si>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</si>
  <si>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</si>
  <si>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</si>
  <si>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</si>
  <si>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</si>
  <si>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</si>
  <si>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</si>
  <si>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</si>
  <si>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</si>
  <si>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</si>
  <si>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</si>
  <si>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</si>
  <si>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</si>
  <si>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</si>
  <si>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</si>
  <si>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</si>
  <si>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</si>
  <si>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</si>
  <si>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</si>
  <si>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</si>
  <si>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</si>
  <si>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</si>
  <si>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</si>
  <si>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</si>
  <si>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</si>
  <si>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</si>
  <si>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</si>
  <si>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</si>
  <si>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</si>
  <si>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</si>
  <si>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</si>
  <si>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</si>
  <si>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</si>
  <si>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</si>
  <si>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</si>
  <si>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</si>
  <si>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</si>
  <si>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</si>
  <si>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</si>
  <si>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</si>
  <si>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</si>
  <si>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</si>
  <si>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</si>
  <si>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</si>
  <si>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</si>
  <si>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</si>
  <si>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</si>
  <si>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</si>
  <si>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</si>
  <si>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</si>
  <si>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</si>
  <si>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</si>
  <si>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</si>
  <si>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</si>
  <si>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</si>
  <si>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</si>
  <si>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</si>
  <si>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</si>
  <si>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</si>
  <si>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</si>
  <si>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</si>
  <si>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</si>
  <si>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</si>
  <si>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</si>
  <si>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</si>
  <si>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</si>
  <si>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</si>
  <si>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</si>
  <si>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</si>
  <si>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</si>
  <si>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</si>
  <si>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</si>
  <si>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</si>
  <si>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</si>
  <si>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</si>
  <si>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</si>
  <si>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</si>
  <si>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</si>
  <si>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</si>
  <si>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</si>
  <si>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</si>
  <si>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</si>
  <si>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</si>
  <si>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</si>
  <si>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</si>
  <si>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</si>
  <si>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</si>
  <si>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</si>
  <si>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</si>
  <si>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</si>
  <si>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</si>
  <si>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</si>
  <si>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</si>
  <si>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</si>
  <si>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</si>
  <si>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</si>
  <si>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</si>
  <si>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</si>
  <si>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</si>
  <si>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</si>
  <si>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</si>
  <si>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</si>
  <si>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</si>
  <si>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</si>
  <si>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</si>
  <si>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</si>
  <si>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</si>
  <si>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</si>
  <si>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</si>
  <si>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</si>
  <si>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</si>
  <si>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</si>
  <si>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</si>
  <si>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</si>
  <si>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</si>
  <si>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</si>
  <si>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</si>
  <si>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</si>
  <si>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</si>
  <si>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</si>
  <si>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</si>
  <si>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</si>
  <si>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</si>
  <si>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</si>
  <si>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</si>
  <si>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</si>
  <si>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</si>
  <si>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</si>
  <si>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</si>
  <si>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</si>
  <si>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</si>
  <si>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</si>
  <si>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</si>
  <si>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</si>
  <si>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</si>
  <si>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</si>
  <si>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</si>
  <si>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</si>
  <si>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</si>
  <si>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</si>
  <si>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</si>
  <si>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</si>
  <si>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</si>
  <si>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</si>
  <si>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</si>
  <si>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</si>
  <si>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</si>
  <si>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</si>
  <si>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</si>
  <si>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</si>
  <si>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</si>
  <si>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</si>
  <si>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</si>
  <si>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</si>
  <si>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</si>
  <si>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</si>
  <si>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</si>
  <si>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</si>
  <si>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</si>
  <si>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</si>
  <si>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</si>
  <si>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</si>
  <si>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</si>
  <si>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</si>
  <si>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</si>
  <si>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</si>
  <si>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</si>
  <si>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</si>
  <si>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</si>
  <si>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</si>
  <si>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</si>
  <si>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</si>
  <si>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</si>
  <si>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</si>
  <si>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</si>
  <si>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</si>
  <si>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</si>
  <si>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</si>
  <si>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</si>
  <si>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</si>
  <si>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</si>
  <si>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</si>
  <si>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</si>
  <si>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</si>
  <si>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</si>
  <si>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</si>
  <si>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</si>
  <si>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</si>
  <si>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</si>
  <si>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</si>
  <si>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</si>
  <si>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</si>
  <si>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</si>
  <si>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</si>
  <si>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</si>
  <si>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</si>
  <si>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</si>
  <si>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</si>
  <si>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</si>
  <si>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</si>
  <si>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</si>
  <si>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</si>
  <si>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</si>
  <si>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</si>
  <si>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</si>
  <si>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</si>
  <si>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</si>
  <si>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</si>
  <si>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</si>
  <si>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</si>
  <si>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</si>
  <si>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</si>
  <si>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</si>
  <si>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</si>
  <si>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</si>
  <si>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</si>
  <si>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</si>
  <si>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</si>
  <si>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</si>
  <si>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</si>
  <si>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</si>
  <si>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</si>
  <si>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</si>
  <si>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</si>
  <si>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</si>
  <si>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</si>
  <si>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</si>
  <si>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</si>
  <si>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</si>
  <si>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</si>
  <si>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</si>
  <si>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</si>
  <si>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</si>
  <si>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</si>
  <si>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</si>
  <si>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</si>
  <si>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</si>
  <si>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</si>
  <si>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</si>
  <si>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</si>
  <si>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</si>
  <si>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</si>
  <si>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</si>
  <si>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</si>
  <si>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</si>
  <si>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</si>
  <si>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</si>
  <si>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</si>
  <si>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</si>
  <si>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</si>
  <si>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</si>
  <si>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</si>
  <si>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</si>
  <si>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</si>
  <si>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</si>
  <si>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</si>
  <si>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</si>
  <si>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</si>
  <si>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</si>
  <si>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</si>
  <si>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</si>
  <si>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</si>
  <si>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</si>
  <si>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</si>
  <si>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</si>
  <si>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</si>
  <si>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</si>
  <si>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</si>
  <si>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</si>
  <si>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</si>
  <si>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</si>
  <si>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</si>
  <si>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</si>
  <si>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</si>
  <si>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</si>
  <si>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</si>
  <si>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</si>
  <si>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</si>
  <si>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</si>
  <si>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</si>
  <si>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</si>
  <si>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</si>
  <si>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</si>
  <si>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</si>
  <si>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</si>
  <si>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</si>
  <si>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</si>
  <si>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</si>
  <si>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</si>
  <si>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</si>
  <si>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</si>
  <si>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</si>
  <si>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</si>
  <si>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</si>
  <si>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</si>
  <si>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</si>
  <si>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</si>
  <si>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</si>
  <si>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</si>
  <si>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</si>
  <si>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</si>
  <si>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</si>
  <si>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</si>
  <si>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</si>
  <si>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</si>
  <si>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</si>
  <si>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</si>
  <si>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</si>
  <si>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</si>
  <si>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</si>
  <si>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</si>
  <si>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</si>
  <si>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</si>
  <si>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</si>
  <si>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</si>
  <si>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</si>
  <si>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</si>
  <si>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</si>
  <si>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</si>
  <si>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</si>
  <si>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</si>
  <si>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</si>
  <si>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</si>
  <si>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</si>
  <si>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</si>
  <si>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</si>
  <si>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</si>
  <si>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</si>
  <si>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</si>
  <si>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</si>
  <si>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</si>
  <si>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</si>
  <si>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</si>
  <si>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</si>
  <si>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</si>
  <si>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</si>
  <si>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</si>
  <si>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</si>
  <si>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</si>
  <si>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</si>
  <si>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</si>
  <si>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</si>
  <si>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</si>
  <si>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</si>
  <si>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</si>
  <si>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</si>
  <si>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</si>
  <si>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</si>
  <si>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</si>
  <si>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</si>
  <si>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</si>
  <si>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</si>
  <si>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</si>
  <si>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</si>
  <si>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</si>
  <si>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</si>
  <si>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</si>
  <si>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</si>
  <si>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</si>
  <si>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</si>
  <si>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</si>
  <si>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</si>
  <si>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</si>
  <si>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</si>
  <si>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</si>
  <si>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</si>
  <si>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</si>
  <si>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</si>
  <si>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</si>
  <si>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</si>
  <si>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</si>
  <si>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</si>
  <si>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</si>
  <si>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</si>
  <si>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</si>
  <si>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</si>
  <si>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</si>
  <si>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</si>
  <si>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</si>
  <si>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</si>
  <si>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</si>
  <si>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</si>
  <si>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</si>
  <si>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</si>
  <si>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</si>
  <si>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</si>
  <si>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</si>
  <si>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</si>
  <si>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</si>
  <si>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</si>
  <si>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</si>
  <si>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</si>
  <si>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</si>
  <si>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</si>
  <si>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</si>
  <si>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</si>
  <si>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</si>
  <si>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</si>
  <si>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</si>
  <si>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</si>
  <si>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</si>
  <si>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</si>
  <si>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</si>
  <si>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</si>
  <si>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</si>
  <si>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</si>
  <si>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</si>
  <si>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</si>
  <si>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</si>
  <si>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</si>
  <si>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</si>
  <si>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</si>
  <si>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</si>
  <si>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</si>
  <si>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</si>
  <si>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</si>
  <si>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</si>
  <si>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</si>
  <si>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</si>
  <si>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</si>
  <si>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</si>
  <si>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</si>
  <si>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</si>
  <si>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</si>
  <si>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</si>
  <si>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</si>
  <si>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</si>
  <si>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</si>
  <si>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</si>
  <si>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</si>
  <si>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</si>
  <si>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</si>
  <si>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</si>
  <si>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</si>
  <si>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</si>
  <si>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</si>
  <si>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</si>
  <si>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</si>
  <si>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</si>
  <si>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</si>
  <si>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</si>
  <si>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</si>
  <si>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</si>
  <si>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</si>
  <si>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</si>
  <si>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</si>
  <si>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</si>
  <si>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</si>
  <si>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</si>
  <si>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</si>
  <si>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</si>
  <si>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</si>
  <si>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</si>
  <si>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</si>
  <si>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</si>
  <si>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</si>
  <si>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</si>
  <si>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</si>
  <si>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</si>
  <si>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</si>
  <si>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</si>
  <si>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</si>
  <si>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</si>
  <si>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</si>
  <si>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</si>
  <si>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</si>
  <si>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</si>
  <si>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</si>
  <si>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</si>
  <si>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</si>
  <si>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</si>
  <si>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</si>
  <si>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</si>
  <si>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</si>
  <si>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</si>
  <si>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</si>
  <si>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</si>
  <si>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</si>
  <si>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</si>
  <si>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</si>
  <si>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</si>
  <si>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</si>
  <si>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</si>
  <si>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</si>
  <si>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</si>
  <si>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</si>
  <si>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</si>
  <si>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</si>
  <si>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</si>
  <si>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</si>
  <si>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</si>
  <si>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</si>
  <si>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</si>
  <si>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</si>
  <si>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</si>
  <si>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</si>
  <si>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</si>
  <si>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</si>
  <si>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</si>
  <si>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</si>
  <si>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</si>
  <si>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</si>
  <si>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</si>
  <si>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</si>
  <si>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</si>
  <si>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</si>
  <si>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</si>
  <si>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</si>
  <si>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</si>
  <si>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</si>
  <si>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</si>
  <si>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</si>
  <si>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</si>
  <si>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</si>
  <si>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</si>
  <si>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</si>
  <si>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</si>
  <si>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</si>
  <si>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</si>
  <si>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</si>
  <si>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</si>
  <si>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</si>
  <si>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</si>
  <si>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</si>
  <si>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</si>
  <si>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</si>
  <si>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</si>
  <si>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</si>
  <si>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</si>
  <si>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</si>
  <si>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</si>
  <si>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</si>
  <si>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</si>
  <si>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</si>
  <si>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</si>
  <si>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</si>
  <si>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</si>
  <si>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</si>
  <si>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</si>
  <si>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</si>
  <si>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</si>
  <si>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</si>
  <si>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</si>
  <si>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</si>
  <si>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</si>
  <si>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</si>
  <si>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</si>
  <si>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</si>
  <si>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</si>
  <si>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</si>
  <si>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</si>
  <si>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</si>
  <si>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</si>
  <si>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</si>
  <si>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</si>
  <si>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</si>
  <si>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</si>
  <si>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</si>
  <si>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</si>
  <si>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</si>
  <si>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</si>
  <si>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</si>
  <si>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</si>
  <si>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</si>
  <si>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</si>
  <si>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</si>
  <si>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</si>
  <si>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</si>
  <si>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</si>
  <si>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</si>
  <si>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</si>
  <si>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</si>
  <si>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</si>
  <si>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</si>
  <si>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</si>
  <si>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</si>
  <si>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</si>
  <si>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</si>
  <si>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</si>
  <si>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</si>
  <si>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</si>
  <si>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</si>
  <si>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</si>
  <si>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</si>
  <si>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</si>
  <si>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</si>
  <si>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</si>
  <si>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</si>
  <si>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</si>
  <si>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</si>
  <si>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</si>
  <si>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</si>
  <si>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</si>
  <si>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</si>
  <si>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</si>
  <si>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</si>
  <si>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</si>
  <si>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</si>
  <si>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</si>
  <si>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</si>
  <si>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</si>
  <si>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</si>
  <si>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</si>
  <si>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</si>
  <si>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</si>
  <si>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</si>
  <si>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</si>
  <si>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</si>
  <si>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</si>
  <si>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</si>
  <si>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</si>
  <si>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</si>
  <si>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</si>
  <si>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</si>
  <si>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</si>
  <si>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</si>
  <si>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</si>
  <si>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</si>
  <si>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</si>
  <si>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</si>
  <si>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</si>
  <si>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</si>
  <si>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</si>
  <si>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</si>
  <si>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</si>
  <si>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</si>
  <si>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</si>
  <si>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</si>
  <si>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</si>
  <si>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</si>
  <si>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</si>
  <si>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</si>
  <si>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</si>
  <si>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</si>
  <si>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</si>
  <si>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</si>
  <si>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</si>
  <si>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</si>
  <si>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</si>
  <si>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</si>
  <si>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</si>
  <si>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</si>
  <si>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</si>
  <si>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</si>
  <si>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</si>
  <si>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</si>
  <si>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</si>
  <si>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</si>
  <si>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</si>
  <si>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</si>
  <si>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</si>
  <si>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</si>
  <si>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</si>
  <si>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</si>
  <si>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</si>
  <si>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</si>
  <si>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</si>
  <si>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</si>
  <si>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</si>
  <si>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</si>
  <si>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</si>
  <si>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</si>
  <si>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</si>
  <si>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</si>
  <si>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</si>
  <si>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</si>
  <si>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</si>
  <si>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</si>
  <si>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</si>
  <si>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</si>
  <si>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</si>
  <si>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</si>
  <si>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</si>
  <si>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</si>
  <si>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</si>
  <si>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</si>
  <si>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</si>
  <si>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</si>
  <si>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</si>
  <si>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</si>
  <si>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</si>
  <si>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</si>
  <si>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</si>
  <si>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</si>
  <si>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</si>
  <si>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</si>
  <si>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</si>
  <si>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</si>
  <si>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</si>
  <si>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</si>
  <si>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</si>
  <si>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</si>
  <si>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</si>
  <si>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</si>
  <si>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</si>
  <si>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</si>
  <si>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</si>
  <si>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</si>
  <si>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</si>
  <si>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</si>
  <si>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</si>
  <si>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</si>
  <si>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</si>
  <si>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</si>
  <si>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</si>
  <si>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</si>
  <si>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</si>
  <si>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</si>
  <si>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</si>
  <si>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</si>
  <si>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</si>
  <si>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</si>
  <si>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</si>
  <si>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</si>
  <si>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</si>
  <si>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</si>
  <si>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</si>
  <si>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</si>
  <si>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</si>
  <si>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</si>
  <si>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</si>
  <si>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</si>
  <si>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</si>
  <si>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</si>
  <si>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</si>
  <si>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</si>
  <si>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</si>
  <si>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</si>
  <si>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</si>
  <si>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</si>
  <si>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</si>
  <si>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</si>
  <si>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</si>
  <si>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</si>
  <si>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</si>
  <si>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</si>
  <si>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</si>
  <si>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</si>
  <si>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</si>
  <si>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</si>
  <si>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</si>
  <si>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</si>
  <si>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</si>
  <si>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</si>
  <si>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</si>
  <si>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</si>
  <si>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</si>
  <si>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</si>
  <si>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</si>
  <si>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</si>
  <si>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</si>
  <si>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</si>
  <si>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</si>
  <si>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</si>
  <si>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</si>
  <si>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</si>
  <si>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</si>
  <si>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</si>
  <si>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</si>
  <si>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</si>
  <si>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</si>
  <si>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</si>
  <si>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</si>
  <si>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</si>
  <si>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</si>
  <si>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</si>
  <si>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</si>
  <si>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</si>
  <si>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</si>
  <si>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</si>
  <si>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</si>
  <si>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</si>
  <si>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</si>
  <si>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</si>
  <si>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</si>
  <si>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</si>
  <si>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</si>
  <si>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</si>
  <si>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</si>
  <si>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</si>
  <si>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</si>
  <si>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</si>
  <si>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</si>
  <si>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</si>
  <si>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</si>
  <si>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</si>
  <si>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</si>
  <si>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</si>
  <si>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</si>
  <si>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</si>
  <si>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</si>
  <si>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</si>
  <si>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</si>
  <si>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</si>
  <si>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</si>
  <si>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</si>
  <si>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</si>
  <si>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</si>
  <si>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</si>
  <si>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</si>
  <si>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</si>
  <si>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</si>
  <si>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</si>
  <si>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</si>
  <si>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</si>
  <si>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</si>
  <si>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</si>
  <si>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</si>
  <si>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</si>
  <si>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</si>
  <si>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</si>
  <si>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</si>
  <si>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</si>
  <si>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</si>
  <si>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</si>
  <si>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</si>
  <si>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</si>
  <si>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</si>
  <si>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</si>
  <si>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</si>
  <si>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</si>
  <si>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</si>
  <si>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</si>
  <si>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</si>
  <si>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</si>
  <si>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</si>
  <si>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</si>
  <si>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</si>
  <si>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</si>
  <si>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</si>
  <si>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</si>
  <si>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</si>
  <si>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</si>
  <si>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</si>
  <si>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</si>
  <si>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</si>
  <si>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</si>
  <si>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</si>
  <si>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</si>
  <si>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</si>
  <si>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</si>
  <si>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</si>
  <si>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</si>
  <si>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</si>
  <si>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</si>
  <si>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</si>
  <si>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</si>
  <si>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</si>
  <si>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</si>
  <si>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</si>
  <si>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</si>
  <si>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</si>
  <si>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</si>
  <si>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</si>
  <si>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</si>
  <si>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</si>
  <si>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</si>
  <si>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</si>
  <si>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</si>
  <si>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</si>
  <si>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</si>
  <si>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</si>
  <si>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</si>
  <si>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</si>
  <si>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</si>
  <si>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</si>
  <si>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</si>
  <si>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</si>
  <si>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</si>
  <si>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</si>
  <si>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</si>
  <si>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</si>
  <si>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</si>
  <si>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</si>
  <si>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</si>
  <si>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</si>
  <si>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</si>
  <si>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</si>
  <si>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</si>
  <si>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</si>
  <si>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</si>
  <si>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</si>
  <si>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</si>
  <si>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</si>
  <si>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</si>
  <si>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</si>
  <si>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</si>
  <si>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</si>
  <si>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</si>
  <si>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</si>
  <si>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</si>
  <si>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</si>
  <si>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</si>
  <si>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</si>
  <si>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</si>
  <si>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</si>
  <si>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</si>
  <si>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</si>
  <si>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</si>
  <si>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</si>
  <si>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</si>
  <si>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</si>
  <si>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</si>
  <si>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</si>
  <si>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</si>
  <si>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</si>
  <si>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</si>
  <si>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</si>
  <si>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</si>
  <si>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</si>
  <si>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</si>
  <si>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</si>
  <si>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</si>
  <si>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</si>
  <si>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</si>
  <si>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</si>
  <si>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</si>
  <si>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</si>
  <si>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</si>
  <si>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</si>
  <si>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</si>
  <si>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</si>
  <si>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</si>
  <si>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</si>
  <si>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</si>
  <si>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</si>
  <si>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</si>
  <si>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</si>
  <si>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</si>
  <si>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</si>
  <si>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</si>
  <si>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</si>
  <si>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</si>
  <si>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</si>
  <si>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</si>
  <si>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</si>
  <si>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</si>
  <si>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</si>
  <si>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</si>
  <si>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</si>
  <si>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</si>
  <si>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</si>
  <si>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</si>
  <si>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</si>
  <si>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</si>
  <si>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</si>
  <si>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</si>
  <si>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</si>
  <si>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</si>
  <si>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</si>
  <si>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</si>
  <si>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</si>
  <si>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</si>
  <si>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</si>
  <si>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</si>
  <si>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</si>
  <si>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</si>
  <si>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</si>
  <si>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</si>
  <si>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</si>
  <si>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</si>
  <si>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</si>
  <si>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</si>
  <si>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</si>
  <si>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</si>
  <si>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</si>
  <si>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</si>
  <si>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</si>
  <si>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</si>
  <si>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</si>
  <si>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</si>
  <si>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</si>
  <si>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</si>
  <si>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</si>
  <si>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</si>
  <si>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</si>
  <si>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</si>
  <si>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</si>
  <si>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</si>
  <si>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</si>
  <si>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</si>
  <si>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</si>
  <si>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</si>
  <si>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</si>
  <si>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</si>
  <si>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</si>
  <si>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</si>
  <si>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</si>
  <si>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</si>
  <si>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</si>
  <si>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</si>
  <si>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</si>
  <si>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</si>
  <si>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</si>
  <si>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</si>
  <si>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</si>
  <si>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</si>
  <si>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</si>
  <si>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</si>
  <si>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</si>
  <si>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</si>
  <si>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</si>
  <si>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</si>
  <si>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</si>
  <si>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</si>
  <si>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</si>
  <si>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</si>
  <si>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</si>
  <si>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</si>
  <si>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</si>
  <si>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</si>
  <si>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</si>
  <si>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</si>
  <si>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</si>
  <si>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</si>
  <si>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</si>
  <si>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</si>
  <si>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</si>
  <si>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</si>
  <si>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</si>
  <si>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</si>
  <si>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</si>
  <si>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</si>
  <si>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</si>
  <si>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</si>
  <si>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</si>
  <si>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</si>
  <si>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</si>
  <si>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</si>
  <si>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</si>
  <si>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</si>
  <si>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</si>
  <si>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</si>
  <si>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</si>
  <si>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</si>
  <si>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</si>
  <si>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</si>
  <si>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</si>
  <si>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</si>
  <si>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</si>
  <si>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</si>
  <si>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</si>
  <si>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</si>
  <si>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</si>
  <si>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</si>
  <si>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</si>
  <si>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</si>
  <si>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</si>
  <si>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</si>
  <si>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</si>
  <si>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</si>
  <si>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</si>
  <si>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</si>
  <si>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</si>
  <si>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</si>
  <si>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</si>
  <si>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</si>
  <si>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</si>
  <si>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</si>
  <si>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</si>
  <si>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</si>
  <si>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</si>
  <si>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</si>
  <si>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</si>
  <si>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</si>
  <si>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</si>
  <si>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</si>
  <si>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</si>
  <si>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</si>
  <si>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</si>
  <si>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</si>
  <si>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</si>
  <si>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</si>
  <si>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</si>
  <si>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</si>
  <si>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</si>
  <si>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</si>
  <si>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</si>
  <si>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</si>
  <si>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</si>
  <si>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</si>
  <si>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</si>
  <si>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</si>
  <si>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</si>
  <si>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</si>
  <si>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</si>
  <si>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</si>
  <si>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</si>
  <si>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</si>
  <si>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</si>
  <si>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</si>
  <si>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</si>
  <si>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</si>
  <si>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</si>
  <si>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</si>
  <si>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</si>
  <si>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</si>
  <si>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</si>
  <si>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</si>
  <si>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</si>
  <si>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</si>
  <si>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</si>
  <si>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</si>
  <si>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</si>
  <si>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</si>
  <si>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</si>
  <si>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</si>
  <si>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</si>
  <si>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</si>
  <si>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</si>
  <si>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</si>
  <si>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</si>
  <si>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</si>
  <si>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</si>
  <si>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</si>
  <si>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</si>
  <si>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</si>
  <si>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</si>
  <si>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</si>
  <si>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</si>
  <si>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</si>
  <si>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</si>
  <si>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</si>
  <si>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</si>
  <si>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</si>
  <si>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</si>
  <si>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</si>
  <si>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</si>
  <si>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</si>
  <si>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</si>
  <si>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</si>
  <si>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</si>
  <si>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</si>
  <si>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</si>
  <si>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</si>
  <si>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</si>
  <si>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</si>
  <si>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</si>
  <si>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</si>
  <si>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</si>
  <si>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</si>
  <si>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</si>
  <si>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</si>
  <si>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</si>
  <si>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</si>
  <si>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</si>
  <si>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</si>
  <si>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</si>
  <si>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</si>
  <si>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</si>
  <si>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</si>
  <si>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</si>
  <si>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</si>
  <si>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</si>
  <si>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</si>
  <si>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</si>
  <si>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</si>
  <si>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</si>
  <si>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</si>
  <si>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</si>
  <si>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</si>
  <si>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</si>
  <si>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</si>
  <si>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</si>
  <si>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</si>
  <si>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</si>
  <si>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</si>
  <si>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</si>
  <si>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</si>
  <si>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</si>
  <si>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</si>
  <si>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</si>
  <si>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</si>
  <si>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</si>
  <si>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</si>
  <si>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</si>
  <si>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</si>
  <si>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</si>
  <si>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</si>
  <si>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</si>
  <si>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</si>
  <si>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</si>
  <si>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</si>
  <si>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</si>
  <si>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</si>
  <si>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</si>
  <si>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</si>
  <si>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</si>
  <si>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</si>
  <si>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</si>
  <si>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</si>
  <si>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</si>
  <si>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</si>
  <si>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</si>
  <si>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</si>
  <si>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</si>
  <si>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</si>
  <si>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</si>
  <si>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</si>
  <si>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</si>
  <si>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</si>
  <si>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</si>
  <si>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</si>
  <si>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</si>
  <si>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</si>
  <si>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</si>
  <si>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</si>
  <si>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</si>
  <si>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</si>
  <si>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</si>
  <si>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</si>
  <si>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</si>
  <si>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</si>
  <si>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</si>
  <si>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</si>
  <si>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</si>
  <si>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</si>
  <si>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</si>
  <si>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</si>
  <si>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</si>
  <si>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</si>
  <si>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</si>
  <si>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</si>
  <si>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</si>
  <si>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</si>
  <si>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</si>
  <si>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</si>
  <si>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</si>
  <si>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</si>
  <si>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</si>
  <si>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</si>
  <si>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</si>
  <si>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</si>
  <si>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</si>
  <si>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</si>
  <si>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</si>
  <si>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</si>
  <si>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</si>
  <si>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</si>
  <si>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</si>
  <si>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</si>
  <si>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</si>
  <si>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</si>
  <si>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</si>
  <si>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</si>
  <si>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</si>
  <si>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</si>
  <si>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</si>
  <si>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</si>
  <si>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</si>
  <si>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</si>
  <si>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</si>
  <si>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</si>
  <si>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</si>
  <si>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</si>
  <si>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</si>
  <si>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</si>
  <si>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</si>
  <si>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</si>
  <si>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</si>
  <si>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</si>
  <si>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</si>
  <si>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</si>
  <si>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</si>
  <si>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</si>
  <si>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</si>
  <si>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</si>
  <si>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</si>
  <si>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</si>
  <si>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</si>
  <si>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</si>
  <si>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</si>
  <si>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</si>
  <si>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</si>
  <si>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</si>
  <si>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</si>
  <si>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</si>
  <si>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</si>
  <si>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</si>
  <si>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</si>
  <si>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</si>
  <si>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</si>
  <si>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</si>
  <si>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</si>
  <si>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</si>
  <si>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</si>
  <si>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</si>
  <si>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</si>
  <si>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</si>
  <si>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</si>
  <si>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</si>
  <si>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</si>
  <si>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</si>
  <si>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</si>
  <si>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</si>
  <si>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</si>
  <si>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</si>
  <si>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</si>
  <si>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</si>
  <si>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</si>
  <si>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</si>
  <si>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</si>
  <si>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</si>
  <si>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</si>
  <si>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</si>
  <si>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</si>
  <si>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</si>
  <si>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</si>
  <si>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</si>
  <si>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</si>
  <si>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</si>
  <si>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</si>
  <si>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</si>
  <si>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</si>
  <si>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</si>
  <si>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</si>
  <si>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</si>
  <si>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</si>
  <si>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</si>
  <si>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</si>
  <si>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</si>
  <si>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</si>
  <si>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</si>
  <si>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</si>
  <si>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</si>
  <si>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</si>
  <si>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</si>
  <si>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</si>
  <si>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</si>
  <si>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</si>
  <si>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</si>
  <si>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</si>
  <si>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</si>
  <si>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</si>
  <si>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</si>
  <si>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</si>
  <si>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</si>
  <si>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</si>
  <si>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</si>
  <si>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</si>
  <si>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</si>
  <si>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</si>
  <si>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</si>
  <si>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</si>
  <si>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</si>
  <si>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</si>
  <si>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</si>
  <si>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</si>
  <si>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</si>
  <si>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</si>
  <si>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</si>
  <si>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</si>
  <si>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</si>
  <si>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</si>
  <si>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</si>
  <si>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</si>
  <si>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</si>
  <si>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</si>
  <si>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</si>
  <si>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</si>
  <si>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</si>
  <si>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</si>
  <si>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</si>
  <si>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</si>
  <si>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</si>
  <si>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</si>
  <si>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</si>
  <si>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</si>
  <si>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</si>
  <si>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</si>
  <si>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</si>
  <si>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</si>
  <si>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</si>
  <si>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</si>
  <si>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</si>
  <si>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</si>
  <si>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</si>
  <si>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</si>
  <si>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</si>
  <si>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</si>
  <si>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</si>
  <si>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</si>
  <si>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</si>
  <si>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</si>
  <si>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</si>
  <si>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</si>
  <si>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</si>
  <si>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</si>
  <si>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</si>
  <si>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</si>
  <si>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</si>
  <si>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</si>
  <si>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</si>
  <si>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</si>
  <si>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</si>
  <si>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</si>
  <si>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</si>
  <si>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</si>
  <si>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</si>
  <si>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</si>
  <si>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</si>
  <si>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</si>
  <si>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</si>
  <si>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</si>
  <si>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</si>
  <si>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</si>
  <si>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</si>
  <si>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</si>
  <si>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</si>
  <si>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</si>
  <si>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</si>
  <si>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</si>
  <si>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</si>
  <si>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</si>
  <si>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</si>
  <si>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</si>
  <si>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</si>
  <si>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</si>
  <si>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</si>
  <si>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</si>
  <si>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</si>
  <si>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</si>
  <si>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</si>
  <si>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</si>
  <si>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</si>
  <si>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</si>
  <si>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</si>
  <si>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</si>
  <si>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</si>
  <si>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</si>
  <si>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LV</t>
  </si>
  <si>
    <t>Latvijas Vides, ģeoloģijas un meteoroloģijas centrs</t>
  </si>
  <si>
    <t/>
  </si>
  <si>
    <t>Jeļena Lazdāne-Mihalko</t>
  </si>
  <si>
    <t>Vecākais speciālists</t>
  </si>
  <si>
    <t>Maskavas 165</t>
  </si>
  <si>
    <t>37167032015</t>
  </si>
  <si>
    <t>Jelena.Lazdane@lvgmc.lv</t>
  </si>
  <si>
    <t>Vides aizsardzības un reģionālās attīstības ministrija</t>
  </si>
  <si>
    <t>Vides pārraudzības valsts birojs</t>
  </si>
  <si>
    <t>Valsts vides dienests</t>
  </si>
  <si>
    <t>Valsts ieņēmumu dienests</t>
  </si>
  <si>
    <t>Civilās aviācijas aģentūra</t>
  </si>
  <si>
    <t>Latvijas Nacionālais akreditācijas birojs</t>
  </si>
  <si>
    <t>VARAM</t>
  </si>
  <si>
    <t>VPVB</t>
  </si>
  <si>
    <t>VVD</t>
  </si>
  <si>
    <t>VID</t>
  </si>
  <si>
    <t>CAA</t>
  </si>
  <si>
    <t>LVĢMC</t>
  </si>
  <si>
    <t>LATAK</t>
  </si>
  <si>
    <t>37167026533</t>
  </si>
  <si>
    <t>37167321173</t>
  </si>
  <si>
    <t>37167084200</t>
  </si>
  <si>
    <t>37167122689</t>
  </si>
  <si>
    <t>37167830936</t>
  </si>
  <si>
    <t>37167032600</t>
  </si>
  <si>
    <t>37167373051</t>
  </si>
  <si>
    <t>pasts@varam.gov.lv</t>
  </si>
  <si>
    <t>vpvb@vpvb.gov.lv</t>
  </si>
  <si>
    <t>vvd@vvd.gov.lv</t>
  </si>
  <si>
    <t>vid@vid.gov.lv</t>
  </si>
  <si>
    <t>caa@caa.gov.lv</t>
  </si>
  <si>
    <t>lvgmc@lvgmc.lv</t>
  </si>
  <si>
    <t>pasts@latak.gov.lv</t>
  </si>
  <si>
    <t>http://www.varam.gov.lv</t>
  </si>
  <si>
    <t>http://www.vpvb.gov.lv/lv</t>
  </si>
  <si>
    <t>http://www.vvd.gov.lv</t>
  </si>
  <si>
    <t>http://www.vid.gov.lv</t>
  </si>
  <si>
    <t>http://www.caa.lv</t>
  </si>
  <si>
    <t>http://www.meteo.lv</t>
  </si>
  <si>
    <t>http://www.latak.gov.lv</t>
  </si>
  <si>
    <t>https://www.meteo.lv</t>
  </si>
  <si>
    <t>The cooperation is mainly to solve particular issues, to agree on scope formulations, seminars regarding the new reporting periods, information exchange</t>
  </si>
  <si>
    <t>Nacionālā līmenī tika organizēti kopēji semināri, bet kā organizators bija VARAM.</t>
  </si>
  <si>
    <t>Also as a experts in national legislation and as observers</t>
  </si>
  <si>
    <t>SEG atļauja ir atsevišķs dokuments.</t>
  </si>
  <si>
    <t>Latvijas TA ir noteikts, ka operators nodrošina atļauju atbilstību. Iesniedzot iesniegumu SEG atļaujai, operators iesniedz arī iesniegumu RED atļaujai. Termiņi ir pielīdzināti. Abas atļaujas iesniedz viena KI, kura veica abu atļauju pārbaudi.</t>
  </si>
  <si>
    <t>RED atļaujas izsniedz tā pati kompetentā iestāde, kas izsniedz SEG atļaujas, apstiprina SEG atļauju monitoringa plānus un kas izvērtē ES ETS emisiju ziņojumu.</t>
  </si>
  <si>
    <t>RED un ES ETS darbības pārbauda tie paši kompetentās iestādes vides inspektori.</t>
  </si>
  <si>
    <t>Nosacījumi ir noteikti LV Ministru kabineta noteikumu Nr.769 "Noteikumi par stacionāto tehnoloģisko iekārtu dalību Eiropas Savienības emisijas kvotu tirdzniecības sistēmā" 46.punktā (http://likumi.lv/doc.php?id=253119)</t>
  </si>
  <si>
    <t>Likums „Par piesārņojumu” 24.1 pants piektā daļa (http://likumi.lv//doc.php?id=6075). atļaujas derīguma termiņš ir ETS periods.</t>
  </si>
  <si>
    <t>MK noteikumu Nr.769 31.punkts - iesniegumu SEG atļaujas grozījumiem, ja iekārtā ir paredzēts jaudas pieaugums, operators iesniedz KI vismaz 15 darbdienas pirms izmaiņām.</t>
  </si>
  <si>
    <t>MK noteikumu Nr.769 31.punkts - iesniegumu SEG atļaujas grozījumiem, ja iekārtā ir paredzēts jaudas samazinājums, operators iesniedz kompetentajai iestādei vismaz 15 darbdienas pirms izmaiņām.</t>
  </si>
  <si>
    <t xml:space="preserve">	MK noteikumu Nr.769 31.punkts un Regulas Nr. 2018/2066</t>
  </si>
  <si>
    <t>SEG atļauju groza arī, ja mainītie emisiju aprēķina faktori nodrošinās emisiju noteikšanu ar lielāku precizitāti.</t>
  </si>
  <si>
    <t>Stacionārās iekārtas - MK 13.12.2012. noteikumi Nr.769 „Noteikumi par stacionāro tehnoloģisko iekārtu dalību Eiropas Savienības emisijas kvotu tirdzniecības sistēmā”; gaisa kuģu operatori - MK 09.07.2013. noteikumi Nr.366 „Noteikumi par aviācijas darbību dalību Eiropas Savienības emisijas kvotu tirdzniecības sistēmā”.</t>
  </si>
  <si>
    <t>VARAM izstrādājusi procedūru „Stacionāro tehnoloģisko iekārtu dalības Eiropas Savienības emisijas kvotu tirdzniecības sistēmā nodrošināšanas kārtība”.</t>
  </si>
  <si>
    <t>Latvijas normatīvajos aktos ir noteikts, ka operators un gaisa kuģu operators izmanto Eiropas Komisijas izstrādātās veidlapas monitoringa plānam, tonnkilometru monitoringa plānam un gaisa kuģu operatora emisiju ziņojumam. Sākot ar 2014.gada atbilstības ciklu operators izmanto EK izstrādāto ikgadējā emisiju ziņojuma veidlapu. Operators izmanto standarta ar Latvijas tiesību aktiem apstiprinātās veidlapas iesniegumam SEG atļaujas saņemšanai un grozījumu veikšanai. Kompetentā iestāde izmanto ar Latvijas tiesību aktiem apstiprinātās SEG atļaujas veidlapas.</t>
  </si>
  <si>
    <t>ets-reporting.ec.europa.eu/ ; iesniegumu SEG atļaujas saņemšanai var iesniegt arī elektroniski, reģistrējoties Valsts vides dienesta vienotās vides informācijas sistēmā “TULPE”.</t>
  </si>
  <si>
    <t>0</t>
  </si>
  <si>
    <t>Tādas darbības emisijas reģistrā, kas tiek veiktas operatora vai gaisa kuģa operatora vietā, tai skaitā verificētā emisiju apjoma ievadīšana un nodošanas pārskaitījuma veikšana, visu veidu darījumu veikšana, darījumu apstiprināšana, uzticamo kontu saraksta pievienošana</t>
  </si>
  <si>
    <t>Operatora vai gaisa kuģa operatora konta pilnvarotā pārstāvja apstiprināšana, ja konta turētājs nav Latvijas pilsonis, nepilsonis vai persona, kas Latvijā saņēmusi uzturēšanās atļauju, pastāvīgās uzturēšanās apliecību vai normatīvajos aktos par kārtību, kādā Savienības pilsoņi un viņu ģimenes locekļi ieceļo un uzturas Latvijas Republikā, noteikto Savienības pilsoņa reģistrācijas apliecību, un attiecīgi nav reģistrēts Iedzīvotāju reģistrā sākot no 638 līdz 1914</t>
  </si>
  <si>
    <t>Operatora vai gaisa kuģa operatora konta apkalpošanas gada maksa tiek noteikta, ņemot vērā operatoram vai gaisa kuģa operatoram piešķirto emisijas kvotu vai aviācijas emisijas kvotu apjomu konkrētajā gadā. sākot no 95,70 līdz 957</t>
  </si>
  <si>
    <t>Latvijas tiesību sistēmā emisijas kvotas var uzskatīt par īpašumtiesību objektu. Emisijas kvota Latvijas tiesību sistēmā šobrīd nav uzskatāma par finanšu instrumentu.</t>
  </si>
  <si>
    <t xml:space="preserve">Grāmatvedības reglamentējošie normatīvie akti neparedz īpašus noteikumus attiecībā uz emisijas kvotu vai ar emisijas kvotām veikto darbību uzskaiti finanšu grāmatvedībā. Līdz ar to, veicot emisijas kvotu uzskaiti, jāievēro vispārējo grāmatvedības un gada pārskatu sagatavošanas reglamentējošo normatīvo aktu prasības. Ievērojot to, ka grāmatvedību reglamentējošajos normatīvajos aktos emisijas kvotu vai ar emisijas kvotām veikto darbību uzskaite nav aplūkota, uzņēmumi var izstrādāt savu grāmatvedības politiku emisijas kvotu un ar tām veikto darbību uzskaitei. Izvērtējot šādu darījumu ekonomisko būtību, ja Eiropas Savienības emisijas kvotu tirdzniecības sistēmā iesaistīts uzņēmums emisijas kvotas saņem bez maksas un likumā „Par piesārņojumu” noteiktā kārtībā tās nodod VSIA „Latvijas Vides, ģeoloģijas un meteoroloģijas centrs” vai arī tās tiek anulētas tādēļ, ka šīm bez maksas saņemtajām emisijas kvotām beidzies derīguma termiņš un tās nav nodotas atbilstoši likuma „Par piesārņojumu” nosacījumiem, tad šādas kvotas uzņēmums var uzskaitīt tikai natūrā. Savukārt, ja uzņēmums ar emisijas kvotām ir veicis tādas darbības, no kurām radušies aktīvi, saistības, ieņēmumi vai izdevumi, tad, pamatojoties uz attaisnojuma dokumentos norādīto konkrētā saimnieciskā darījuma novērtējumu naudā un tā ekonomisko saturu un būtību, šā uzņēmuma grāmatvedības reģistros jāizdara attiecīgus iegrāmatojumus naudas izteiksmē. </t>
  </si>
  <si>
    <t>Latvijas normatīvajos aktos (Ministru kabineta noteikumi) ir noteikts, ka operators, gaisa kuģu operators un sabiedrība var sniegt valsts administratoram informāciju / iesniegumu par aizdomīgiem darījumiem ar emisijas kvotām</t>
  </si>
  <si>
    <t>Latvijas Krimināllikumā ir noteiktas procedūras, kā tiek izmeklēti noziedzīgie nodarījumi.</t>
  </si>
  <si>
    <t>Valsts administrators pēc attiecīgās informācijas saņemšanas var sazināties ar attiecīgajām tiesībaizsardzības iestādēm vai kontroles dienestiem ar iesniegumu izmeklēt iesniegumā minētās aizdomas</t>
  </si>
  <si>
    <t>yes</t>
  </si>
  <si>
    <t>Latvijas Krimināllikumā ir noteikti soda naudas un cietumsodi atkarībā no noziedzīgā nodarījuma nopietnības pakāpes.</t>
  </si>
  <si>
    <t>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</si>
</sst>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4" fillId="0" borderId="0" xfId="1" applyFont="1" applyAlignment="1">
      <alignment horizontal="center"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30" fillId="0" borderId="0" xfId="0" applyFont="1" applyAlignment="1">
      <alignment horizontal="justify" wrapText="1"/>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27" fillId="0" borderId="0" xfId="0" applyFont="1" applyAlignment="1">
      <alignment horizontal="left" vertical="top" wrapText="1" indent="4"/>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8" fillId="0" borderId="0" xfId="90" applyFont="1" applyAlignment="1">
      <alignment horizontal="justify"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2" borderId="15" xfId="0" applyFont="1" applyFill="1" applyBorder="1" applyAlignment="1">
      <alignment horizontal="left" vertical="center" wrapText="1"/>
    </xf>
    <xf numFmtId="0" fontId="58" fillId="32" borderId="15" xfId="90" applyFont="1" applyFill="1" applyBorder="1" applyAlignment="1" applyProtection="1">
      <alignment horizontal="left" vertical="center"/>
    </xf>
    <xf numFmtId="0" fontId="50" fillId="31" borderId="0" xfId="1" applyFont="1" applyFill="1" applyAlignment="1">
      <alignment horizontal="left" vertical="center"/>
    </xf>
    <xf numFmtId="0" fontId="41" fillId="32"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37" fillId="32" borderId="12"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27" borderId="1" xfId="0" applyFont="1" applyFill="1" applyBorder="1" applyAlignment="1">
      <alignment horizontal="left" vertical="center"/>
    </xf>
    <xf numFmtId="0" fontId="44" fillId="0" borderId="0" xfId="0" applyFont="1" applyAlignment="1">
      <alignment horizontal="left" vertical="center" wrapText="1"/>
    </xf>
    <xf numFmtId="0" fontId="5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41" fillId="32" borderId="15" xfId="1" applyFont="1" applyFill="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2" borderId="0" xfId="0" applyFont="1" applyFill="1" applyAlignment="1">
      <alignment horizontal="left" vertical="center" wrapText="1"/>
    </xf>
    <xf numFmtId="0" fontId="37" fillId="0" borderId="23" xfId="0" applyFont="1" applyBorder="1" applyAlignment="1">
      <alignment horizontal="left" vertical="center" wrapText="1"/>
    </xf>
    <xf numFmtId="0" fontId="44" fillId="0" borderId="0" xfId="0" applyFont="1" applyAlignment="1">
      <alignment horizontal="left" vertical="top" wrapText="1"/>
    </xf>
    <xf numFmtId="0" fontId="57" fillId="0" borderId="0" xfId="0" applyFont="1" applyAlignment="1">
      <alignment horizontal="left" vertical="top" wrapText="1"/>
    </xf>
    <xf numFmtId="0" fontId="43" fillId="0" borderId="25" xfId="0" applyFont="1" applyBorder="1" applyAlignment="1">
      <alignment horizontal="left" vertical="center"/>
    </xf>
    <xf numFmtId="0" fontId="52" fillId="31" borderId="1" xfId="0" applyFont="1" applyFill="1" applyBorder="1" applyAlignment="1">
      <alignment horizontal="left" vertical="center"/>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0" borderId="15"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8" fillId="0" borderId="0" xfId="0" applyFont="1" applyAlignment="1">
      <alignment horizontal="justify" vertical="top" wrapText="1"/>
    </xf>
    <xf numFmtId="0" fontId="37" fillId="0" borderId="0" xfId="0" applyFont="1" applyAlignment="1">
      <alignment horizontal="justify" vertical="top" wrapText="1"/>
    </xf>
    <xf numFmtId="0" fontId="50" fillId="31" borderId="0" xfId="1" applyFont="1" applyFill="1" applyAlignment="1">
      <alignment horizontal="left"/>
    </xf>
    <xf numFmtId="0" fontId="50" fillId="31" borderId="17" xfId="1" applyFont="1" applyFill="1" applyBorder="1" applyAlignment="1">
      <alignment horizontal="left"/>
    </xf>
    <xf numFmtId="0" fontId="50" fillId="31" borderId="18" xfId="1" applyFont="1" applyFill="1" applyBorder="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52" fillId="31" borderId="15" xfId="0" applyFont="1" applyFill="1" applyBorder="1" applyAlignment="1">
      <alignment horizontal="left" vertical="top" wrapText="1"/>
    </xf>
    <xf numFmtId="0" fontId="36" fillId="31" borderId="2" xfId="0" applyFont="1" applyFill="1" applyBorder="1" applyAlignment="1">
      <alignment horizontal="left" vertical="top" wrapText="1"/>
    </xf>
    <xf numFmtId="0" fontId="36" fillId="31" borderId="12" xfId="0" applyFont="1" applyFill="1" applyBorder="1" applyAlignment="1">
      <alignment horizontal="left" vertical="top" wrapText="1"/>
    </xf>
    <xf numFmtId="0" fontId="52" fillId="31" borderId="15" xfId="0"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3" fontId="41" fillId="32" borderId="15"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0" fontId="41" fillId="0" borderId="25" xfId="0" applyFont="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2" xfId="0" applyFont="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38" fillId="2" borderId="0" xfId="0" applyFont="1" applyFill="1" applyAlignment="1">
      <alignment horizontal="justify" vertical="top" wrapText="1"/>
    </xf>
    <xf numFmtId="0" fontId="41" fillId="0" borderId="0" xfId="0" applyFont="1" applyAlignment="1">
      <alignment vertical="top"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7" fillId="0" borderId="23" xfId="0" applyFont="1" applyBorder="1" applyAlignment="1">
      <alignment horizontal="justify" vertical="top" wrapText="1"/>
    </xf>
    <xf numFmtId="3" fontId="41" fillId="32" borderId="1" xfId="0" applyNumberFormat="1" applyFont="1" applyFill="1" applyBorder="1" applyAlignment="1">
      <alignment horizontal="right" vertical="top"/>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32" borderId="2" xfId="0" applyFont="1" applyFill="1" applyBorder="1" applyAlignment="1">
      <alignment horizontal="left" vertical="center" wrapText="1"/>
    </xf>
    <xf numFmtId="0" fontId="41" fillId="32" borderId="1" xfId="0" applyFont="1" applyFill="1" applyBorder="1" applyAlignment="1">
      <alignment horizontal="justify" vertical="top"/>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52" fillId="31" borderId="1" xfId="0" applyFont="1" applyFill="1" applyBorder="1" applyAlignment="1">
      <alignment vertical="top"/>
    </xf>
    <xf numFmtId="0" fontId="44" fillId="0" borderId="0" xfId="0" applyFont="1" applyAlignment="1">
      <alignment horizontal="justify" vertical="top" wrapText="1"/>
    </xf>
    <xf numFmtId="0" fontId="57" fillId="0" borderId="0" xfId="0" applyFont="1" applyAlignment="1">
      <alignment horizontal="justify" vertical="top" wrapText="1"/>
    </xf>
    <xf numFmtId="0" fontId="37" fillId="0" borderId="0" xfId="0" applyFont="1" applyAlignment="1">
      <alignment vertical="top" wrapText="1"/>
    </xf>
    <xf numFmtId="3" fontId="41" fillId="32" borderId="12" xfId="0" applyNumberFormat="1" applyFont="1" applyFill="1" applyBorder="1" applyAlignment="1">
      <alignment horizontal="right" vertical="center" wrapText="1"/>
    </xf>
    <xf numFmtId="0" fontId="37" fillId="0" borderId="25" xfId="0" applyFont="1" applyBorder="1" applyAlignment="1">
      <alignment vertical="top" wrapText="1"/>
    </xf>
    <xf numFmtId="3" fontId="41" fillId="32" borderId="2" xfId="0" applyNumberFormat="1" applyFont="1" applyFill="1" applyBorder="1" applyAlignment="1">
      <alignment horizontal="right" vertical="center" wrapText="1"/>
    </xf>
    <xf numFmtId="0" fontId="41" fillId="32" borderId="12" xfId="1" applyFont="1" applyFill="1" applyBorder="1" applyAlignment="1">
      <alignment horizontal="left" vertical="center" wrapText="1"/>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0" fontId="37" fillId="32" borderId="2" xfId="0" applyFont="1" applyFill="1" applyBorder="1" applyAlignment="1">
      <alignment horizontal="left" vertical="center" wrapText="1"/>
    </xf>
    <xf numFmtId="0" fontId="36" fillId="31" borderId="2" xfId="0" applyFont="1" applyFill="1" applyBorder="1" applyAlignment="1">
      <alignment vertical="top" wrapText="1"/>
    </xf>
    <xf numFmtId="0" fontId="52" fillId="31" borderId="1" xfId="0" applyFont="1" applyFill="1" applyBorder="1" applyAlignment="1">
      <alignment horizontal="left" vertical="top" wrapText="1"/>
    </xf>
    <xf numFmtId="0" fontId="36" fillId="31" borderId="1" xfId="0" applyFont="1" applyFill="1" applyBorder="1" applyAlignment="1">
      <alignment horizontal="left" vertical="top" wrapText="1"/>
    </xf>
    <xf numFmtId="0" fontId="43" fillId="0" borderId="0" xfId="1" applyFont="1" applyAlignment="1">
      <alignment horizontal="left" wrapText="1"/>
    </xf>
    <xf numFmtId="0" fontId="37" fillId="0" borderId="0" xfId="0" applyFont="1" applyAlignment="1">
      <alignment horizontal="left"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4" fontId="41" fillId="32" borderId="1" xfId="91" applyNumberFormat="1" applyFont="1" applyFill="1" applyBorder="1" applyAlignment="1" applyProtection="1">
      <alignment horizontal="right" vertical="center"/>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4" fillId="0" borderId="0" xfId="0" applyFont="1" applyAlignment="1">
      <alignment horizontal="left" vertical="top"/>
    </xf>
    <xf numFmtId="0" fontId="50" fillId="31" borderId="29" xfId="1" applyFont="1" applyFill="1" applyBorder="1" applyAlignment="1">
      <alignment horizontal="left"/>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41" fillId="32" borderId="1" xfId="1" applyFont="1" applyFill="1" applyBorder="1" applyAlignment="1">
      <alignment horizontal="left" vertical="center"/>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43" fillId="2" borderId="0" xfId="1" applyFont="1" applyFill="1" applyAlignment="1">
      <alignment horizontal="left" wrapText="1"/>
    </xf>
    <xf numFmtId="0" fontId="62" fillId="0" borderId="0" xfId="0" applyFont="1" applyAlignment="1">
      <alignment horizontal="left" wrapText="1"/>
    </xf>
    <xf numFmtId="0" fontId="41" fillId="32" borderId="1" xfId="0" applyFont="1" applyFill="1" applyBorder="1" applyAlignment="1">
      <alignment horizontal="left" vertical="center" wrapText="1"/>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3" fontId="41" fillId="32" borderId="1" xfId="91" applyNumberFormat="1" applyFont="1" applyFill="1" applyBorder="1" applyAlignment="1" applyProtection="1">
      <alignment horizontal="right" vertical="center" wrapText="1"/>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4" fillId="0" borderId="0" xfId="0" quotePrefix="1" applyFont="1" applyAlignment="1">
      <alignment horizontal="left" vertical="top"/>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5" fillId="0" borderId="25" xfId="0" applyFont="1" applyBorder="1" applyAlignment="1">
      <alignment vertical="top"/>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1" applyFont="1" applyFill="1" applyBorder="1" applyAlignment="1">
      <alignment vertical="top"/>
    </xf>
    <xf numFmtId="3" fontId="37" fillId="32" borderId="12" xfId="0" applyNumberFormat="1" applyFont="1" applyFill="1" applyBorder="1" applyAlignment="1">
      <alignment horizontal="right" vertical="top" wrapText="1"/>
    </xf>
    <xf numFmtId="0" fontId="38" fillId="2" borderId="28" xfId="0" applyFont="1" applyFill="1" applyBorder="1" applyAlignment="1">
      <alignment horizontal="justify" vertical="top" wrapText="1"/>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3" fontId="41" fillId="32" borderId="2" xfId="0" applyNumberFormat="1" applyFont="1" applyFill="1" applyBorder="1" applyAlignment="1">
      <alignment horizontal="righ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55" fillId="0" borderId="0" xfId="0" quotePrefix="1" applyFont="1" applyAlignment="1">
      <alignment horizontal="left" vertical="top"/>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0" fontId="43" fillId="0" borderId="19" xfId="1" applyFont="1" applyBorder="1" applyAlignment="1">
      <alignment horizontal="left" vertical="top"/>
    </xf>
    <xf numFmtId="0" fontId="43" fillId="0" borderId="0" xfId="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32" borderId="15" xfId="0" applyFont="1" applyFill="1" applyBorder="1" applyAlignment="1">
      <alignment vertical="top" wrapText="1"/>
    </xf>
    <xf numFmtId="0" fontId="41" fillId="32" borderId="2" xfId="0" applyFont="1" applyFill="1" applyBorder="1" applyAlignment="1">
      <alignment vertical="top"/>
    </xf>
    <xf numFmtId="0" fontId="41" fillId="32" borderId="12" xfId="0" applyFont="1" applyFill="1" applyBorder="1" applyAlignment="1">
      <alignment vertical="top"/>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2" xfId="0" applyFont="1" applyFill="1" applyBorder="1" applyAlignment="1">
      <alignment horizontal="left" vertical="top" wrapText="1"/>
    </xf>
    <xf numFmtId="0" fontId="41" fillId="32" borderId="15" xfId="0" applyFont="1" applyFill="1" applyBorder="1" applyAlignment="1">
      <alignment vertical="top"/>
    </xf>
    <xf numFmtId="0" fontId="46" fillId="0" borderId="25" xfId="0" applyFont="1" applyBorder="1" applyAlignment="1">
      <alignment vertical="top"/>
    </xf>
    <xf numFmtId="0" fontId="46" fillId="0" borderId="25" xfId="0" applyFont="1" applyBorder="1" applyAlignment="1">
      <alignment vertical="center"/>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2" fillId="32" borderId="15" xfId="0" applyFont="1" applyFill="1" applyBorder="1" applyAlignment="1">
      <alignment horizontal="left" vertical="center"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36" fillId="31" borderId="14" xfId="0" applyFont="1" applyFill="1" applyBorder="1" applyAlignment="1">
      <alignment horizontal="left" vertical="top" wrapText="1"/>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41" fillId="32" borderId="15" xfId="0" applyFont="1" applyFill="1" applyBorder="1" applyAlignment="1">
      <alignment horizontal="center" vertical="top"/>
    </xf>
    <xf numFmtId="0" fontId="41" fillId="32" borderId="2" xfId="0" applyFont="1" applyFill="1" applyBorder="1" applyAlignment="1">
      <alignment horizontal="center" vertical="top"/>
    </xf>
    <xf numFmtId="0" fontId="41" fillId="32" borderId="12" xfId="0" applyFont="1" applyFill="1" applyBorder="1" applyAlignment="1">
      <alignment horizontal="center" vertical="top"/>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52" fillId="31" borderId="1" xfId="0" applyFont="1" applyFill="1" applyBorder="1" applyAlignment="1">
      <alignment horizontal="left" vertical="top"/>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358"/>
  <sheetViews>
    <sheetView topLeftCell="A342" workbookViewId="0">
      <selection activeCell="A358" sqref="A358"/>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"["&amp;$C3&amp;"]["&amp;$D3&amp;"]["&amp;$F3&amp;"]"</f>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"["&amp;$C4&amp;"]["&amp;$D4&amp;"]["&amp;$F4&amp;"]"</f>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"["&amp;$C5&amp;"]["&amp;$D5&amp;"]["&amp;$F5&amp;"]"</f>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"["&amp;$C6&amp;"]["&amp;$D6&amp;"]["&amp;$F6&amp;"]"</f>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"["&amp;$C7&amp;"]["&amp;$D7&amp;"]["&amp;$F7&amp;"]"</f>
        <v>[S01_InstitutionDetails][0][EMail]</v>
      </c>
    </row>
    <row r="8" spans="1:18" x14ac:dyDescent="0.3">
      <c r="A8" t="s">
        <v>2277</v>
      </c>
      <c r="B8" t="s">
        <v>1738</v>
      </c>
      <c r="C8" t="s">
        <v>1739</v>
      </c>
      <c r="D8">
        <v>0</v>
      </c>
      <c r="E8" t="s">
        <v>1447</v>
      </c>
      <c r="F8" t="s">
        <v>1747</v>
      </c>
      <c r="G8" t="s">
        <v>1748</v>
      </c>
      <c r="H8" t="s">
        <v>2279</v>
      </c>
      <c r="I8">
        <v>2021</v>
      </c>
      <c r="J8" t="s">
        <v>2279</v>
      </c>
      <c r="K8" t="s">
        <v>2279</v>
      </c>
      <c r="L8" t="s">
        <v>2279</v>
      </c>
      <c r="M8" t="s">
        <v>2279</v>
      </c>
      <c r="N8" t="s">
        <v>2279</v>
      </c>
      <c r="O8" s="190" t="str">
        <f>"["&amp;$C8&amp;"]["&amp;$D8&amp;"]["&amp;$F8&amp;"]"</f>
        <v>[S01_InstitutionDetails][0][ReportingYear]</v>
      </c>
    </row>
    <row r="9" spans="1:18" x14ac:dyDescent="0.3">
      <c r="A9" t="s">
        <v>2277</v>
      </c>
      <c r="B9" t="s">
        <v>1749</v>
      </c>
      <c r="C9" t="s">
        <v>1750</v>
      </c>
      <c r="D9">
        <v>1</v>
      </c>
      <c r="E9" t="s">
        <v>1447</v>
      </c>
      <c r="F9" t="s">
        <v>1751</v>
      </c>
      <c r="G9" t="s">
        <v>1741</v>
      </c>
      <c r="H9" t="s">
        <v>2285</v>
      </c>
      <c r="I9" t="s">
        <v>2279</v>
      </c>
      <c r="J9" t="s">
        <v>2279</v>
      </c>
      <c r="K9" t="s">
        <v>2279</v>
      </c>
      <c r="L9" t="s">
        <v>2279</v>
      </c>
      <c r="M9" t="s">
        <v>2279</v>
      </c>
      <c r="N9" t="s">
        <v>2279</v>
      </c>
      <c r="O9" s="190" t="str">
        <f>"["&amp;$C9&amp;"]["&amp;$D9&amp;"]["&amp;$F9&amp;"]"</f>
        <v>[S02_CompetentAuthority][1][CAName]</v>
      </c>
    </row>
    <row r="10" spans="1:18" x14ac:dyDescent="0.3">
      <c r="A10" t="s">
        <v>2277</v>
      </c>
      <c r="B10" t="s">
        <v>1749</v>
      </c>
      <c r="C10" t="s">
        <v>1750</v>
      </c>
      <c r="D10">
        <v>2</v>
      </c>
      <c r="E10" t="s">
        <v>1447</v>
      </c>
      <c r="F10" t="s">
        <v>1751</v>
      </c>
      <c r="G10" t="s">
        <v>1741</v>
      </c>
      <c r="H10" t="s">
        <v>2286</v>
      </c>
      <c r="I10" t="s">
        <v>2279</v>
      </c>
      <c r="J10" t="s">
        <v>2279</v>
      </c>
      <c r="K10" t="s">
        <v>2279</v>
      </c>
      <c r="L10" t="s">
        <v>2279</v>
      </c>
      <c r="M10" t="s">
        <v>2279</v>
      </c>
      <c r="N10" t="s">
        <v>2279</v>
      </c>
      <c r="O10" s="190" t="str">
        <f>"["&amp;$C10&amp;"]["&amp;$D10&amp;"]["&amp;$F10&amp;"]"</f>
        <v>[S02_CompetentAuthority][2][CAName]</v>
      </c>
    </row>
    <row r="11" spans="1:18" x14ac:dyDescent="0.3">
      <c r="A11" t="s">
        <v>2277</v>
      </c>
      <c r="B11" t="s">
        <v>1749</v>
      </c>
      <c r="C11" t="s">
        <v>1750</v>
      </c>
      <c r="D11">
        <v>3</v>
      </c>
      <c r="E11" t="s">
        <v>1447</v>
      </c>
      <c r="F11" t="s">
        <v>1751</v>
      </c>
      <c r="G11" t="s">
        <v>1741</v>
      </c>
      <c r="H11" t="s">
        <v>2287</v>
      </c>
      <c r="I11" t="s">
        <v>2279</v>
      </c>
      <c r="J11" t="s">
        <v>2279</v>
      </c>
      <c r="K11" t="s">
        <v>2279</v>
      </c>
      <c r="L11" t="s">
        <v>2279</v>
      </c>
      <c r="M11" t="s">
        <v>2279</v>
      </c>
      <c r="N11" t="s">
        <v>2279</v>
      </c>
      <c r="O11" s="190" t="str">
        <f>"["&amp;$C11&amp;"]["&amp;$D11&amp;"]["&amp;$F11&amp;"]"</f>
        <v>[S02_CompetentAuthority][3][CAName]</v>
      </c>
    </row>
    <row r="12" spans="1:18" x14ac:dyDescent="0.3">
      <c r="A12" t="s">
        <v>2277</v>
      </c>
      <c r="B12" t="s">
        <v>1749</v>
      </c>
      <c r="C12" t="s">
        <v>1750</v>
      </c>
      <c r="D12">
        <v>4</v>
      </c>
      <c r="E12" t="s">
        <v>1447</v>
      </c>
      <c r="F12" t="s">
        <v>1751</v>
      </c>
      <c r="G12" t="s">
        <v>1741</v>
      </c>
      <c r="H12" t="s">
        <v>2288</v>
      </c>
      <c r="I12" t="s">
        <v>2279</v>
      </c>
      <c r="J12" t="s">
        <v>2279</v>
      </c>
      <c r="K12" t="s">
        <v>2279</v>
      </c>
      <c r="L12" t="s">
        <v>2279</v>
      </c>
      <c r="M12" t="s">
        <v>2279</v>
      </c>
      <c r="N12" t="s">
        <v>2279</v>
      </c>
      <c r="O12" s="190" t="str">
        <f>"["&amp;$C12&amp;"]["&amp;$D12&amp;"]["&amp;$F12&amp;"]"</f>
        <v>[S02_CompetentAuthority][4][CAName]</v>
      </c>
    </row>
    <row r="13" spans="1:18" x14ac:dyDescent="0.3">
      <c r="A13" t="s">
        <v>2277</v>
      </c>
      <c r="B13" t="s">
        <v>1749</v>
      </c>
      <c r="C13" t="s">
        <v>1750</v>
      </c>
      <c r="D13">
        <v>5</v>
      </c>
      <c r="E13" t="s">
        <v>1447</v>
      </c>
      <c r="F13" t="s">
        <v>1751</v>
      </c>
      <c r="G13" t="s">
        <v>1741</v>
      </c>
      <c r="H13" t="s">
        <v>2289</v>
      </c>
      <c r="I13" t="s">
        <v>2279</v>
      </c>
      <c r="J13" t="s">
        <v>2279</v>
      </c>
      <c r="K13" t="s">
        <v>2279</v>
      </c>
      <c r="L13" t="s">
        <v>2279</v>
      </c>
      <c r="M13" t="s">
        <v>2279</v>
      </c>
      <c r="N13" t="s">
        <v>2279</v>
      </c>
      <c r="O13" s="190" t="str">
        <f>"["&amp;$C13&amp;"]["&amp;$D13&amp;"]["&amp;$F13&amp;"]"</f>
        <v>[S02_CompetentAuthority][5][CAName]</v>
      </c>
    </row>
    <row r="14" spans="1:18" x14ac:dyDescent="0.3">
      <c r="A14" t="s">
        <v>2277</v>
      </c>
      <c r="B14" t="s">
        <v>1749</v>
      </c>
      <c r="C14" t="s">
        <v>1750</v>
      </c>
      <c r="D14">
        <v>6</v>
      </c>
      <c r="E14" t="s">
        <v>1447</v>
      </c>
      <c r="F14" t="s">
        <v>1751</v>
      </c>
      <c r="G14" t="s">
        <v>1741</v>
      </c>
      <c r="H14" t="s">
        <v>2278</v>
      </c>
      <c r="I14" t="s">
        <v>2279</v>
      </c>
      <c r="J14" t="s">
        <v>2279</v>
      </c>
      <c r="K14" t="s">
        <v>2279</v>
      </c>
      <c r="L14" t="s">
        <v>2279</v>
      </c>
      <c r="M14" t="s">
        <v>2279</v>
      </c>
      <c r="N14" t="s">
        <v>2279</v>
      </c>
      <c r="O14" s="190" t="str">
        <f>"["&amp;$C14&amp;"]["&amp;$D14&amp;"]["&amp;$F14&amp;"]"</f>
        <v>[S02_CompetentAuthority][6][CAName]</v>
      </c>
    </row>
    <row r="15" spans="1:18" x14ac:dyDescent="0.3">
      <c r="A15" t="s">
        <v>2277</v>
      </c>
      <c r="B15" t="s">
        <v>1749</v>
      </c>
      <c r="C15" t="s">
        <v>1750</v>
      </c>
      <c r="D15">
        <v>7</v>
      </c>
      <c r="E15" t="s">
        <v>1447</v>
      </c>
      <c r="F15" t="s">
        <v>1751</v>
      </c>
      <c r="G15" t="s">
        <v>1741</v>
      </c>
      <c r="H15" t="s">
        <v>2290</v>
      </c>
      <c r="I15" t="s">
        <v>2279</v>
      </c>
      <c r="J15" t="s">
        <v>2279</v>
      </c>
      <c r="K15" t="s">
        <v>2279</v>
      </c>
      <c r="L15" t="s">
        <v>2279</v>
      </c>
      <c r="M15" t="s">
        <v>2279</v>
      </c>
      <c r="N15" t="s">
        <v>2279</v>
      </c>
      <c r="O15" s="190" t="str">
        <f>"["&amp;$C15&amp;"]["&amp;$D15&amp;"]["&amp;$F15&amp;"]"</f>
        <v>[S02_CompetentAuthority][7][CAName]</v>
      </c>
    </row>
    <row r="16" spans="1:18" x14ac:dyDescent="0.3">
      <c r="A16" t="s">
        <v>2277</v>
      </c>
      <c r="B16" t="s">
        <v>1749</v>
      </c>
      <c r="C16" t="s">
        <v>1750</v>
      </c>
      <c r="D16">
        <v>1</v>
      </c>
      <c r="E16" t="s">
        <v>1447</v>
      </c>
      <c r="F16" t="s">
        <v>1752</v>
      </c>
      <c r="G16" t="s">
        <v>1741</v>
      </c>
      <c r="H16" t="s">
        <v>2291</v>
      </c>
      <c r="I16" t="s">
        <v>2279</v>
      </c>
      <c r="J16" t="s">
        <v>2279</v>
      </c>
      <c r="K16" t="s">
        <v>2279</v>
      </c>
      <c r="L16" t="s">
        <v>2279</v>
      </c>
      <c r="M16" t="s">
        <v>2279</v>
      </c>
      <c r="N16" t="s">
        <v>2279</v>
      </c>
      <c r="O16" s="190" t="str">
        <f>"["&amp;$C16&amp;"]["&amp;$D16&amp;"]["&amp;$F16&amp;"]"</f>
        <v>[S02_CompetentAuthority][1][CAAbbreviation]</v>
      </c>
    </row>
    <row r="17" spans="1:15" x14ac:dyDescent="0.3">
      <c r="A17" t="s">
        <v>2277</v>
      </c>
      <c r="B17" t="s">
        <v>1749</v>
      </c>
      <c r="C17" t="s">
        <v>1750</v>
      </c>
      <c r="D17">
        <v>2</v>
      </c>
      <c r="E17" t="s">
        <v>1447</v>
      </c>
      <c r="F17" t="s">
        <v>1752</v>
      </c>
      <c r="G17" t="s">
        <v>1741</v>
      </c>
      <c r="H17" t="s">
        <v>2292</v>
      </c>
      <c r="I17" t="s">
        <v>2279</v>
      </c>
      <c r="J17" t="s">
        <v>2279</v>
      </c>
      <c r="K17" t="s">
        <v>2279</v>
      </c>
      <c r="L17" t="s">
        <v>2279</v>
      </c>
      <c r="M17" t="s">
        <v>2279</v>
      </c>
      <c r="N17" t="s">
        <v>2279</v>
      </c>
      <c r="O17" s="190" t="str">
        <f>"["&amp;$C17&amp;"]["&amp;$D17&amp;"]["&amp;$F17&amp;"]"</f>
        <v>[S02_CompetentAuthority][2][CAAbbreviation]</v>
      </c>
    </row>
    <row r="18" spans="1:15" x14ac:dyDescent="0.3">
      <c r="A18" t="s">
        <v>2277</v>
      </c>
      <c r="B18" t="s">
        <v>1749</v>
      </c>
      <c r="C18" t="s">
        <v>1750</v>
      </c>
      <c r="D18">
        <v>3</v>
      </c>
      <c r="E18" t="s">
        <v>1447</v>
      </c>
      <c r="F18" t="s">
        <v>1752</v>
      </c>
      <c r="G18" t="s">
        <v>1741</v>
      </c>
      <c r="H18" t="s">
        <v>2293</v>
      </c>
      <c r="I18" t="s">
        <v>2279</v>
      </c>
      <c r="J18" t="s">
        <v>2279</v>
      </c>
      <c r="K18" t="s">
        <v>2279</v>
      </c>
      <c r="L18" t="s">
        <v>2279</v>
      </c>
      <c r="M18" t="s">
        <v>2279</v>
      </c>
      <c r="N18" t="s">
        <v>2279</v>
      </c>
      <c r="O18" s="190" t="str">
        <f>"["&amp;$C18&amp;"]["&amp;$D18&amp;"]["&amp;$F18&amp;"]"</f>
        <v>[S02_CompetentAuthority][3][CAAbbreviation]</v>
      </c>
    </row>
    <row r="19" spans="1:15" x14ac:dyDescent="0.3">
      <c r="A19" t="s">
        <v>2277</v>
      </c>
      <c r="B19" t="s">
        <v>1749</v>
      </c>
      <c r="C19" t="s">
        <v>1750</v>
      </c>
      <c r="D19">
        <v>4</v>
      </c>
      <c r="E19" t="s">
        <v>1447</v>
      </c>
      <c r="F19" t="s">
        <v>1752</v>
      </c>
      <c r="G19" t="s">
        <v>1741</v>
      </c>
      <c r="H19" t="s">
        <v>2294</v>
      </c>
      <c r="I19" t="s">
        <v>2279</v>
      </c>
      <c r="J19" t="s">
        <v>2279</v>
      </c>
      <c r="K19" t="s">
        <v>2279</v>
      </c>
      <c r="L19" t="s">
        <v>2279</v>
      </c>
      <c r="M19" t="s">
        <v>2279</v>
      </c>
      <c r="N19" t="s">
        <v>2279</v>
      </c>
      <c r="O19" s="190" t="str">
        <f>"["&amp;$C19&amp;"]["&amp;$D19&amp;"]["&amp;$F19&amp;"]"</f>
        <v>[S02_CompetentAuthority][4][CAAbbreviation]</v>
      </c>
    </row>
    <row r="20" spans="1:15" x14ac:dyDescent="0.3">
      <c r="A20" t="s">
        <v>2277</v>
      </c>
      <c r="B20" t="s">
        <v>1749</v>
      </c>
      <c r="C20" t="s">
        <v>1750</v>
      </c>
      <c r="D20">
        <v>5</v>
      </c>
      <c r="E20" t="s">
        <v>1447</v>
      </c>
      <c r="F20" t="s">
        <v>1752</v>
      </c>
      <c r="G20" t="s">
        <v>1741</v>
      </c>
      <c r="H20" t="s">
        <v>2295</v>
      </c>
      <c r="I20" t="s">
        <v>2279</v>
      </c>
      <c r="J20" t="s">
        <v>2279</v>
      </c>
      <c r="K20" t="s">
        <v>2279</v>
      </c>
      <c r="L20" t="s">
        <v>2279</v>
      </c>
      <c r="M20" t="s">
        <v>2279</v>
      </c>
      <c r="N20" t="s">
        <v>2279</v>
      </c>
      <c r="O20" s="190" t="str">
        <f>"["&amp;$C20&amp;"]["&amp;$D20&amp;"]["&amp;$F20&amp;"]"</f>
        <v>[S02_CompetentAuthority][5][CAAbbreviation]</v>
      </c>
    </row>
    <row r="21" spans="1:15" x14ac:dyDescent="0.3">
      <c r="A21" t="s">
        <v>2277</v>
      </c>
      <c r="B21" t="s">
        <v>1749</v>
      </c>
      <c r="C21" t="s">
        <v>1750</v>
      </c>
      <c r="D21">
        <v>6</v>
      </c>
      <c r="E21" t="s">
        <v>1447</v>
      </c>
      <c r="F21" t="s">
        <v>1752</v>
      </c>
      <c r="G21" t="s">
        <v>1741</v>
      </c>
      <c r="H21" t="s">
        <v>2296</v>
      </c>
      <c r="I21" t="s">
        <v>2279</v>
      </c>
      <c r="J21" t="s">
        <v>2279</v>
      </c>
      <c r="K21" t="s">
        <v>2279</v>
      </c>
      <c r="L21" t="s">
        <v>2279</v>
      </c>
      <c r="M21" t="s">
        <v>2279</v>
      </c>
      <c r="N21" t="s">
        <v>2279</v>
      </c>
      <c r="O21" s="190" t="str">
        <f>"["&amp;$C21&amp;"]["&amp;$D21&amp;"]["&amp;$F21&amp;"]"</f>
        <v>[S02_CompetentAuthority][6][CAAbbreviation]</v>
      </c>
    </row>
    <row r="22" spans="1:15" x14ac:dyDescent="0.3">
      <c r="A22" t="s">
        <v>2277</v>
      </c>
      <c r="B22" t="s">
        <v>1749</v>
      </c>
      <c r="C22" t="s">
        <v>1750</v>
      </c>
      <c r="D22">
        <v>7</v>
      </c>
      <c r="E22" t="s">
        <v>1447</v>
      </c>
      <c r="F22" t="s">
        <v>1752</v>
      </c>
      <c r="G22" t="s">
        <v>1741</v>
      </c>
      <c r="H22" t="s">
        <v>2297</v>
      </c>
      <c r="I22" t="s">
        <v>2279</v>
      </c>
      <c r="J22" t="s">
        <v>2279</v>
      </c>
      <c r="K22" t="s">
        <v>2279</v>
      </c>
      <c r="L22" t="s">
        <v>2279</v>
      </c>
      <c r="M22" t="s">
        <v>2279</v>
      </c>
      <c r="N22" t="s">
        <v>2279</v>
      </c>
      <c r="O22" s="190" t="str">
        <f>"["&amp;$C22&amp;"]["&amp;$D22&amp;"]["&amp;$F22&amp;"]"</f>
        <v>[S02_CompetentAuthority][7][CAAbbreviation]</v>
      </c>
    </row>
    <row r="23" spans="1:15" x14ac:dyDescent="0.3">
      <c r="A23" t="s">
        <v>2277</v>
      </c>
      <c r="B23" t="s">
        <v>1749</v>
      </c>
      <c r="C23" t="s">
        <v>1750</v>
      </c>
      <c r="D23">
        <v>1</v>
      </c>
      <c r="E23" t="s">
        <v>1447</v>
      </c>
      <c r="F23" t="s">
        <v>1753</v>
      </c>
      <c r="G23" t="s">
        <v>1741</v>
      </c>
      <c r="H23" t="s">
        <v>1422</v>
      </c>
      <c r="I23" t="s">
        <v>2279</v>
      </c>
      <c r="J23" t="s">
        <v>2279</v>
      </c>
      <c r="K23" t="s">
        <v>2279</v>
      </c>
      <c r="L23" t="s">
        <v>2279</v>
      </c>
      <c r="M23" t="s">
        <v>2279</v>
      </c>
      <c r="N23" t="s">
        <v>2279</v>
      </c>
      <c r="O23" s="190" t="str">
        <f>"["&amp;$C23&amp;"]["&amp;$D23&amp;"]["&amp;$F23&amp;"]"</f>
        <v>[S02_CompetentAuthority][1][CAType]</v>
      </c>
    </row>
    <row r="24" spans="1:15" x14ac:dyDescent="0.3">
      <c r="A24" t="s">
        <v>2277</v>
      </c>
      <c r="B24" t="s">
        <v>1749</v>
      </c>
      <c r="C24" t="s">
        <v>1750</v>
      </c>
      <c r="D24">
        <v>2</v>
      </c>
      <c r="E24" t="s">
        <v>1447</v>
      </c>
      <c r="F24" t="s">
        <v>1753</v>
      </c>
      <c r="G24" t="s">
        <v>1741</v>
      </c>
      <c r="H24" t="s">
        <v>1422</v>
      </c>
      <c r="I24" t="s">
        <v>2279</v>
      </c>
      <c r="J24" t="s">
        <v>2279</v>
      </c>
      <c r="K24" t="s">
        <v>2279</v>
      </c>
      <c r="L24" t="s">
        <v>2279</v>
      </c>
      <c r="M24" t="s">
        <v>2279</v>
      </c>
      <c r="N24" t="s">
        <v>2279</v>
      </c>
      <c r="O24" s="190" t="str">
        <f>"["&amp;$C24&amp;"]["&amp;$D24&amp;"]["&amp;$F24&amp;"]"</f>
        <v>[S02_CompetentAuthority][2][CAType]</v>
      </c>
    </row>
    <row r="25" spans="1:15" x14ac:dyDescent="0.3">
      <c r="A25" t="s">
        <v>2277</v>
      </c>
      <c r="B25" t="s">
        <v>1749</v>
      </c>
      <c r="C25" t="s">
        <v>1750</v>
      </c>
      <c r="D25">
        <v>3</v>
      </c>
      <c r="E25" t="s">
        <v>1447</v>
      </c>
      <c r="F25" t="s">
        <v>1753</v>
      </c>
      <c r="G25" t="s">
        <v>1741</v>
      </c>
      <c r="H25" t="s">
        <v>1422</v>
      </c>
      <c r="I25" t="s">
        <v>2279</v>
      </c>
      <c r="J25" t="s">
        <v>2279</v>
      </c>
      <c r="K25" t="s">
        <v>2279</v>
      </c>
      <c r="L25" t="s">
        <v>2279</v>
      </c>
      <c r="M25" t="s">
        <v>2279</v>
      </c>
      <c r="N25" t="s">
        <v>2279</v>
      </c>
      <c r="O25" s="190" t="str">
        <f>"["&amp;$C25&amp;"]["&amp;$D25&amp;"]["&amp;$F25&amp;"]"</f>
        <v>[S02_CompetentAuthority][3][CAType]</v>
      </c>
    </row>
    <row r="26" spans="1:15" x14ac:dyDescent="0.3">
      <c r="A26" t="s">
        <v>2277</v>
      </c>
      <c r="B26" t="s">
        <v>1749</v>
      </c>
      <c r="C26" t="s">
        <v>1750</v>
      </c>
      <c r="D26">
        <v>4</v>
      </c>
      <c r="E26" t="s">
        <v>1447</v>
      </c>
      <c r="F26" t="s">
        <v>1753</v>
      </c>
      <c r="G26" t="s">
        <v>1741</v>
      </c>
      <c r="H26" t="s">
        <v>1422</v>
      </c>
      <c r="I26" t="s">
        <v>2279</v>
      </c>
      <c r="J26" t="s">
        <v>2279</v>
      </c>
      <c r="K26" t="s">
        <v>2279</v>
      </c>
      <c r="L26" t="s">
        <v>2279</v>
      </c>
      <c r="M26" t="s">
        <v>2279</v>
      </c>
      <c r="N26" t="s">
        <v>2279</v>
      </c>
      <c r="O26" s="190" t="str">
        <f>"["&amp;$C26&amp;"]["&amp;$D26&amp;"]["&amp;$F26&amp;"]"</f>
        <v>[S02_CompetentAuthority][4][CAType]</v>
      </c>
    </row>
    <row r="27" spans="1:15" x14ac:dyDescent="0.3">
      <c r="A27" t="s">
        <v>2277</v>
      </c>
      <c r="B27" t="s">
        <v>1749</v>
      </c>
      <c r="C27" t="s">
        <v>1750</v>
      </c>
      <c r="D27">
        <v>5</v>
      </c>
      <c r="E27" t="s">
        <v>1447</v>
      </c>
      <c r="F27" t="s">
        <v>1753</v>
      </c>
      <c r="G27" t="s">
        <v>1741</v>
      </c>
      <c r="H27" t="s">
        <v>1422</v>
      </c>
      <c r="I27" t="s">
        <v>2279</v>
      </c>
      <c r="J27" t="s">
        <v>2279</v>
      </c>
      <c r="K27" t="s">
        <v>2279</v>
      </c>
      <c r="L27" t="s">
        <v>2279</v>
      </c>
      <c r="M27" t="s">
        <v>2279</v>
      </c>
      <c r="N27" t="s">
        <v>2279</v>
      </c>
      <c r="O27" s="190" t="str">
        <f>"["&amp;$C27&amp;"]["&amp;$D27&amp;"]["&amp;$F27&amp;"]"</f>
        <v>[S02_CompetentAuthority][5][CAType]</v>
      </c>
    </row>
    <row r="28" spans="1:15" x14ac:dyDescent="0.3">
      <c r="A28" t="s">
        <v>2277</v>
      </c>
      <c r="B28" t="s">
        <v>1749</v>
      </c>
      <c r="C28" t="s">
        <v>1750</v>
      </c>
      <c r="D28">
        <v>6</v>
      </c>
      <c r="E28" t="s">
        <v>1447</v>
      </c>
      <c r="F28" t="s">
        <v>1753</v>
      </c>
      <c r="G28" t="s">
        <v>1741</v>
      </c>
      <c r="H28" t="s">
        <v>1422</v>
      </c>
      <c r="I28" t="s">
        <v>2279</v>
      </c>
      <c r="J28" t="s">
        <v>2279</v>
      </c>
      <c r="K28" t="s">
        <v>2279</v>
      </c>
      <c r="L28" t="s">
        <v>2279</v>
      </c>
      <c r="M28" t="s">
        <v>2279</v>
      </c>
      <c r="N28" t="s">
        <v>2279</v>
      </c>
      <c r="O28" s="190" t="str">
        <f>"["&amp;$C28&amp;"]["&amp;$D28&amp;"]["&amp;$F28&amp;"]"</f>
        <v>[S02_CompetentAuthority][6][CAType]</v>
      </c>
    </row>
    <row r="29" spans="1:15" x14ac:dyDescent="0.3">
      <c r="A29" t="s">
        <v>2277</v>
      </c>
      <c r="B29" t="s">
        <v>1749</v>
      </c>
      <c r="C29" t="s">
        <v>1750</v>
      </c>
      <c r="D29">
        <v>7</v>
      </c>
      <c r="E29" t="s">
        <v>1447</v>
      </c>
      <c r="F29" t="s">
        <v>1753</v>
      </c>
      <c r="G29" t="s">
        <v>1741</v>
      </c>
      <c r="H29" t="s">
        <v>1422</v>
      </c>
      <c r="I29" t="s">
        <v>2279</v>
      </c>
      <c r="J29" t="s">
        <v>2279</v>
      </c>
      <c r="K29" t="s">
        <v>2279</v>
      </c>
      <c r="L29" t="s">
        <v>2279</v>
      </c>
      <c r="M29" t="s">
        <v>2279</v>
      </c>
      <c r="N29" t="s">
        <v>2279</v>
      </c>
      <c r="O29" s="190" t="str">
        <f>"["&amp;$C29&amp;"]["&amp;$D29&amp;"]["&amp;$F29&amp;"]"</f>
        <v>[S02_CompetentAuthority][7][CAType]</v>
      </c>
    </row>
    <row r="30" spans="1:15" x14ac:dyDescent="0.3">
      <c r="A30" t="s">
        <v>2277</v>
      </c>
      <c r="B30" t="s">
        <v>1749</v>
      </c>
      <c r="C30" t="s">
        <v>1750</v>
      </c>
      <c r="D30">
        <v>1</v>
      </c>
      <c r="E30" t="s">
        <v>1447</v>
      </c>
      <c r="F30" t="s">
        <v>1755</v>
      </c>
      <c r="G30" t="s">
        <v>1741</v>
      </c>
      <c r="H30" t="s">
        <v>2298</v>
      </c>
      <c r="I30" t="s">
        <v>2279</v>
      </c>
      <c r="J30" t="s">
        <v>2279</v>
      </c>
      <c r="K30" t="s">
        <v>2279</v>
      </c>
      <c r="L30" t="s">
        <v>2279</v>
      </c>
      <c r="M30" t="s">
        <v>2279</v>
      </c>
      <c r="N30" t="s">
        <v>2279</v>
      </c>
      <c r="O30" s="190" t="str">
        <f>"["&amp;$C30&amp;"]["&amp;$D30&amp;"]["&amp;$F30&amp;"]"</f>
        <v>[S02_CompetentAuthority][1][CATelephone]</v>
      </c>
    </row>
    <row r="31" spans="1:15" x14ac:dyDescent="0.3">
      <c r="A31" t="s">
        <v>2277</v>
      </c>
      <c r="B31" t="s">
        <v>1749</v>
      </c>
      <c r="C31" t="s">
        <v>1750</v>
      </c>
      <c r="D31">
        <v>2</v>
      </c>
      <c r="E31" t="s">
        <v>1447</v>
      </c>
      <c r="F31" t="s">
        <v>1755</v>
      </c>
      <c r="G31" t="s">
        <v>1741</v>
      </c>
      <c r="H31" t="s">
        <v>2299</v>
      </c>
      <c r="I31" t="s">
        <v>2279</v>
      </c>
      <c r="J31" t="s">
        <v>2279</v>
      </c>
      <c r="K31" t="s">
        <v>2279</v>
      </c>
      <c r="L31" t="s">
        <v>2279</v>
      </c>
      <c r="M31" t="s">
        <v>2279</v>
      </c>
      <c r="N31" t="s">
        <v>2279</v>
      </c>
      <c r="O31" s="190" t="str">
        <f>"["&amp;$C31&amp;"]["&amp;$D31&amp;"]["&amp;$F31&amp;"]"</f>
        <v>[S02_CompetentAuthority][2][CATelephone]</v>
      </c>
    </row>
    <row r="32" spans="1:15" x14ac:dyDescent="0.3">
      <c r="A32" t="s">
        <v>2277</v>
      </c>
      <c r="B32" t="s">
        <v>1749</v>
      </c>
      <c r="C32" t="s">
        <v>1750</v>
      </c>
      <c r="D32">
        <v>3</v>
      </c>
      <c r="E32" t="s">
        <v>1447</v>
      </c>
      <c r="F32" t="s">
        <v>1755</v>
      </c>
      <c r="G32" t="s">
        <v>1741</v>
      </c>
      <c r="H32" t="s">
        <v>2300</v>
      </c>
      <c r="I32" t="s">
        <v>2279</v>
      </c>
      <c r="J32" t="s">
        <v>2279</v>
      </c>
      <c r="K32" t="s">
        <v>2279</v>
      </c>
      <c r="L32" t="s">
        <v>2279</v>
      </c>
      <c r="M32" t="s">
        <v>2279</v>
      </c>
      <c r="N32" t="s">
        <v>2279</v>
      </c>
      <c r="O32" s="190" t="str">
        <f>"["&amp;$C32&amp;"]["&amp;$D32&amp;"]["&amp;$F32&amp;"]"</f>
        <v>[S02_CompetentAuthority][3][CATelephone]</v>
      </c>
    </row>
    <row r="33" spans="1:15" x14ac:dyDescent="0.3">
      <c r="A33" t="s">
        <v>2277</v>
      </c>
      <c r="B33" t="s">
        <v>1749</v>
      </c>
      <c r="C33" t="s">
        <v>1750</v>
      </c>
      <c r="D33">
        <v>4</v>
      </c>
      <c r="E33" t="s">
        <v>1447</v>
      </c>
      <c r="F33" t="s">
        <v>1755</v>
      </c>
      <c r="G33" t="s">
        <v>1741</v>
      </c>
      <c r="H33" t="s">
        <v>2301</v>
      </c>
      <c r="I33" t="s">
        <v>2279</v>
      </c>
      <c r="J33" t="s">
        <v>2279</v>
      </c>
      <c r="K33" t="s">
        <v>2279</v>
      </c>
      <c r="L33" t="s">
        <v>2279</v>
      </c>
      <c r="M33" t="s">
        <v>2279</v>
      </c>
      <c r="N33" t="s">
        <v>2279</v>
      </c>
      <c r="O33" s="190" t="str">
        <f>"["&amp;$C33&amp;"]["&amp;$D33&amp;"]["&amp;$F33&amp;"]"</f>
        <v>[S02_CompetentAuthority][4][CATelephone]</v>
      </c>
    </row>
    <row r="34" spans="1:15" x14ac:dyDescent="0.3">
      <c r="A34" t="s">
        <v>2277</v>
      </c>
      <c r="B34" t="s">
        <v>1749</v>
      </c>
      <c r="C34" t="s">
        <v>1750</v>
      </c>
      <c r="D34">
        <v>5</v>
      </c>
      <c r="E34" t="s">
        <v>1447</v>
      </c>
      <c r="F34" t="s">
        <v>1755</v>
      </c>
      <c r="G34" t="s">
        <v>1741</v>
      </c>
      <c r="H34" t="s">
        <v>2302</v>
      </c>
      <c r="I34" t="s">
        <v>2279</v>
      </c>
      <c r="J34" t="s">
        <v>2279</v>
      </c>
      <c r="K34" t="s">
        <v>2279</v>
      </c>
      <c r="L34" t="s">
        <v>2279</v>
      </c>
      <c r="M34" t="s">
        <v>2279</v>
      </c>
      <c r="N34" t="s">
        <v>2279</v>
      </c>
      <c r="O34" s="190" t="str">
        <f>"["&amp;$C34&amp;"]["&amp;$D34&amp;"]["&amp;$F34&amp;"]"</f>
        <v>[S02_CompetentAuthority][5][CATelephone]</v>
      </c>
    </row>
    <row r="35" spans="1:15" x14ac:dyDescent="0.3">
      <c r="A35" t="s">
        <v>2277</v>
      </c>
      <c r="B35" t="s">
        <v>1749</v>
      </c>
      <c r="C35" t="s">
        <v>1750</v>
      </c>
      <c r="D35">
        <v>6</v>
      </c>
      <c r="E35" t="s">
        <v>1447</v>
      </c>
      <c r="F35" t="s">
        <v>1755</v>
      </c>
      <c r="G35" t="s">
        <v>1741</v>
      </c>
      <c r="H35" t="s">
        <v>2303</v>
      </c>
      <c r="I35" t="s">
        <v>2279</v>
      </c>
      <c r="J35" t="s">
        <v>2279</v>
      </c>
      <c r="K35" t="s">
        <v>2279</v>
      </c>
      <c r="L35" t="s">
        <v>2279</v>
      </c>
      <c r="M35" t="s">
        <v>2279</v>
      </c>
      <c r="N35" t="s">
        <v>2279</v>
      </c>
      <c r="O35" s="190" t="str">
        <f>"["&amp;$C35&amp;"]["&amp;$D35&amp;"]["&amp;$F35&amp;"]"</f>
        <v>[S02_CompetentAuthority][6][CATelephone]</v>
      </c>
    </row>
    <row r="36" spans="1:15" x14ac:dyDescent="0.3">
      <c r="A36" t="s">
        <v>2277</v>
      </c>
      <c r="B36" t="s">
        <v>1749</v>
      </c>
      <c r="C36" t="s">
        <v>1750</v>
      </c>
      <c r="D36">
        <v>7</v>
      </c>
      <c r="E36" t="s">
        <v>1447</v>
      </c>
      <c r="F36" t="s">
        <v>1755</v>
      </c>
      <c r="G36" t="s">
        <v>1741</v>
      </c>
      <c r="H36" t="s">
        <v>2304</v>
      </c>
      <c r="I36" t="s">
        <v>2279</v>
      </c>
      <c r="J36" t="s">
        <v>2279</v>
      </c>
      <c r="K36" t="s">
        <v>2279</v>
      </c>
      <c r="L36" t="s">
        <v>2279</v>
      </c>
      <c r="M36" t="s">
        <v>2279</v>
      </c>
      <c r="N36" t="s">
        <v>2279</v>
      </c>
      <c r="O36" s="190" t="str">
        <f>"["&amp;$C36&amp;"]["&amp;$D36&amp;"]["&amp;$F36&amp;"]"</f>
        <v>[S02_CompetentAuthority][7][CATelephone]</v>
      </c>
    </row>
    <row r="37" spans="1:15" x14ac:dyDescent="0.3">
      <c r="A37" t="s">
        <v>2277</v>
      </c>
      <c r="B37" t="s">
        <v>1749</v>
      </c>
      <c r="C37" t="s">
        <v>1750</v>
      </c>
      <c r="D37">
        <v>1</v>
      </c>
      <c r="E37" t="s">
        <v>1447</v>
      </c>
      <c r="F37" t="s">
        <v>1756</v>
      </c>
      <c r="G37" t="s">
        <v>1741</v>
      </c>
      <c r="H37" t="s">
        <v>2305</v>
      </c>
      <c r="I37" t="s">
        <v>2279</v>
      </c>
      <c r="J37" t="s">
        <v>2279</v>
      </c>
      <c r="K37" t="s">
        <v>2279</v>
      </c>
      <c r="L37" t="s">
        <v>2279</v>
      </c>
      <c r="M37" t="s">
        <v>2279</v>
      </c>
      <c r="N37" t="s">
        <v>2279</v>
      </c>
      <c r="O37" s="190" t="str">
        <f>"["&amp;$C37&amp;"]["&amp;$D37&amp;"]["&amp;$F37&amp;"]"</f>
        <v>[S02_CompetentAuthority][1][CAEmail]</v>
      </c>
    </row>
    <row r="38" spans="1:15" x14ac:dyDescent="0.3">
      <c r="A38" t="s">
        <v>2277</v>
      </c>
      <c r="B38" t="s">
        <v>1749</v>
      </c>
      <c r="C38" t="s">
        <v>1750</v>
      </c>
      <c r="D38">
        <v>2</v>
      </c>
      <c r="E38" t="s">
        <v>1447</v>
      </c>
      <c r="F38" t="s">
        <v>1756</v>
      </c>
      <c r="G38" t="s">
        <v>1741</v>
      </c>
      <c r="H38" t="s">
        <v>2306</v>
      </c>
      <c r="I38" t="s">
        <v>2279</v>
      </c>
      <c r="J38" t="s">
        <v>2279</v>
      </c>
      <c r="K38" t="s">
        <v>2279</v>
      </c>
      <c r="L38" t="s">
        <v>2279</v>
      </c>
      <c r="M38" t="s">
        <v>2279</v>
      </c>
      <c r="N38" t="s">
        <v>2279</v>
      </c>
      <c r="O38" s="190" t="str">
        <f>"["&amp;$C38&amp;"]["&amp;$D38&amp;"]["&amp;$F38&amp;"]"</f>
        <v>[S02_CompetentAuthority][2][CAEmail]</v>
      </c>
    </row>
    <row r="39" spans="1:15" x14ac:dyDescent="0.3">
      <c r="A39" t="s">
        <v>2277</v>
      </c>
      <c r="B39" t="s">
        <v>1749</v>
      </c>
      <c r="C39" t="s">
        <v>1750</v>
      </c>
      <c r="D39">
        <v>3</v>
      </c>
      <c r="E39" t="s">
        <v>1447</v>
      </c>
      <c r="F39" t="s">
        <v>1756</v>
      </c>
      <c r="G39" t="s">
        <v>1741</v>
      </c>
      <c r="H39" t="s">
        <v>2307</v>
      </c>
      <c r="I39" t="s">
        <v>2279</v>
      </c>
      <c r="J39" t="s">
        <v>2279</v>
      </c>
      <c r="K39" t="s">
        <v>2279</v>
      </c>
      <c r="L39" t="s">
        <v>2279</v>
      </c>
      <c r="M39" t="s">
        <v>2279</v>
      </c>
      <c r="N39" t="s">
        <v>2279</v>
      </c>
      <c r="O39" s="190" t="str">
        <f>"["&amp;$C39&amp;"]["&amp;$D39&amp;"]["&amp;$F39&amp;"]"</f>
        <v>[S02_CompetentAuthority][3][CAEmail]</v>
      </c>
    </row>
    <row r="40" spans="1:15" x14ac:dyDescent="0.3">
      <c r="A40" t="s">
        <v>2277</v>
      </c>
      <c r="B40" t="s">
        <v>1749</v>
      </c>
      <c r="C40" t="s">
        <v>1750</v>
      </c>
      <c r="D40">
        <v>4</v>
      </c>
      <c r="E40" t="s">
        <v>1447</v>
      </c>
      <c r="F40" t="s">
        <v>1756</v>
      </c>
      <c r="G40" t="s">
        <v>1741</v>
      </c>
      <c r="H40" t="s">
        <v>2308</v>
      </c>
      <c r="I40" t="s">
        <v>2279</v>
      </c>
      <c r="J40" t="s">
        <v>2279</v>
      </c>
      <c r="K40" t="s">
        <v>2279</v>
      </c>
      <c r="L40" t="s">
        <v>2279</v>
      </c>
      <c r="M40" t="s">
        <v>2279</v>
      </c>
      <c r="N40" t="s">
        <v>2279</v>
      </c>
      <c r="O40" s="190" t="str">
        <f>"["&amp;$C40&amp;"]["&amp;$D40&amp;"]["&amp;$F40&amp;"]"</f>
        <v>[S02_CompetentAuthority][4][CAEmail]</v>
      </c>
    </row>
    <row r="41" spans="1:15" x14ac:dyDescent="0.3">
      <c r="A41" t="s">
        <v>2277</v>
      </c>
      <c r="B41" t="s">
        <v>1749</v>
      </c>
      <c r="C41" t="s">
        <v>1750</v>
      </c>
      <c r="D41">
        <v>5</v>
      </c>
      <c r="E41" t="s">
        <v>1447</v>
      </c>
      <c r="F41" t="s">
        <v>1756</v>
      </c>
      <c r="G41" t="s">
        <v>1741</v>
      </c>
      <c r="H41" t="s">
        <v>2309</v>
      </c>
      <c r="I41" t="s">
        <v>2279</v>
      </c>
      <c r="J41" t="s">
        <v>2279</v>
      </c>
      <c r="K41" t="s">
        <v>2279</v>
      </c>
      <c r="L41" t="s">
        <v>2279</v>
      </c>
      <c r="M41" t="s">
        <v>2279</v>
      </c>
      <c r="N41" t="s">
        <v>2279</v>
      </c>
      <c r="O41" s="190" t="str">
        <f>"["&amp;$C41&amp;"]["&amp;$D41&amp;"]["&amp;$F41&amp;"]"</f>
        <v>[S02_CompetentAuthority][5][CAEmail]</v>
      </c>
    </row>
    <row r="42" spans="1:15" x14ac:dyDescent="0.3">
      <c r="A42" t="s">
        <v>2277</v>
      </c>
      <c r="B42" t="s">
        <v>1749</v>
      </c>
      <c r="C42" t="s">
        <v>1750</v>
      </c>
      <c r="D42">
        <v>6</v>
      </c>
      <c r="E42" t="s">
        <v>1447</v>
      </c>
      <c r="F42" t="s">
        <v>1756</v>
      </c>
      <c r="G42" t="s">
        <v>1741</v>
      </c>
      <c r="H42" t="s">
        <v>2310</v>
      </c>
      <c r="I42" t="s">
        <v>2279</v>
      </c>
      <c r="J42" t="s">
        <v>2279</v>
      </c>
      <c r="K42" t="s">
        <v>2279</v>
      </c>
      <c r="L42" t="s">
        <v>2279</v>
      </c>
      <c r="M42" t="s">
        <v>2279</v>
      </c>
      <c r="N42" t="s">
        <v>2279</v>
      </c>
      <c r="O42" s="190" t="str">
        <f>"["&amp;$C42&amp;"]["&amp;$D42&amp;"]["&amp;$F42&amp;"]"</f>
        <v>[S02_CompetentAuthority][6][CAEmail]</v>
      </c>
    </row>
    <row r="43" spans="1:15" x14ac:dyDescent="0.3">
      <c r="A43" t="s">
        <v>2277</v>
      </c>
      <c r="B43" t="s">
        <v>1749</v>
      </c>
      <c r="C43" t="s">
        <v>1750</v>
      </c>
      <c r="D43">
        <v>7</v>
      </c>
      <c r="E43" t="s">
        <v>1447</v>
      </c>
      <c r="F43" t="s">
        <v>1756</v>
      </c>
      <c r="G43" t="s">
        <v>1741</v>
      </c>
      <c r="H43" t="s">
        <v>2311</v>
      </c>
      <c r="I43" t="s">
        <v>2279</v>
      </c>
      <c r="J43" t="s">
        <v>2279</v>
      </c>
      <c r="K43" t="s">
        <v>2279</v>
      </c>
      <c r="L43" t="s">
        <v>2279</v>
      </c>
      <c r="M43" t="s">
        <v>2279</v>
      </c>
      <c r="N43" t="s">
        <v>2279</v>
      </c>
      <c r="O43" s="190" t="str">
        <f>"["&amp;$C43&amp;"]["&amp;$D43&amp;"]["&amp;$F43&amp;"]"</f>
        <v>[S02_CompetentAuthority][7][CAEmail]</v>
      </c>
    </row>
    <row r="44" spans="1:15" x14ac:dyDescent="0.3">
      <c r="A44" t="s">
        <v>2277</v>
      </c>
      <c r="B44" t="s">
        <v>1749</v>
      </c>
      <c r="C44" t="s">
        <v>1750</v>
      </c>
      <c r="D44">
        <v>1</v>
      </c>
      <c r="E44" t="s">
        <v>1447</v>
      </c>
      <c r="F44" t="s">
        <v>1757</v>
      </c>
      <c r="G44" t="s">
        <v>1741</v>
      </c>
      <c r="H44" t="s">
        <v>2312</v>
      </c>
      <c r="I44" t="s">
        <v>2279</v>
      </c>
      <c r="J44" t="s">
        <v>2279</v>
      </c>
      <c r="K44" t="s">
        <v>2279</v>
      </c>
      <c r="L44" t="s">
        <v>2279</v>
      </c>
      <c r="M44" t="s">
        <v>2279</v>
      </c>
      <c r="N44" t="s">
        <v>2279</v>
      </c>
      <c r="O44" s="190" t="str">
        <f>"["&amp;$C44&amp;"]["&amp;$D44&amp;"]["&amp;$F44&amp;"]"</f>
        <v>[S02_CompetentAuthority][1][CAWebsite]</v>
      </c>
    </row>
    <row r="45" spans="1:15" x14ac:dyDescent="0.3">
      <c r="A45" t="s">
        <v>2277</v>
      </c>
      <c r="B45" t="s">
        <v>1749</v>
      </c>
      <c r="C45" t="s">
        <v>1750</v>
      </c>
      <c r="D45">
        <v>2</v>
      </c>
      <c r="E45" t="s">
        <v>1447</v>
      </c>
      <c r="F45" t="s">
        <v>1757</v>
      </c>
      <c r="G45" t="s">
        <v>1741</v>
      </c>
      <c r="H45" t="s">
        <v>2313</v>
      </c>
      <c r="I45" t="s">
        <v>2279</v>
      </c>
      <c r="J45" t="s">
        <v>2279</v>
      </c>
      <c r="K45" t="s">
        <v>2279</v>
      </c>
      <c r="L45" t="s">
        <v>2279</v>
      </c>
      <c r="M45" t="s">
        <v>2279</v>
      </c>
      <c r="N45" t="s">
        <v>2279</v>
      </c>
      <c r="O45" s="190" t="str">
        <f>"["&amp;$C45&amp;"]["&amp;$D45&amp;"]["&amp;$F45&amp;"]"</f>
        <v>[S02_CompetentAuthority][2][CAWebsite]</v>
      </c>
    </row>
    <row r="46" spans="1:15" x14ac:dyDescent="0.3">
      <c r="A46" t="s">
        <v>2277</v>
      </c>
      <c r="B46" t="s">
        <v>1749</v>
      </c>
      <c r="C46" t="s">
        <v>1750</v>
      </c>
      <c r="D46">
        <v>3</v>
      </c>
      <c r="E46" t="s">
        <v>1447</v>
      </c>
      <c r="F46" t="s">
        <v>1757</v>
      </c>
      <c r="G46" t="s">
        <v>1741</v>
      </c>
      <c r="H46" t="s">
        <v>2314</v>
      </c>
      <c r="I46" t="s">
        <v>2279</v>
      </c>
      <c r="J46" t="s">
        <v>2279</v>
      </c>
      <c r="K46" t="s">
        <v>2279</v>
      </c>
      <c r="L46" t="s">
        <v>2279</v>
      </c>
      <c r="M46" t="s">
        <v>2279</v>
      </c>
      <c r="N46" t="s">
        <v>2279</v>
      </c>
      <c r="O46" s="190" t="str">
        <f>"["&amp;$C46&amp;"]["&amp;$D46&amp;"]["&amp;$F46&amp;"]"</f>
        <v>[S02_CompetentAuthority][3][CAWebsite]</v>
      </c>
    </row>
    <row r="47" spans="1:15" x14ac:dyDescent="0.3">
      <c r="A47" t="s">
        <v>2277</v>
      </c>
      <c r="B47" t="s">
        <v>1749</v>
      </c>
      <c r="C47" t="s">
        <v>1750</v>
      </c>
      <c r="D47">
        <v>4</v>
      </c>
      <c r="E47" t="s">
        <v>1447</v>
      </c>
      <c r="F47" t="s">
        <v>1757</v>
      </c>
      <c r="G47" t="s">
        <v>1741</v>
      </c>
      <c r="H47" t="s">
        <v>2315</v>
      </c>
      <c r="I47" t="s">
        <v>2279</v>
      </c>
      <c r="J47" t="s">
        <v>2279</v>
      </c>
      <c r="K47" t="s">
        <v>2279</v>
      </c>
      <c r="L47" t="s">
        <v>2279</v>
      </c>
      <c r="M47" t="s">
        <v>2279</v>
      </c>
      <c r="N47" t="s">
        <v>2279</v>
      </c>
      <c r="O47" s="190" t="str">
        <f>"["&amp;$C47&amp;"]["&amp;$D47&amp;"]["&amp;$F47&amp;"]"</f>
        <v>[S02_CompetentAuthority][4][CAWebsite]</v>
      </c>
    </row>
    <row r="48" spans="1:15" x14ac:dyDescent="0.3">
      <c r="A48" t="s">
        <v>2277</v>
      </c>
      <c r="B48" t="s">
        <v>1749</v>
      </c>
      <c r="C48" t="s">
        <v>1750</v>
      </c>
      <c r="D48">
        <v>5</v>
      </c>
      <c r="E48" t="s">
        <v>1447</v>
      </c>
      <c r="F48" t="s">
        <v>1757</v>
      </c>
      <c r="G48" t="s">
        <v>1741</v>
      </c>
      <c r="H48" t="s">
        <v>2316</v>
      </c>
      <c r="I48" t="s">
        <v>2279</v>
      </c>
      <c r="J48" t="s">
        <v>2279</v>
      </c>
      <c r="K48" t="s">
        <v>2279</v>
      </c>
      <c r="L48" t="s">
        <v>2279</v>
      </c>
      <c r="M48" t="s">
        <v>2279</v>
      </c>
      <c r="N48" t="s">
        <v>2279</v>
      </c>
      <c r="O48" s="190" t="str">
        <f>"["&amp;$C48&amp;"]["&amp;$D48&amp;"]["&amp;$F48&amp;"]"</f>
        <v>[S02_CompetentAuthority][5][CAWebsite]</v>
      </c>
    </row>
    <row r="49" spans="1:15" x14ac:dyDescent="0.3">
      <c r="A49" t="s">
        <v>2277</v>
      </c>
      <c r="B49" t="s">
        <v>1749</v>
      </c>
      <c r="C49" t="s">
        <v>1750</v>
      </c>
      <c r="D49">
        <v>6</v>
      </c>
      <c r="E49" t="s">
        <v>1447</v>
      </c>
      <c r="F49" t="s">
        <v>1757</v>
      </c>
      <c r="G49" t="s">
        <v>1741</v>
      </c>
      <c r="H49" t="s">
        <v>2317</v>
      </c>
      <c r="I49" t="s">
        <v>2279</v>
      </c>
      <c r="J49" t="s">
        <v>2279</v>
      </c>
      <c r="K49" t="s">
        <v>2279</v>
      </c>
      <c r="L49" t="s">
        <v>2279</v>
      </c>
      <c r="M49" t="s">
        <v>2279</v>
      </c>
      <c r="N49" t="s">
        <v>2279</v>
      </c>
      <c r="O49" s="190" t="str">
        <f>"["&amp;$C49&amp;"]["&amp;$D49&amp;"]["&amp;$F49&amp;"]"</f>
        <v>[S02_CompetentAuthority][6][CAWebsite]</v>
      </c>
    </row>
    <row r="50" spans="1:15" x14ac:dyDescent="0.3">
      <c r="A50" t="s">
        <v>2277</v>
      </c>
      <c r="B50" t="s">
        <v>1749</v>
      </c>
      <c r="C50" t="s">
        <v>1750</v>
      </c>
      <c r="D50">
        <v>7</v>
      </c>
      <c r="E50" t="s">
        <v>1447</v>
      </c>
      <c r="F50" t="s">
        <v>1757</v>
      </c>
      <c r="G50" t="s">
        <v>1741</v>
      </c>
      <c r="H50" t="s">
        <v>2318</v>
      </c>
      <c r="I50" t="s">
        <v>2279</v>
      </c>
      <c r="J50" t="s">
        <v>2279</v>
      </c>
      <c r="K50" t="s">
        <v>2279</v>
      </c>
      <c r="L50" t="s">
        <v>2279</v>
      </c>
      <c r="M50" t="s">
        <v>2279</v>
      </c>
      <c r="N50" t="s">
        <v>2279</v>
      </c>
      <c r="O50" s="190" t="str">
        <f>"["&amp;$C50&amp;"]["&amp;$D50&amp;"]["&amp;$F50&amp;"]"</f>
        <v>[S02_CompetentAuthority][7][CAWebsite]</v>
      </c>
    </row>
    <row r="51" spans="1:15" x14ac:dyDescent="0.3">
      <c r="A51" t="s">
        <v>2277</v>
      </c>
      <c r="B51" t="s">
        <v>1749</v>
      </c>
      <c r="C51" t="s">
        <v>1758</v>
      </c>
      <c r="D51">
        <v>0</v>
      </c>
      <c r="E51" t="s">
        <v>1447</v>
      </c>
      <c r="F51" t="s">
        <v>1758</v>
      </c>
      <c r="G51" t="s">
        <v>1759</v>
      </c>
      <c r="H51" t="s">
        <v>2279</v>
      </c>
      <c r="I51" t="s">
        <v>2279</v>
      </c>
      <c r="J51" t="s">
        <v>2279</v>
      </c>
      <c r="K51" t="s">
        <v>2279</v>
      </c>
      <c r="L51" t="s">
        <v>1419</v>
      </c>
      <c r="M51" t="s">
        <v>2279</v>
      </c>
      <c r="N51" t="s">
        <v>2279</v>
      </c>
      <c r="O51" s="190" t="str">
        <f>"["&amp;$C51&amp;"]["&amp;$D51&amp;"]["&amp;$F51&amp;"]"</f>
        <v>[S02_AccreditationBodyYesNo][0][S02_AccreditationBodyYesNo]</v>
      </c>
    </row>
    <row r="52" spans="1:15" x14ac:dyDescent="0.3">
      <c r="A52" t="s">
        <v>2277</v>
      </c>
      <c r="B52" t="s">
        <v>1749</v>
      </c>
      <c r="C52" t="s">
        <v>1760</v>
      </c>
      <c r="D52">
        <v>1</v>
      </c>
      <c r="E52" t="s">
        <v>1447</v>
      </c>
      <c r="F52" t="s">
        <v>1761</v>
      </c>
      <c r="G52" t="s">
        <v>1741</v>
      </c>
      <c r="H52" t="s">
        <v>2290</v>
      </c>
      <c r="I52" t="s">
        <v>2279</v>
      </c>
      <c r="J52" t="s">
        <v>2279</v>
      </c>
      <c r="K52" t="s">
        <v>2279</v>
      </c>
      <c r="L52" t="s">
        <v>2279</v>
      </c>
      <c r="M52" t="s">
        <v>2279</v>
      </c>
      <c r="N52" t="s">
        <v>2279</v>
      </c>
      <c r="O52" s="190" t="str">
        <f>"["&amp;$C52&amp;"]["&amp;$D52&amp;"]["&amp;$F52&amp;"]"</f>
        <v>[S02_AccreditationBody][1][AccBodyName]</v>
      </c>
    </row>
    <row r="53" spans="1:15" x14ac:dyDescent="0.3">
      <c r="A53" t="s">
        <v>2277</v>
      </c>
      <c r="B53" t="s">
        <v>1749</v>
      </c>
      <c r="C53" t="s">
        <v>1760</v>
      </c>
      <c r="D53">
        <v>1</v>
      </c>
      <c r="E53" t="s">
        <v>1447</v>
      </c>
      <c r="F53" t="s">
        <v>1762</v>
      </c>
      <c r="G53" t="s">
        <v>1741</v>
      </c>
      <c r="H53" t="s">
        <v>2297</v>
      </c>
      <c r="I53" t="s">
        <v>2279</v>
      </c>
      <c r="J53" t="s">
        <v>2279</v>
      </c>
      <c r="K53" t="s">
        <v>2279</v>
      </c>
      <c r="L53" t="s">
        <v>2279</v>
      </c>
      <c r="M53" t="s">
        <v>2279</v>
      </c>
      <c r="N53" t="s">
        <v>2279</v>
      </c>
      <c r="O53" s="190" t="str">
        <f>"["&amp;$C53&amp;"]["&amp;$D53&amp;"]["&amp;$F53&amp;"]"</f>
        <v>[S02_AccreditationBody][1][AccBodyAbbreviation]</v>
      </c>
    </row>
    <row r="54" spans="1:15" x14ac:dyDescent="0.3">
      <c r="A54" t="s">
        <v>2277</v>
      </c>
      <c r="B54" t="s">
        <v>1749</v>
      </c>
      <c r="C54" t="s">
        <v>1760</v>
      </c>
      <c r="D54">
        <v>1</v>
      </c>
      <c r="E54" t="s">
        <v>1447</v>
      </c>
      <c r="F54" t="s">
        <v>1763</v>
      </c>
      <c r="G54" t="s">
        <v>1741</v>
      </c>
      <c r="H54" t="s">
        <v>2304</v>
      </c>
      <c r="I54" t="s">
        <v>2279</v>
      </c>
      <c r="J54" t="s">
        <v>2279</v>
      </c>
      <c r="K54" t="s">
        <v>2279</v>
      </c>
      <c r="L54" t="s">
        <v>2279</v>
      </c>
      <c r="M54" t="s">
        <v>2279</v>
      </c>
      <c r="N54" t="s">
        <v>2279</v>
      </c>
      <c r="O54" s="190" t="str">
        <f>"["&amp;$C54&amp;"]["&amp;$D54&amp;"]["&amp;$F54&amp;"]"</f>
        <v>[S02_AccreditationBody][1][AccBodyTelephone]</v>
      </c>
    </row>
    <row r="55" spans="1:15" x14ac:dyDescent="0.3">
      <c r="A55" t="s">
        <v>2277</v>
      </c>
      <c r="B55" t="s">
        <v>1749</v>
      </c>
      <c r="C55" t="s">
        <v>1760</v>
      </c>
      <c r="D55">
        <v>1</v>
      </c>
      <c r="E55" t="s">
        <v>1447</v>
      </c>
      <c r="F55" t="s">
        <v>1764</v>
      </c>
      <c r="G55" t="s">
        <v>1741</v>
      </c>
      <c r="H55" t="s">
        <v>2311</v>
      </c>
      <c r="I55" t="s">
        <v>2279</v>
      </c>
      <c r="J55" t="s">
        <v>2279</v>
      </c>
      <c r="K55" t="s">
        <v>2279</v>
      </c>
      <c r="L55" t="s">
        <v>2279</v>
      </c>
      <c r="M55" t="s">
        <v>2279</v>
      </c>
      <c r="N55" t="s">
        <v>2279</v>
      </c>
      <c r="O55" s="190" t="str">
        <f>"["&amp;$C55&amp;"]["&amp;$D55&amp;"]["&amp;$F55&amp;"]"</f>
        <v>[S02_AccreditationBody][1][AccBodyEmail]</v>
      </c>
    </row>
    <row r="56" spans="1:15" x14ac:dyDescent="0.3">
      <c r="A56" t="s">
        <v>2277</v>
      </c>
      <c r="B56" t="s">
        <v>1749</v>
      </c>
      <c r="C56" t="s">
        <v>1760</v>
      </c>
      <c r="D56">
        <v>1</v>
      </c>
      <c r="E56" t="s">
        <v>1447</v>
      </c>
      <c r="F56" t="s">
        <v>1765</v>
      </c>
      <c r="G56" t="s">
        <v>1741</v>
      </c>
      <c r="H56" t="s">
        <v>2318</v>
      </c>
      <c r="I56" t="s">
        <v>2279</v>
      </c>
      <c r="J56" t="s">
        <v>2279</v>
      </c>
      <c r="K56" t="s">
        <v>2279</v>
      </c>
      <c r="L56" t="s">
        <v>2279</v>
      </c>
      <c r="M56" t="s">
        <v>2279</v>
      </c>
      <c r="N56" t="s">
        <v>2279</v>
      </c>
      <c r="O56" s="190" t="str">
        <f>"["&amp;$C56&amp;"]["&amp;$D56&amp;"]["&amp;$F56&amp;"]"</f>
        <v>[S02_AccreditationBody][1][AccBodyWebsite]</v>
      </c>
    </row>
    <row r="57" spans="1:15" x14ac:dyDescent="0.3">
      <c r="A57" t="s">
        <v>2277</v>
      </c>
      <c r="B57" t="s">
        <v>1749</v>
      </c>
      <c r="C57" t="s">
        <v>1766</v>
      </c>
      <c r="D57">
        <v>0</v>
      </c>
      <c r="E57" t="s">
        <v>1447</v>
      </c>
      <c r="F57" t="s">
        <v>1766</v>
      </c>
      <c r="G57" t="s">
        <v>1759</v>
      </c>
      <c r="H57" t="s">
        <v>2279</v>
      </c>
      <c r="I57" t="s">
        <v>2279</v>
      </c>
      <c r="J57" t="s">
        <v>2279</v>
      </c>
      <c r="K57" t="s">
        <v>2279</v>
      </c>
      <c r="L57" t="s">
        <v>1447</v>
      </c>
      <c r="M57" t="s">
        <v>2279</v>
      </c>
      <c r="N57" t="s">
        <v>2279</v>
      </c>
      <c r="O57" s="190" t="str">
        <f>"["&amp;$C57&amp;"]["&amp;$D57&amp;"]["&amp;$F57&amp;"]"</f>
        <v>[CertificationBodySetUp][0][CertificationBodySetUp]</v>
      </c>
    </row>
    <row r="58" spans="1:15" x14ac:dyDescent="0.3">
      <c r="A58" t="s">
        <v>2277</v>
      </c>
      <c r="B58" t="s">
        <v>1749</v>
      </c>
      <c r="C58" t="s">
        <v>1773</v>
      </c>
      <c r="D58">
        <v>1</v>
      </c>
      <c r="E58" t="s">
        <v>1447</v>
      </c>
      <c r="F58" t="s">
        <v>1774</v>
      </c>
      <c r="G58" t="s">
        <v>1741</v>
      </c>
      <c r="H58" t="s">
        <v>2278</v>
      </c>
      <c r="I58" t="s">
        <v>2279</v>
      </c>
      <c r="J58" t="s">
        <v>2279</v>
      </c>
      <c r="K58" t="s">
        <v>2279</v>
      </c>
      <c r="L58" t="s">
        <v>2279</v>
      </c>
      <c r="M58" t="s">
        <v>2279</v>
      </c>
      <c r="N58" t="s">
        <v>2279</v>
      </c>
      <c r="O58" s="190" t="str">
        <f>"["&amp;$C58&amp;"]["&amp;$D58&amp;"]["&amp;$F58&amp;"]"</f>
        <v>[S02_RegistryAdministrator][1][RegAdminName]</v>
      </c>
    </row>
    <row r="59" spans="1:15" x14ac:dyDescent="0.3">
      <c r="A59" t="s">
        <v>2277</v>
      </c>
      <c r="B59" t="s">
        <v>1749</v>
      </c>
      <c r="C59" t="s">
        <v>1773</v>
      </c>
      <c r="D59">
        <v>1</v>
      </c>
      <c r="E59" t="s">
        <v>1447</v>
      </c>
      <c r="F59" t="s">
        <v>1775</v>
      </c>
      <c r="G59" t="s">
        <v>1741</v>
      </c>
      <c r="H59" t="s">
        <v>2296</v>
      </c>
      <c r="I59" t="s">
        <v>2279</v>
      </c>
      <c r="J59" t="s">
        <v>2279</v>
      </c>
      <c r="K59" t="s">
        <v>2279</v>
      </c>
      <c r="L59" t="s">
        <v>2279</v>
      </c>
      <c r="M59" t="s">
        <v>2279</v>
      </c>
      <c r="N59" t="s">
        <v>2279</v>
      </c>
      <c r="O59" s="190" t="str">
        <f>"["&amp;$C59&amp;"]["&amp;$D59&amp;"]["&amp;$F59&amp;"]"</f>
        <v>[S02_RegistryAdministrator][1][RegAdminAbbreviation]</v>
      </c>
    </row>
    <row r="60" spans="1:15" x14ac:dyDescent="0.3">
      <c r="A60" t="s">
        <v>2277</v>
      </c>
      <c r="B60" t="s">
        <v>1749</v>
      </c>
      <c r="C60" t="s">
        <v>1773</v>
      </c>
      <c r="D60">
        <v>1</v>
      </c>
      <c r="E60" t="s">
        <v>1447</v>
      </c>
      <c r="F60" t="s">
        <v>1776</v>
      </c>
      <c r="G60" t="s">
        <v>1741</v>
      </c>
      <c r="H60" t="s">
        <v>2283</v>
      </c>
      <c r="I60" t="s">
        <v>2279</v>
      </c>
      <c r="J60" t="s">
        <v>2279</v>
      </c>
      <c r="K60" t="s">
        <v>2279</v>
      </c>
      <c r="L60" t="s">
        <v>2279</v>
      </c>
      <c r="M60" t="s">
        <v>2279</v>
      </c>
      <c r="N60" t="s">
        <v>2279</v>
      </c>
      <c r="O60" s="190" t="str">
        <f>"["&amp;$C60&amp;"]["&amp;$D60&amp;"]["&amp;$F60&amp;"]"</f>
        <v>[S02_RegistryAdministrator][1][RegAdminTelephone]</v>
      </c>
    </row>
    <row r="61" spans="1:15" x14ac:dyDescent="0.3">
      <c r="A61" t="s">
        <v>2277</v>
      </c>
      <c r="B61" t="s">
        <v>1749</v>
      </c>
      <c r="C61" t="s">
        <v>1773</v>
      </c>
      <c r="D61">
        <v>1</v>
      </c>
      <c r="E61" t="s">
        <v>1447</v>
      </c>
      <c r="F61" t="s">
        <v>1777</v>
      </c>
      <c r="G61" t="s">
        <v>1741</v>
      </c>
      <c r="H61" t="s">
        <v>2310</v>
      </c>
      <c r="I61" t="s">
        <v>2279</v>
      </c>
      <c r="J61" t="s">
        <v>2279</v>
      </c>
      <c r="K61" t="s">
        <v>2279</v>
      </c>
      <c r="L61" t="s">
        <v>2279</v>
      </c>
      <c r="M61" t="s">
        <v>2279</v>
      </c>
      <c r="N61" t="s">
        <v>2279</v>
      </c>
      <c r="O61" s="190" t="str">
        <f>"["&amp;$C61&amp;"]["&amp;$D61&amp;"]["&amp;$F61&amp;"]"</f>
        <v>[S02_RegistryAdministrator][1][RegAdminEmail]</v>
      </c>
    </row>
    <row r="62" spans="1:15" x14ac:dyDescent="0.3">
      <c r="A62" t="s">
        <v>2277</v>
      </c>
      <c r="B62" t="s">
        <v>1749</v>
      </c>
      <c r="C62" t="s">
        <v>1773</v>
      </c>
      <c r="D62">
        <v>1</v>
      </c>
      <c r="E62" t="s">
        <v>1447</v>
      </c>
      <c r="F62" t="s">
        <v>1778</v>
      </c>
      <c r="G62" t="s">
        <v>1741</v>
      </c>
      <c r="H62" t="s">
        <v>2319</v>
      </c>
      <c r="I62" t="s">
        <v>2279</v>
      </c>
      <c r="J62" t="s">
        <v>2279</v>
      </c>
      <c r="K62" t="s">
        <v>2279</v>
      </c>
      <c r="L62" t="s">
        <v>2279</v>
      </c>
      <c r="M62" t="s">
        <v>2279</v>
      </c>
      <c r="N62" t="s">
        <v>2279</v>
      </c>
      <c r="O62" s="190" t="str">
        <f>"["&amp;$C62&amp;"]["&amp;$D62&amp;"]["&amp;$F62&amp;"]"</f>
        <v>[S02_RegistryAdministrator][1][RegAdminWebsite]</v>
      </c>
    </row>
    <row r="63" spans="1:15" x14ac:dyDescent="0.3">
      <c r="A63" t="s">
        <v>2277</v>
      </c>
      <c r="B63" t="s">
        <v>1784</v>
      </c>
      <c r="C63" t="s">
        <v>1785</v>
      </c>
      <c r="D63">
        <v>0</v>
      </c>
      <c r="E63" t="s">
        <v>1447</v>
      </c>
      <c r="F63" t="s">
        <v>1786</v>
      </c>
      <c r="G63" t="s">
        <v>1741</v>
      </c>
      <c r="H63" t="s">
        <v>2290</v>
      </c>
      <c r="I63" t="s">
        <v>2279</v>
      </c>
      <c r="J63" t="s">
        <v>2279</v>
      </c>
      <c r="K63" t="s">
        <v>2279</v>
      </c>
      <c r="L63" t="s">
        <v>2279</v>
      </c>
      <c r="M63" t="s">
        <v>2279</v>
      </c>
      <c r="N63" t="s">
        <v>2279</v>
      </c>
      <c r="O63" s="190" t="str">
        <f>"["&amp;$C63&amp;"]["&amp;$D63&amp;"]["&amp;$F63&amp;"]"</f>
        <v>[S02_CAFocalPoint][0][CAArt70]</v>
      </c>
    </row>
    <row r="64" spans="1:15" x14ac:dyDescent="0.3">
      <c r="A64" t="s">
        <v>2277</v>
      </c>
      <c r="B64" t="s">
        <v>1784</v>
      </c>
      <c r="C64" t="s">
        <v>1785</v>
      </c>
      <c r="D64">
        <v>0</v>
      </c>
      <c r="E64" t="s">
        <v>1447</v>
      </c>
      <c r="F64" t="s">
        <v>1787</v>
      </c>
      <c r="G64" t="s">
        <v>1741</v>
      </c>
      <c r="H64" t="s">
        <v>2297</v>
      </c>
      <c r="I64" t="s">
        <v>2279</v>
      </c>
      <c r="J64" t="s">
        <v>2279</v>
      </c>
      <c r="K64" t="s">
        <v>2279</v>
      </c>
      <c r="L64" t="s">
        <v>2279</v>
      </c>
      <c r="M64" t="s">
        <v>2279</v>
      </c>
      <c r="N64" t="s">
        <v>2279</v>
      </c>
      <c r="O64" s="190" t="str">
        <f>"["&amp;$C64&amp;"]["&amp;$D64&amp;"]["&amp;$F64&amp;"]"</f>
        <v>[S02_CAFocalPoint][0][CAArt70Abbrev]</v>
      </c>
    </row>
    <row r="65" spans="1:15" x14ac:dyDescent="0.3">
      <c r="A65" t="s">
        <v>2277</v>
      </c>
      <c r="B65" t="s">
        <v>1792</v>
      </c>
      <c r="C65" t="s">
        <v>1793</v>
      </c>
      <c r="D65">
        <v>1</v>
      </c>
      <c r="E65" t="s">
        <v>1447</v>
      </c>
      <c r="F65" t="s">
        <v>1794</v>
      </c>
      <c r="G65" t="s">
        <v>1759</v>
      </c>
      <c r="H65" t="s">
        <v>2279</v>
      </c>
      <c r="I65" t="s">
        <v>2279</v>
      </c>
      <c r="J65" t="s">
        <v>2279</v>
      </c>
      <c r="K65" t="s">
        <v>2279</v>
      </c>
      <c r="L65" t="s">
        <v>1447</v>
      </c>
      <c r="M65" t="s">
        <v>2279</v>
      </c>
      <c r="N65" t="s">
        <v>2279</v>
      </c>
      <c r="O65" s="190" t="str">
        <f>"["&amp;$C65&amp;"]["&amp;$D65&amp;"]["&amp;$F65&amp;"]"</f>
        <v>[S02_InformationExchangeAccBodyAndCA][1][InfoExchangeYesNo]</v>
      </c>
    </row>
    <row r="66" spans="1:15" x14ac:dyDescent="0.3">
      <c r="A66" t="s">
        <v>2277</v>
      </c>
      <c r="B66" t="s">
        <v>1792</v>
      </c>
      <c r="C66" t="s">
        <v>1793</v>
      </c>
      <c r="D66">
        <v>2</v>
      </c>
      <c r="E66" t="s">
        <v>1447</v>
      </c>
      <c r="F66" t="s">
        <v>1794</v>
      </c>
      <c r="G66" t="s">
        <v>1759</v>
      </c>
      <c r="H66" t="s">
        <v>2279</v>
      </c>
      <c r="I66" t="s">
        <v>2279</v>
      </c>
      <c r="J66" t="s">
        <v>2279</v>
      </c>
      <c r="K66" t="s">
        <v>2279</v>
      </c>
      <c r="L66" t="s">
        <v>1447</v>
      </c>
      <c r="M66" t="s">
        <v>2279</v>
      </c>
      <c r="N66" t="s">
        <v>2279</v>
      </c>
      <c r="O66" s="190" t="str">
        <f>"["&amp;$C66&amp;"]["&amp;$D66&amp;"]["&amp;$F66&amp;"]"</f>
        <v>[S02_InformationExchangeAccBodyAndCA][2][InfoExchangeYesNo]</v>
      </c>
    </row>
    <row r="67" spans="1:15" x14ac:dyDescent="0.3">
      <c r="A67" t="s">
        <v>2277</v>
      </c>
      <c r="B67" t="s">
        <v>1792</v>
      </c>
      <c r="C67" t="s">
        <v>1793</v>
      </c>
      <c r="D67">
        <v>3</v>
      </c>
      <c r="E67" t="s">
        <v>1447</v>
      </c>
      <c r="F67" t="s">
        <v>1794</v>
      </c>
      <c r="G67" t="s">
        <v>1759</v>
      </c>
      <c r="H67" t="s">
        <v>2279</v>
      </c>
      <c r="I67" t="s">
        <v>2279</v>
      </c>
      <c r="J67" t="s">
        <v>2279</v>
      </c>
      <c r="K67" t="s">
        <v>2279</v>
      </c>
      <c r="L67" t="s">
        <v>1419</v>
      </c>
      <c r="M67" t="s">
        <v>2279</v>
      </c>
      <c r="N67" t="s">
        <v>2279</v>
      </c>
      <c r="O67" s="190" t="str">
        <f>"["&amp;$C67&amp;"]["&amp;$D67&amp;"]["&amp;$F67&amp;"]"</f>
        <v>[S02_InformationExchangeAccBodyAndCA][3][InfoExchangeYesNo]</v>
      </c>
    </row>
    <row r="68" spans="1:15" x14ac:dyDescent="0.3">
      <c r="A68" t="s">
        <v>2277</v>
      </c>
      <c r="B68" t="s">
        <v>1792</v>
      </c>
      <c r="C68" t="s">
        <v>1793</v>
      </c>
      <c r="D68">
        <v>1</v>
      </c>
      <c r="E68" t="s">
        <v>1447</v>
      </c>
      <c r="F68" t="s">
        <v>1795</v>
      </c>
      <c r="G68" t="s">
        <v>1791</v>
      </c>
      <c r="H68" t="s">
        <v>2279</v>
      </c>
      <c r="I68" t="s">
        <v>2279</v>
      </c>
      <c r="J68" t="s">
        <v>2279</v>
      </c>
      <c r="K68" t="s">
        <v>2320</v>
      </c>
      <c r="L68" t="s">
        <v>2279</v>
      </c>
      <c r="M68" t="s">
        <v>2279</v>
      </c>
      <c r="N68" t="s">
        <v>2279</v>
      </c>
      <c r="O68" s="190" t="str">
        <f>"["&amp;$C68&amp;"]["&amp;$D68&amp;"]["&amp;$F68&amp;"]"</f>
        <v>[S02_InformationExchangeAccBodyAndCA][1][InfoExchangeComment]</v>
      </c>
    </row>
    <row r="69" spans="1:15" x14ac:dyDescent="0.3">
      <c r="A69" t="s">
        <v>2277</v>
      </c>
      <c r="B69" t="s">
        <v>1792</v>
      </c>
      <c r="C69" t="s">
        <v>1793</v>
      </c>
      <c r="D69">
        <v>2</v>
      </c>
      <c r="E69" t="s">
        <v>1447</v>
      </c>
      <c r="F69" t="s">
        <v>1795</v>
      </c>
      <c r="G69" t="s">
        <v>1791</v>
      </c>
      <c r="H69" t="s">
        <v>2279</v>
      </c>
      <c r="I69" t="s">
        <v>2279</v>
      </c>
      <c r="J69" t="s">
        <v>2279</v>
      </c>
      <c r="K69" t="s">
        <v>2321</v>
      </c>
      <c r="L69" t="s">
        <v>2279</v>
      </c>
      <c r="M69" t="s">
        <v>2279</v>
      </c>
      <c r="N69" t="s">
        <v>2279</v>
      </c>
      <c r="O69" s="190" t="str">
        <f>"["&amp;$C69&amp;"]["&amp;$D69&amp;"]["&amp;$F69&amp;"]"</f>
        <v>[S02_InformationExchangeAccBodyAndCA][2][InfoExchangeComment]</v>
      </c>
    </row>
    <row r="70" spans="1:15" x14ac:dyDescent="0.3">
      <c r="A70" t="s">
        <v>2277</v>
      </c>
      <c r="B70" t="s">
        <v>1792</v>
      </c>
      <c r="C70" t="s">
        <v>1793</v>
      </c>
      <c r="D70">
        <v>3</v>
      </c>
      <c r="E70" t="s">
        <v>1447</v>
      </c>
      <c r="F70" t="s">
        <v>1795</v>
      </c>
      <c r="G70" t="s">
        <v>1791</v>
      </c>
      <c r="H70" t="s">
        <v>2279</v>
      </c>
      <c r="I70" t="s">
        <v>2279</v>
      </c>
      <c r="J70" t="s">
        <v>2279</v>
      </c>
      <c r="K70" t="s">
        <v>2322</v>
      </c>
      <c r="L70" t="s">
        <v>2279</v>
      </c>
      <c r="M70" t="s">
        <v>2279</v>
      </c>
      <c r="N70" t="s">
        <v>2279</v>
      </c>
      <c r="O70" s="190" t="str">
        <f>"["&amp;$C70&amp;"]["&amp;$D70&amp;"]["&amp;$F70&amp;"]"</f>
        <v>[S02_InformationExchangeAccBodyAndCA][3][InfoExchangeComment]</v>
      </c>
    </row>
    <row r="71" spans="1:15" x14ac:dyDescent="0.3">
      <c r="A71" t="s">
        <v>2277</v>
      </c>
      <c r="B71" t="s">
        <v>1796</v>
      </c>
      <c r="C71" t="s">
        <v>1797</v>
      </c>
      <c r="D71">
        <v>1</v>
      </c>
      <c r="E71" t="s">
        <v>1447</v>
      </c>
      <c r="F71" t="s">
        <v>1798</v>
      </c>
      <c r="G71" t="s">
        <v>1748</v>
      </c>
      <c r="H71" t="s">
        <v>2279</v>
      </c>
      <c r="I71">
        <v>57</v>
      </c>
      <c r="J71" t="s">
        <v>2279</v>
      </c>
      <c r="K71" t="s">
        <v>2279</v>
      </c>
      <c r="L71" t="s">
        <v>2279</v>
      </c>
      <c r="M71" t="s">
        <v>2279</v>
      </c>
      <c r="N71" t="s">
        <v>2279</v>
      </c>
      <c r="O71" s="190" t="str">
        <f>"["&amp;$C71&amp;"]["&amp;$D71&amp;"]["&amp;$F71&amp;"]"</f>
        <v>[S03_EmittingInstallations][1][NumberOfInstallations]</v>
      </c>
    </row>
    <row r="72" spans="1:15" x14ac:dyDescent="0.3">
      <c r="A72" t="s">
        <v>2277</v>
      </c>
      <c r="B72" t="s">
        <v>1796</v>
      </c>
      <c r="C72" t="s">
        <v>1797</v>
      </c>
      <c r="D72">
        <v>2</v>
      </c>
      <c r="E72" t="s">
        <v>1447</v>
      </c>
      <c r="F72" t="s">
        <v>1798</v>
      </c>
      <c r="G72" t="s">
        <v>1748</v>
      </c>
      <c r="H72" t="s">
        <v>2279</v>
      </c>
      <c r="I72">
        <v>54</v>
      </c>
      <c r="J72" t="s">
        <v>2279</v>
      </c>
      <c r="K72" t="s">
        <v>2279</v>
      </c>
      <c r="L72" t="s">
        <v>2279</v>
      </c>
      <c r="M72" t="s">
        <v>2279</v>
      </c>
      <c r="N72" t="s">
        <v>2279</v>
      </c>
      <c r="O72" s="190" t="str">
        <f>"["&amp;$C72&amp;"]["&amp;$D72&amp;"]["&amp;$F72&amp;"]"</f>
        <v>[S03_EmittingInstallations][2][NumberOfInstallations]</v>
      </c>
    </row>
    <row r="73" spans="1:15" x14ac:dyDescent="0.3">
      <c r="A73" t="s">
        <v>2277</v>
      </c>
      <c r="B73" t="s">
        <v>1796</v>
      </c>
      <c r="C73" t="s">
        <v>1797</v>
      </c>
      <c r="D73">
        <v>3</v>
      </c>
      <c r="E73" t="s">
        <v>1447</v>
      </c>
      <c r="F73" t="s">
        <v>1798</v>
      </c>
      <c r="G73" t="s">
        <v>1748</v>
      </c>
      <c r="H73" t="s">
        <v>2279</v>
      </c>
      <c r="I73">
        <v>1</v>
      </c>
      <c r="J73" t="s">
        <v>2279</v>
      </c>
      <c r="K73" t="s">
        <v>2279</v>
      </c>
      <c r="L73" t="s">
        <v>2279</v>
      </c>
      <c r="M73" t="s">
        <v>2279</v>
      </c>
      <c r="N73" t="s">
        <v>2279</v>
      </c>
      <c r="O73" s="190" t="str">
        <f>"["&amp;$C73&amp;"]["&amp;$D73&amp;"]["&amp;$F73&amp;"]"</f>
        <v>[S03_EmittingInstallations][3][NumberOfInstallations]</v>
      </c>
    </row>
    <row r="74" spans="1:15" x14ac:dyDescent="0.3">
      <c r="A74" t="s">
        <v>2277</v>
      </c>
      <c r="B74" t="s">
        <v>1796</v>
      </c>
      <c r="C74" t="s">
        <v>1797</v>
      </c>
      <c r="D74">
        <v>4</v>
      </c>
      <c r="E74" t="s">
        <v>1447</v>
      </c>
      <c r="F74" t="s">
        <v>1798</v>
      </c>
      <c r="G74" t="s">
        <v>1748</v>
      </c>
      <c r="H74" t="s">
        <v>2279</v>
      </c>
      <c r="I74">
        <v>2</v>
      </c>
      <c r="J74" t="s">
        <v>2279</v>
      </c>
      <c r="K74" t="s">
        <v>2279</v>
      </c>
      <c r="L74" t="s">
        <v>2279</v>
      </c>
      <c r="M74" t="s">
        <v>2279</v>
      </c>
      <c r="N74" t="s">
        <v>2279</v>
      </c>
      <c r="O74" s="190" t="str">
        <f>"["&amp;$C74&amp;"]["&amp;$D74&amp;"]["&amp;$F74&amp;"]"</f>
        <v>[S03_EmittingInstallations][4][NumberOfInstallations]</v>
      </c>
    </row>
    <row r="75" spans="1:15" x14ac:dyDescent="0.3">
      <c r="A75" t="s">
        <v>2277</v>
      </c>
      <c r="B75" t="s">
        <v>1796</v>
      </c>
      <c r="C75" t="s">
        <v>1797</v>
      </c>
      <c r="D75">
        <v>5</v>
      </c>
      <c r="E75" t="s">
        <v>1447</v>
      </c>
      <c r="F75" t="s">
        <v>1798</v>
      </c>
      <c r="G75" t="s">
        <v>1748</v>
      </c>
      <c r="H75" t="s">
        <v>2279</v>
      </c>
      <c r="I75">
        <v>48</v>
      </c>
      <c r="J75" t="s">
        <v>2279</v>
      </c>
      <c r="K75" t="s">
        <v>2279</v>
      </c>
      <c r="L75" t="s">
        <v>2279</v>
      </c>
      <c r="M75" t="s">
        <v>2279</v>
      </c>
      <c r="N75" t="s">
        <v>2279</v>
      </c>
      <c r="O75" s="190" t="str">
        <f>"["&amp;$C75&amp;"]["&amp;$D75&amp;"]["&amp;$F75&amp;"]"</f>
        <v>[S03_EmittingInstallations][5][NumberOfInstallations]</v>
      </c>
    </row>
    <row r="76" spans="1:15" x14ac:dyDescent="0.3">
      <c r="A76" t="s">
        <v>2277</v>
      </c>
      <c r="B76" t="s">
        <v>1796</v>
      </c>
      <c r="C76" t="s">
        <v>1799</v>
      </c>
      <c r="D76">
        <v>1</v>
      </c>
      <c r="E76" t="s">
        <v>1447</v>
      </c>
      <c r="F76" t="s">
        <v>1800</v>
      </c>
      <c r="G76" t="s">
        <v>1759</v>
      </c>
      <c r="H76" t="s">
        <v>2279</v>
      </c>
      <c r="I76" t="s">
        <v>2279</v>
      </c>
      <c r="J76" t="s">
        <v>2279</v>
      </c>
      <c r="K76" t="s">
        <v>2279</v>
      </c>
      <c r="L76" t="s">
        <v>1419</v>
      </c>
      <c r="M76" t="s">
        <v>2279</v>
      </c>
      <c r="N76" t="s">
        <v>2279</v>
      </c>
      <c r="O76" s="190" t="str">
        <f>"["&amp;$C76&amp;"]["&amp;$D76&amp;"]["&amp;$F76&amp;"]"</f>
        <v>[S03_ActivityPermits][1][ActivityPermitsIssued]</v>
      </c>
    </row>
    <row r="77" spans="1:15" x14ac:dyDescent="0.3">
      <c r="A77" t="s">
        <v>2277</v>
      </c>
      <c r="B77" t="s">
        <v>1796</v>
      </c>
      <c r="C77" t="s">
        <v>1799</v>
      </c>
      <c r="D77">
        <v>2</v>
      </c>
      <c r="E77" t="s">
        <v>1447</v>
      </c>
      <c r="F77" t="s">
        <v>1800</v>
      </c>
      <c r="G77" t="s">
        <v>1759</v>
      </c>
      <c r="H77" t="s">
        <v>2279</v>
      </c>
      <c r="I77" t="s">
        <v>2279</v>
      </c>
      <c r="J77" t="s">
        <v>2279</v>
      </c>
      <c r="K77" t="s">
        <v>2279</v>
      </c>
      <c r="L77" t="s">
        <v>1447</v>
      </c>
      <c r="M77" t="s">
        <v>2279</v>
      </c>
      <c r="N77" t="s">
        <v>2279</v>
      </c>
      <c r="O77" s="190" t="str">
        <f>"["&amp;$C77&amp;"]["&amp;$D77&amp;"]["&amp;$F77&amp;"]"</f>
        <v>[S03_ActivityPermits][2][ActivityPermitsIssued]</v>
      </c>
    </row>
    <row r="78" spans="1:15" x14ac:dyDescent="0.3">
      <c r="A78" t="s">
        <v>2277</v>
      </c>
      <c r="B78" t="s">
        <v>1796</v>
      </c>
      <c r="C78" t="s">
        <v>1799</v>
      </c>
      <c r="D78">
        <v>3</v>
      </c>
      <c r="E78" t="s">
        <v>1447</v>
      </c>
      <c r="F78" t="s">
        <v>1800</v>
      </c>
      <c r="G78" t="s">
        <v>1759</v>
      </c>
      <c r="H78" t="s">
        <v>2279</v>
      </c>
      <c r="I78" t="s">
        <v>2279</v>
      </c>
      <c r="J78" t="s">
        <v>2279</v>
      </c>
      <c r="K78" t="s">
        <v>2279</v>
      </c>
      <c r="L78" t="s">
        <v>1447</v>
      </c>
      <c r="M78" t="s">
        <v>2279</v>
      </c>
      <c r="N78" t="s">
        <v>2279</v>
      </c>
      <c r="O78" s="190" t="str">
        <f>"["&amp;$C78&amp;"]["&amp;$D78&amp;"]["&amp;$F78&amp;"]"</f>
        <v>[S03_ActivityPermits][3][ActivityPermitsIssued]</v>
      </c>
    </row>
    <row r="79" spans="1:15" x14ac:dyDescent="0.3">
      <c r="A79" t="s">
        <v>2277</v>
      </c>
      <c r="B79" t="s">
        <v>1796</v>
      </c>
      <c r="C79" t="s">
        <v>1799</v>
      </c>
      <c r="D79">
        <v>4</v>
      </c>
      <c r="E79" t="s">
        <v>1447</v>
      </c>
      <c r="F79" t="s">
        <v>1800</v>
      </c>
      <c r="G79" t="s">
        <v>1759</v>
      </c>
      <c r="H79" t="s">
        <v>2279</v>
      </c>
      <c r="I79" t="s">
        <v>2279</v>
      </c>
      <c r="J79" t="s">
        <v>2279</v>
      </c>
      <c r="K79" t="s">
        <v>2279</v>
      </c>
      <c r="L79" t="s">
        <v>1447</v>
      </c>
      <c r="M79" t="s">
        <v>2279</v>
      </c>
      <c r="N79" t="s">
        <v>2279</v>
      </c>
      <c r="O79" s="190" t="str">
        <f>"["&amp;$C79&amp;"]["&amp;$D79&amp;"]["&amp;$F79&amp;"]"</f>
        <v>[S03_ActivityPermits][4][ActivityPermitsIssued]</v>
      </c>
    </row>
    <row r="80" spans="1:15" x14ac:dyDescent="0.3">
      <c r="A80" t="s">
        <v>2277</v>
      </c>
      <c r="B80" t="s">
        <v>1796</v>
      </c>
      <c r="C80" t="s">
        <v>1799</v>
      </c>
      <c r="D80">
        <v>5</v>
      </c>
      <c r="E80" t="s">
        <v>1447</v>
      </c>
      <c r="F80" t="s">
        <v>1800</v>
      </c>
      <c r="G80" t="s">
        <v>1759</v>
      </c>
      <c r="H80" t="s">
        <v>2279</v>
      </c>
      <c r="I80" t="s">
        <v>2279</v>
      </c>
      <c r="J80" t="s">
        <v>2279</v>
      </c>
      <c r="K80" t="s">
        <v>2279</v>
      </c>
      <c r="L80" t="s">
        <v>1419</v>
      </c>
      <c r="M80" t="s">
        <v>2279</v>
      </c>
      <c r="N80" t="s">
        <v>2279</v>
      </c>
      <c r="O80" s="190" t="str">
        <f>"["&amp;$C80&amp;"]["&amp;$D80&amp;"]["&amp;$F80&amp;"]"</f>
        <v>[S03_ActivityPermits][5][ActivityPermitsIssued]</v>
      </c>
    </row>
    <row r="81" spans="1:15" x14ac:dyDescent="0.3">
      <c r="A81" t="s">
        <v>2277</v>
      </c>
      <c r="B81" t="s">
        <v>1796</v>
      </c>
      <c r="C81" t="s">
        <v>1799</v>
      </c>
      <c r="D81">
        <v>6</v>
      </c>
      <c r="E81" t="s">
        <v>1447</v>
      </c>
      <c r="F81" t="s">
        <v>1800</v>
      </c>
      <c r="G81" t="s">
        <v>1759</v>
      </c>
      <c r="H81" t="s">
        <v>2279</v>
      </c>
      <c r="I81" t="s">
        <v>2279</v>
      </c>
      <c r="J81" t="s">
        <v>2279</v>
      </c>
      <c r="K81" t="s">
        <v>2279</v>
      </c>
      <c r="L81" t="s">
        <v>1419</v>
      </c>
      <c r="M81" t="s">
        <v>2279</v>
      </c>
      <c r="N81" t="s">
        <v>2279</v>
      </c>
      <c r="O81" s="190" t="str">
        <f>"["&amp;$C81&amp;"]["&amp;$D81&amp;"]["&amp;$F81&amp;"]"</f>
        <v>[S03_ActivityPermits][6][ActivityPermitsIssued]</v>
      </c>
    </row>
    <row r="82" spans="1:15" x14ac:dyDescent="0.3">
      <c r="A82" t="s">
        <v>2277</v>
      </c>
      <c r="B82" t="s">
        <v>1796</v>
      </c>
      <c r="C82" t="s">
        <v>1799</v>
      </c>
      <c r="D82">
        <v>7</v>
      </c>
      <c r="E82" t="s">
        <v>1447</v>
      </c>
      <c r="F82" t="s">
        <v>1800</v>
      </c>
      <c r="G82" t="s">
        <v>1759</v>
      </c>
      <c r="H82" t="s">
        <v>2279</v>
      </c>
      <c r="I82" t="s">
        <v>2279</v>
      </c>
      <c r="J82" t="s">
        <v>2279</v>
      </c>
      <c r="K82" t="s">
        <v>2279</v>
      </c>
      <c r="L82" t="s">
        <v>1447</v>
      </c>
      <c r="M82" t="s">
        <v>2279</v>
      </c>
      <c r="N82" t="s">
        <v>2279</v>
      </c>
      <c r="O82" s="190" t="str">
        <f>"["&amp;$C82&amp;"]["&amp;$D82&amp;"]["&amp;$F82&amp;"]"</f>
        <v>[S03_ActivityPermits][7][ActivityPermitsIssued]</v>
      </c>
    </row>
    <row r="83" spans="1:15" x14ac:dyDescent="0.3">
      <c r="A83" t="s">
        <v>2277</v>
      </c>
      <c r="B83" t="s">
        <v>1796</v>
      </c>
      <c r="C83" t="s">
        <v>1799</v>
      </c>
      <c r="D83">
        <v>8</v>
      </c>
      <c r="E83" t="s">
        <v>1447</v>
      </c>
      <c r="F83" t="s">
        <v>1800</v>
      </c>
      <c r="G83" t="s">
        <v>1759</v>
      </c>
      <c r="H83" t="s">
        <v>2279</v>
      </c>
      <c r="I83" t="s">
        <v>2279</v>
      </c>
      <c r="J83" t="s">
        <v>2279</v>
      </c>
      <c r="K83" t="s">
        <v>2279</v>
      </c>
      <c r="L83" t="s">
        <v>1447</v>
      </c>
      <c r="M83" t="s">
        <v>2279</v>
      </c>
      <c r="N83" t="s">
        <v>2279</v>
      </c>
      <c r="O83" s="190" t="str">
        <f>"["&amp;$C83&amp;"]["&amp;$D83&amp;"]["&amp;$F83&amp;"]"</f>
        <v>[S03_ActivityPermits][8][ActivityPermitsIssued]</v>
      </c>
    </row>
    <row r="84" spans="1:15" x14ac:dyDescent="0.3">
      <c r="A84" t="s">
        <v>2277</v>
      </c>
      <c r="B84" t="s">
        <v>1796</v>
      </c>
      <c r="C84" t="s">
        <v>1799</v>
      </c>
      <c r="D84">
        <v>9</v>
      </c>
      <c r="E84" t="s">
        <v>1447</v>
      </c>
      <c r="F84" t="s">
        <v>1800</v>
      </c>
      <c r="G84" t="s">
        <v>1759</v>
      </c>
      <c r="H84" t="s">
        <v>2279</v>
      </c>
      <c r="I84" t="s">
        <v>2279</v>
      </c>
      <c r="J84" t="s">
        <v>2279</v>
      </c>
      <c r="K84" t="s">
        <v>2279</v>
      </c>
      <c r="L84" t="s">
        <v>1447</v>
      </c>
      <c r="M84" t="s">
        <v>2279</v>
      </c>
      <c r="N84" t="s">
        <v>2279</v>
      </c>
      <c r="O84" s="190" t="str">
        <f>"["&amp;$C84&amp;"]["&amp;$D84&amp;"]["&amp;$F84&amp;"]"</f>
        <v>[S03_ActivityPermits][9][ActivityPermitsIssued]</v>
      </c>
    </row>
    <row r="85" spans="1:15" x14ac:dyDescent="0.3">
      <c r="A85" t="s">
        <v>2277</v>
      </c>
      <c r="B85" t="s">
        <v>1796</v>
      </c>
      <c r="C85" t="s">
        <v>1799</v>
      </c>
      <c r="D85">
        <v>10</v>
      </c>
      <c r="E85" t="s">
        <v>1447</v>
      </c>
      <c r="F85" t="s">
        <v>1800</v>
      </c>
      <c r="G85" t="s">
        <v>1759</v>
      </c>
      <c r="H85" t="s">
        <v>2279</v>
      </c>
      <c r="I85" t="s">
        <v>2279</v>
      </c>
      <c r="J85" t="s">
        <v>2279</v>
      </c>
      <c r="K85" t="s">
        <v>2279</v>
      </c>
      <c r="L85" t="s">
        <v>1419</v>
      </c>
      <c r="M85" t="s">
        <v>2279</v>
      </c>
      <c r="N85" t="s">
        <v>2279</v>
      </c>
      <c r="O85" s="190" t="str">
        <f>"["&amp;$C85&amp;"]["&amp;$D85&amp;"]["&amp;$F85&amp;"]"</f>
        <v>[S03_ActivityPermits][10][ActivityPermitsIssued]</v>
      </c>
    </row>
    <row r="86" spans="1:15" x14ac:dyDescent="0.3">
      <c r="A86" t="s">
        <v>2277</v>
      </c>
      <c r="B86" t="s">
        <v>1796</v>
      </c>
      <c r="C86" t="s">
        <v>1799</v>
      </c>
      <c r="D86">
        <v>11</v>
      </c>
      <c r="E86" t="s">
        <v>1447</v>
      </c>
      <c r="F86" t="s">
        <v>1800</v>
      </c>
      <c r="G86" t="s">
        <v>1759</v>
      </c>
      <c r="H86" t="s">
        <v>2279</v>
      </c>
      <c r="I86" t="s">
        <v>2279</v>
      </c>
      <c r="J86" t="s">
        <v>2279</v>
      </c>
      <c r="K86" t="s">
        <v>2279</v>
      </c>
      <c r="L86" t="s">
        <v>1419</v>
      </c>
      <c r="M86" t="s">
        <v>2279</v>
      </c>
      <c r="N86" t="s">
        <v>2279</v>
      </c>
      <c r="O86" s="190" t="str">
        <f>"["&amp;$C86&amp;"]["&amp;$D86&amp;"]["&amp;$F86&amp;"]"</f>
        <v>[S03_ActivityPermits][11][ActivityPermitsIssued]</v>
      </c>
    </row>
    <row r="87" spans="1:15" x14ac:dyDescent="0.3">
      <c r="A87" t="s">
        <v>2277</v>
      </c>
      <c r="B87" t="s">
        <v>1796</v>
      </c>
      <c r="C87" t="s">
        <v>1799</v>
      </c>
      <c r="D87">
        <v>12</v>
      </c>
      <c r="E87" t="s">
        <v>1447</v>
      </c>
      <c r="F87" t="s">
        <v>1800</v>
      </c>
      <c r="G87" t="s">
        <v>1759</v>
      </c>
      <c r="H87" t="s">
        <v>2279</v>
      </c>
      <c r="I87" t="s">
        <v>2279</v>
      </c>
      <c r="J87" t="s">
        <v>2279</v>
      </c>
      <c r="K87" t="s">
        <v>2279</v>
      </c>
      <c r="L87" t="s">
        <v>1419</v>
      </c>
      <c r="M87" t="s">
        <v>2279</v>
      </c>
      <c r="N87" t="s">
        <v>2279</v>
      </c>
      <c r="O87" s="190" t="str">
        <f>"["&amp;$C87&amp;"]["&amp;$D87&amp;"]["&amp;$F87&amp;"]"</f>
        <v>[S03_ActivityPermits][12][ActivityPermitsIssued]</v>
      </c>
    </row>
    <row r="88" spans="1:15" x14ac:dyDescent="0.3">
      <c r="A88" t="s">
        <v>2277</v>
      </c>
      <c r="B88" t="s">
        <v>1796</v>
      </c>
      <c r="C88" t="s">
        <v>1799</v>
      </c>
      <c r="D88">
        <v>13</v>
      </c>
      <c r="E88" t="s">
        <v>1447</v>
      </c>
      <c r="F88" t="s">
        <v>1800</v>
      </c>
      <c r="G88" t="s">
        <v>1759</v>
      </c>
      <c r="H88" t="s">
        <v>2279</v>
      </c>
      <c r="I88" t="s">
        <v>2279</v>
      </c>
      <c r="J88" t="s">
        <v>2279</v>
      </c>
      <c r="K88" t="s">
        <v>2279</v>
      </c>
      <c r="L88" t="s">
        <v>1419</v>
      </c>
      <c r="M88" t="s">
        <v>2279</v>
      </c>
      <c r="N88" t="s">
        <v>2279</v>
      </c>
      <c r="O88" s="190" t="str">
        <f>"["&amp;$C88&amp;"]["&amp;$D88&amp;"]["&amp;$F88&amp;"]"</f>
        <v>[S03_ActivityPermits][13][ActivityPermitsIssued]</v>
      </c>
    </row>
    <row r="89" spans="1:15" x14ac:dyDescent="0.3">
      <c r="A89" t="s">
        <v>2277</v>
      </c>
      <c r="B89" t="s">
        <v>1796</v>
      </c>
      <c r="C89" t="s">
        <v>1799</v>
      </c>
      <c r="D89">
        <v>14</v>
      </c>
      <c r="E89" t="s">
        <v>1447</v>
      </c>
      <c r="F89" t="s">
        <v>1800</v>
      </c>
      <c r="G89" t="s">
        <v>1759</v>
      </c>
      <c r="H89" t="s">
        <v>2279</v>
      </c>
      <c r="I89" t="s">
        <v>2279</v>
      </c>
      <c r="J89" t="s">
        <v>2279</v>
      </c>
      <c r="K89" t="s">
        <v>2279</v>
      </c>
      <c r="L89" t="s">
        <v>1447</v>
      </c>
      <c r="M89" t="s">
        <v>2279</v>
      </c>
      <c r="N89" t="s">
        <v>2279</v>
      </c>
      <c r="O89" s="190" t="str">
        <f>"["&amp;$C89&amp;"]["&amp;$D89&amp;"]["&amp;$F89&amp;"]"</f>
        <v>[S03_ActivityPermits][14][ActivityPermitsIssued]</v>
      </c>
    </row>
    <row r="90" spans="1:15" x14ac:dyDescent="0.3">
      <c r="A90" t="s">
        <v>2277</v>
      </c>
      <c r="B90" t="s">
        <v>1796</v>
      </c>
      <c r="C90" t="s">
        <v>1799</v>
      </c>
      <c r="D90">
        <v>15</v>
      </c>
      <c r="E90" t="s">
        <v>1447</v>
      </c>
      <c r="F90" t="s">
        <v>1800</v>
      </c>
      <c r="G90" t="s">
        <v>1759</v>
      </c>
      <c r="H90" t="s">
        <v>2279</v>
      </c>
      <c r="I90" t="s">
        <v>2279</v>
      </c>
      <c r="J90" t="s">
        <v>2279</v>
      </c>
      <c r="K90" t="s">
        <v>2279</v>
      </c>
      <c r="L90" t="s">
        <v>1419</v>
      </c>
      <c r="M90" t="s">
        <v>2279</v>
      </c>
      <c r="N90" t="s">
        <v>2279</v>
      </c>
      <c r="O90" s="190" t="str">
        <f>"["&amp;$C90&amp;"]["&amp;$D90&amp;"]["&amp;$F90&amp;"]"</f>
        <v>[S03_ActivityPermits][15][ActivityPermitsIssued]</v>
      </c>
    </row>
    <row r="91" spans="1:15" x14ac:dyDescent="0.3">
      <c r="A91" t="s">
        <v>2277</v>
      </c>
      <c r="B91" t="s">
        <v>1796</v>
      </c>
      <c r="C91" t="s">
        <v>1799</v>
      </c>
      <c r="D91">
        <v>16</v>
      </c>
      <c r="E91" t="s">
        <v>1447</v>
      </c>
      <c r="F91" t="s">
        <v>1800</v>
      </c>
      <c r="G91" t="s">
        <v>1759</v>
      </c>
      <c r="H91" t="s">
        <v>2279</v>
      </c>
      <c r="I91" t="s">
        <v>2279</v>
      </c>
      <c r="J91" t="s">
        <v>2279</v>
      </c>
      <c r="K91" t="s">
        <v>2279</v>
      </c>
      <c r="L91" t="s">
        <v>1419</v>
      </c>
      <c r="M91" t="s">
        <v>2279</v>
      </c>
      <c r="N91" t="s">
        <v>2279</v>
      </c>
      <c r="O91" s="190" t="str">
        <f>"["&amp;$C91&amp;"]["&amp;$D91&amp;"]["&amp;$F91&amp;"]"</f>
        <v>[S03_ActivityPermits][16][ActivityPermitsIssued]</v>
      </c>
    </row>
    <row r="92" spans="1:15" x14ac:dyDescent="0.3">
      <c r="A92" t="s">
        <v>2277</v>
      </c>
      <c r="B92" t="s">
        <v>1796</v>
      </c>
      <c r="C92" t="s">
        <v>1799</v>
      </c>
      <c r="D92">
        <v>17</v>
      </c>
      <c r="E92" t="s">
        <v>1447</v>
      </c>
      <c r="F92" t="s">
        <v>1800</v>
      </c>
      <c r="G92" t="s">
        <v>1759</v>
      </c>
      <c r="H92" t="s">
        <v>2279</v>
      </c>
      <c r="I92" t="s">
        <v>2279</v>
      </c>
      <c r="J92" t="s">
        <v>2279</v>
      </c>
      <c r="K92" t="s">
        <v>2279</v>
      </c>
      <c r="L92" t="s">
        <v>1419</v>
      </c>
      <c r="M92" t="s">
        <v>2279</v>
      </c>
      <c r="N92" t="s">
        <v>2279</v>
      </c>
      <c r="O92" s="190" t="str">
        <f>"["&amp;$C92&amp;"]["&amp;$D92&amp;"]["&amp;$F92&amp;"]"</f>
        <v>[S03_ActivityPermits][17][ActivityPermitsIssued]</v>
      </c>
    </row>
    <row r="93" spans="1:15" x14ac:dyDescent="0.3">
      <c r="A93" t="s">
        <v>2277</v>
      </c>
      <c r="B93" t="s">
        <v>1796</v>
      </c>
      <c r="C93" t="s">
        <v>1799</v>
      </c>
      <c r="D93">
        <v>18</v>
      </c>
      <c r="E93" t="s">
        <v>1447</v>
      </c>
      <c r="F93" t="s">
        <v>1800</v>
      </c>
      <c r="G93" t="s">
        <v>1759</v>
      </c>
      <c r="H93" t="s">
        <v>2279</v>
      </c>
      <c r="I93" t="s">
        <v>2279</v>
      </c>
      <c r="J93" t="s">
        <v>2279</v>
      </c>
      <c r="K93" t="s">
        <v>2279</v>
      </c>
      <c r="L93" t="s">
        <v>1447</v>
      </c>
      <c r="M93" t="s">
        <v>2279</v>
      </c>
      <c r="N93" t="s">
        <v>2279</v>
      </c>
      <c r="O93" s="190" t="str">
        <f>"["&amp;$C93&amp;"]["&amp;$D93&amp;"]["&amp;$F93&amp;"]"</f>
        <v>[S03_ActivityPermits][18][ActivityPermitsIssued]</v>
      </c>
    </row>
    <row r="94" spans="1:15" x14ac:dyDescent="0.3">
      <c r="A94" t="s">
        <v>2277</v>
      </c>
      <c r="B94" t="s">
        <v>1796</v>
      </c>
      <c r="C94" t="s">
        <v>1799</v>
      </c>
      <c r="D94">
        <v>19</v>
      </c>
      <c r="E94" t="s">
        <v>1447</v>
      </c>
      <c r="F94" t="s">
        <v>1800</v>
      </c>
      <c r="G94" t="s">
        <v>1759</v>
      </c>
      <c r="H94" t="s">
        <v>2279</v>
      </c>
      <c r="I94" t="s">
        <v>2279</v>
      </c>
      <c r="J94" t="s">
        <v>2279</v>
      </c>
      <c r="K94" t="s">
        <v>2279</v>
      </c>
      <c r="L94" t="s">
        <v>1447</v>
      </c>
      <c r="M94" t="s">
        <v>2279</v>
      </c>
      <c r="N94" t="s">
        <v>2279</v>
      </c>
      <c r="O94" s="190" t="str">
        <f>"["&amp;$C94&amp;"]["&amp;$D94&amp;"]["&amp;$F94&amp;"]"</f>
        <v>[S03_ActivityPermits][19][ActivityPermitsIssued]</v>
      </c>
    </row>
    <row r="95" spans="1:15" x14ac:dyDescent="0.3">
      <c r="A95" t="s">
        <v>2277</v>
      </c>
      <c r="B95" t="s">
        <v>1796</v>
      </c>
      <c r="C95" t="s">
        <v>1799</v>
      </c>
      <c r="D95">
        <v>20</v>
      </c>
      <c r="E95" t="s">
        <v>1447</v>
      </c>
      <c r="F95" t="s">
        <v>1800</v>
      </c>
      <c r="G95" t="s">
        <v>1759</v>
      </c>
      <c r="H95" t="s">
        <v>2279</v>
      </c>
      <c r="I95" t="s">
        <v>2279</v>
      </c>
      <c r="J95" t="s">
        <v>2279</v>
      </c>
      <c r="K95" t="s">
        <v>2279</v>
      </c>
      <c r="L95" t="s">
        <v>1447</v>
      </c>
      <c r="M95" t="s">
        <v>2279</v>
      </c>
      <c r="N95" t="s">
        <v>2279</v>
      </c>
      <c r="O95" s="190" t="str">
        <f>"["&amp;$C95&amp;"]["&amp;$D95&amp;"]["&amp;$F95&amp;"]"</f>
        <v>[S03_ActivityPermits][20][ActivityPermitsIssued]</v>
      </c>
    </row>
    <row r="96" spans="1:15" x14ac:dyDescent="0.3">
      <c r="A96" t="s">
        <v>2277</v>
      </c>
      <c r="B96" t="s">
        <v>1796</v>
      </c>
      <c r="C96" t="s">
        <v>1799</v>
      </c>
      <c r="D96">
        <v>21</v>
      </c>
      <c r="E96" t="s">
        <v>1447</v>
      </c>
      <c r="F96" t="s">
        <v>1800</v>
      </c>
      <c r="G96" t="s">
        <v>1759</v>
      </c>
      <c r="H96" t="s">
        <v>2279</v>
      </c>
      <c r="I96" t="s">
        <v>2279</v>
      </c>
      <c r="J96" t="s">
        <v>2279</v>
      </c>
      <c r="K96" t="s">
        <v>2279</v>
      </c>
      <c r="L96" t="s">
        <v>1447</v>
      </c>
      <c r="M96" t="s">
        <v>2279</v>
      </c>
      <c r="N96" t="s">
        <v>2279</v>
      </c>
      <c r="O96" s="190" t="str">
        <f>"["&amp;$C96&amp;"]["&amp;$D96&amp;"]["&amp;$F96&amp;"]"</f>
        <v>[S03_ActivityPermits][21][ActivityPermitsIssued]</v>
      </c>
    </row>
    <row r="97" spans="1:15" x14ac:dyDescent="0.3">
      <c r="A97" t="s">
        <v>2277</v>
      </c>
      <c r="B97" t="s">
        <v>1796</v>
      </c>
      <c r="C97" t="s">
        <v>1799</v>
      </c>
      <c r="D97">
        <v>22</v>
      </c>
      <c r="E97" t="s">
        <v>1447</v>
      </c>
      <c r="F97" t="s">
        <v>1800</v>
      </c>
      <c r="G97" t="s">
        <v>1759</v>
      </c>
      <c r="H97" t="s">
        <v>2279</v>
      </c>
      <c r="I97" t="s">
        <v>2279</v>
      </c>
      <c r="J97" t="s">
        <v>2279</v>
      </c>
      <c r="K97" t="s">
        <v>2279</v>
      </c>
      <c r="L97" t="s">
        <v>1447</v>
      </c>
      <c r="M97" t="s">
        <v>2279</v>
      </c>
      <c r="N97" t="s">
        <v>2279</v>
      </c>
      <c r="O97" s="190" t="str">
        <f>"["&amp;$C97&amp;"]["&amp;$D97&amp;"]["&amp;$F97&amp;"]"</f>
        <v>[S03_ActivityPermits][22][ActivityPermitsIssued]</v>
      </c>
    </row>
    <row r="98" spans="1:15" x14ac:dyDescent="0.3">
      <c r="A98" t="s">
        <v>2277</v>
      </c>
      <c r="B98" t="s">
        <v>1796</v>
      </c>
      <c r="C98" t="s">
        <v>1799</v>
      </c>
      <c r="D98">
        <v>23</v>
      </c>
      <c r="E98" t="s">
        <v>1447</v>
      </c>
      <c r="F98" t="s">
        <v>1800</v>
      </c>
      <c r="G98" t="s">
        <v>1759</v>
      </c>
      <c r="H98" t="s">
        <v>2279</v>
      </c>
      <c r="I98" t="s">
        <v>2279</v>
      </c>
      <c r="J98" t="s">
        <v>2279</v>
      </c>
      <c r="K98" t="s">
        <v>2279</v>
      </c>
      <c r="L98" t="s">
        <v>1447</v>
      </c>
      <c r="M98" t="s">
        <v>2279</v>
      </c>
      <c r="N98" t="s">
        <v>2279</v>
      </c>
      <c r="O98" s="190" t="str">
        <f>"["&amp;$C98&amp;"]["&amp;$D98&amp;"]["&amp;$F98&amp;"]"</f>
        <v>[S03_ActivityPermits][23][ActivityPermitsIssued]</v>
      </c>
    </row>
    <row r="99" spans="1:15" x14ac:dyDescent="0.3">
      <c r="A99" t="s">
        <v>2277</v>
      </c>
      <c r="B99" t="s">
        <v>1796</v>
      </c>
      <c r="C99" t="s">
        <v>1799</v>
      </c>
      <c r="D99">
        <v>24</v>
      </c>
      <c r="E99" t="s">
        <v>1447</v>
      </c>
      <c r="F99" t="s">
        <v>1800</v>
      </c>
      <c r="G99" t="s">
        <v>1759</v>
      </c>
      <c r="H99" t="s">
        <v>2279</v>
      </c>
      <c r="I99" t="s">
        <v>2279</v>
      </c>
      <c r="J99" t="s">
        <v>2279</v>
      </c>
      <c r="K99" t="s">
        <v>2279</v>
      </c>
      <c r="L99" t="s">
        <v>1447</v>
      </c>
      <c r="M99" t="s">
        <v>2279</v>
      </c>
      <c r="N99" t="s">
        <v>2279</v>
      </c>
      <c r="O99" s="190" t="str">
        <f>"["&amp;$C99&amp;"]["&amp;$D99&amp;"]["&amp;$F99&amp;"]"</f>
        <v>[S03_ActivityPermits][24][ActivityPermitsIssued]</v>
      </c>
    </row>
    <row r="100" spans="1:15" x14ac:dyDescent="0.3">
      <c r="A100" t="s">
        <v>2277</v>
      </c>
      <c r="B100" t="s">
        <v>1796</v>
      </c>
      <c r="C100" t="s">
        <v>1799</v>
      </c>
      <c r="D100">
        <v>25</v>
      </c>
      <c r="E100" t="s">
        <v>1447</v>
      </c>
      <c r="F100" t="s">
        <v>1800</v>
      </c>
      <c r="G100" t="s">
        <v>1759</v>
      </c>
      <c r="H100" t="s">
        <v>2279</v>
      </c>
      <c r="I100" t="s">
        <v>2279</v>
      </c>
      <c r="J100" t="s">
        <v>2279</v>
      </c>
      <c r="K100" t="s">
        <v>2279</v>
      </c>
      <c r="L100" t="s">
        <v>1447</v>
      </c>
      <c r="M100" t="s">
        <v>2279</v>
      </c>
      <c r="N100" t="s">
        <v>2279</v>
      </c>
      <c r="O100" s="190" t="str">
        <f>"["&amp;$C100&amp;"]["&amp;$D100&amp;"]["&amp;$F100&amp;"]"</f>
        <v>[S03_ActivityPermits][25][ActivityPermitsIssued]</v>
      </c>
    </row>
    <row r="101" spans="1:15" x14ac:dyDescent="0.3">
      <c r="A101" t="s">
        <v>2277</v>
      </c>
      <c r="B101" t="s">
        <v>1796</v>
      </c>
      <c r="C101" t="s">
        <v>1799</v>
      </c>
      <c r="D101">
        <v>26</v>
      </c>
      <c r="E101" t="s">
        <v>1447</v>
      </c>
      <c r="F101" t="s">
        <v>1800</v>
      </c>
      <c r="G101" t="s">
        <v>1759</v>
      </c>
      <c r="H101" t="s">
        <v>2279</v>
      </c>
      <c r="I101" t="s">
        <v>2279</v>
      </c>
      <c r="J101" t="s">
        <v>2279</v>
      </c>
      <c r="K101" t="s">
        <v>2279</v>
      </c>
      <c r="L101" t="s">
        <v>1447</v>
      </c>
      <c r="M101" t="s">
        <v>2279</v>
      </c>
      <c r="N101" t="s">
        <v>2279</v>
      </c>
      <c r="O101" s="190" t="str">
        <f>"["&amp;$C101&amp;"]["&amp;$D101&amp;"]["&amp;$F101&amp;"]"</f>
        <v>[S03_ActivityPermits][26][ActivityPermitsIssued]</v>
      </c>
    </row>
    <row r="102" spans="1:15" x14ac:dyDescent="0.3">
      <c r="A102" t="s">
        <v>2277</v>
      </c>
      <c r="B102" t="s">
        <v>1796</v>
      </c>
      <c r="C102" t="s">
        <v>1799</v>
      </c>
      <c r="D102">
        <v>27</v>
      </c>
      <c r="E102" t="s">
        <v>1447</v>
      </c>
      <c r="F102" t="s">
        <v>1800</v>
      </c>
      <c r="G102" t="s">
        <v>1759</v>
      </c>
      <c r="H102" t="s">
        <v>2279</v>
      </c>
      <c r="I102" t="s">
        <v>2279</v>
      </c>
      <c r="J102" t="s">
        <v>2279</v>
      </c>
      <c r="K102" t="s">
        <v>2279</v>
      </c>
      <c r="L102" t="s">
        <v>1447</v>
      </c>
      <c r="M102" t="s">
        <v>2279</v>
      </c>
      <c r="N102" t="s">
        <v>2279</v>
      </c>
      <c r="O102" s="190" t="str">
        <f>"["&amp;$C102&amp;"]["&amp;$D102&amp;"]["&amp;$F102&amp;"]"</f>
        <v>[S03_ActivityPermits][27][ActivityPermitsIssued]</v>
      </c>
    </row>
    <row r="103" spans="1:15" x14ac:dyDescent="0.3">
      <c r="A103" t="s">
        <v>2277</v>
      </c>
      <c r="B103" t="s">
        <v>1796</v>
      </c>
      <c r="C103" t="s">
        <v>1799</v>
      </c>
      <c r="D103">
        <v>28</v>
      </c>
      <c r="E103" t="s">
        <v>1447</v>
      </c>
      <c r="F103" t="s">
        <v>1800</v>
      </c>
      <c r="G103" t="s">
        <v>1759</v>
      </c>
      <c r="H103" t="s">
        <v>2279</v>
      </c>
      <c r="I103" t="s">
        <v>2279</v>
      </c>
      <c r="J103" t="s">
        <v>2279</v>
      </c>
      <c r="K103" t="s">
        <v>2279</v>
      </c>
      <c r="L103" t="s">
        <v>1447</v>
      </c>
      <c r="M103" t="s">
        <v>2279</v>
      </c>
      <c r="N103" t="s">
        <v>2279</v>
      </c>
      <c r="O103" s="190" t="str">
        <f>"["&amp;$C103&amp;"]["&amp;$D103&amp;"]["&amp;$F103&amp;"]"</f>
        <v>[S03_ActivityPermits][28][ActivityPermitsIssued]</v>
      </c>
    </row>
    <row r="104" spans="1:15" x14ac:dyDescent="0.3">
      <c r="A104" t="s">
        <v>2277</v>
      </c>
      <c r="B104" t="s">
        <v>1801</v>
      </c>
      <c r="C104" t="s">
        <v>1802</v>
      </c>
      <c r="D104">
        <v>0</v>
      </c>
      <c r="E104" t="s">
        <v>1447</v>
      </c>
      <c r="F104" t="s">
        <v>1802</v>
      </c>
      <c r="G104" t="s">
        <v>1759</v>
      </c>
      <c r="H104" t="s">
        <v>2279</v>
      </c>
      <c r="I104" t="s">
        <v>2279</v>
      </c>
      <c r="J104" t="s">
        <v>2279</v>
      </c>
      <c r="K104" t="s">
        <v>2279</v>
      </c>
      <c r="L104" t="s">
        <v>1447</v>
      </c>
      <c r="M104" t="s">
        <v>2279</v>
      </c>
      <c r="N104" t="s">
        <v>2279</v>
      </c>
      <c r="O104" s="190" t="str">
        <f>"["&amp;$C104&amp;"]["&amp;$D104&amp;"]["&amp;$F104&amp;"]"</f>
        <v>[InstallationsExcludedArt27][0][InstallationsExcludedArt27]</v>
      </c>
    </row>
    <row r="105" spans="1:15" x14ac:dyDescent="0.3">
      <c r="A105" t="s">
        <v>2277</v>
      </c>
      <c r="B105" t="s">
        <v>1811</v>
      </c>
      <c r="C105" t="s">
        <v>1812</v>
      </c>
      <c r="D105">
        <v>1</v>
      </c>
      <c r="E105" t="s">
        <v>1447</v>
      </c>
      <c r="F105" t="s">
        <v>1813</v>
      </c>
      <c r="G105" t="s">
        <v>1748</v>
      </c>
      <c r="H105" t="s">
        <v>2279</v>
      </c>
      <c r="I105">
        <v>2</v>
      </c>
      <c r="J105" t="s">
        <v>2279</v>
      </c>
      <c r="K105" t="s">
        <v>2279</v>
      </c>
      <c r="L105" t="s">
        <v>2279</v>
      </c>
      <c r="M105" t="s">
        <v>2279</v>
      </c>
      <c r="N105" t="s">
        <v>2279</v>
      </c>
      <c r="O105" s="190" t="str">
        <f>"["&amp;$C105&amp;"]["&amp;$D105&amp;"]["&amp;$F105&amp;"]"</f>
        <v>[S03_AircraftAnnex1Activities][1][NumberCommercialOperators]</v>
      </c>
    </row>
    <row r="106" spans="1:15" x14ac:dyDescent="0.3">
      <c r="A106" t="s">
        <v>2277</v>
      </c>
      <c r="B106" t="s">
        <v>1811</v>
      </c>
      <c r="C106" t="s">
        <v>1812</v>
      </c>
      <c r="D106">
        <v>2</v>
      </c>
      <c r="E106" t="s">
        <v>1447</v>
      </c>
      <c r="F106" t="s">
        <v>1813</v>
      </c>
      <c r="G106" t="s">
        <v>1748</v>
      </c>
      <c r="H106" t="s">
        <v>2279</v>
      </c>
      <c r="I106">
        <v>0</v>
      </c>
      <c r="J106" t="s">
        <v>2279</v>
      </c>
      <c r="K106" t="s">
        <v>2279</v>
      </c>
      <c r="L106" t="s">
        <v>2279</v>
      </c>
      <c r="M106" t="s">
        <v>2279</v>
      </c>
      <c r="N106" t="s">
        <v>2279</v>
      </c>
      <c r="O106" s="190" t="str">
        <f>"["&amp;$C106&amp;"]["&amp;$D106&amp;"]["&amp;$F106&amp;"]"</f>
        <v>[S03_AircraftAnnex1Activities][2][NumberCommercialOperators]</v>
      </c>
    </row>
    <row r="107" spans="1:15" x14ac:dyDescent="0.3">
      <c r="A107" t="s">
        <v>2277</v>
      </c>
      <c r="B107" t="s">
        <v>1811</v>
      </c>
      <c r="C107" t="s">
        <v>1812</v>
      </c>
      <c r="D107">
        <v>3</v>
      </c>
      <c r="E107" t="s">
        <v>1447</v>
      </c>
      <c r="F107" t="s">
        <v>1813</v>
      </c>
      <c r="G107" t="s">
        <v>1748</v>
      </c>
      <c r="H107" t="s">
        <v>2279</v>
      </c>
      <c r="I107">
        <v>2</v>
      </c>
      <c r="J107" t="s">
        <v>2279</v>
      </c>
      <c r="K107" t="s">
        <v>2279</v>
      </c>
      <c r="L107" t="s">
        <v>2279</v>
      </c>
      <c r="M107" t="s">
        <v>2279</v>
      </c>
      <c r="N107" t="s">
        <v>2279</v>
      </c>
      <c r="O107" s="190" t="str">
        <f>"["&amp;$C107&amp;"]["&amp;$D107&amp;"]["&amp;$F107&amp;"]"</f>
        <v>[S03_AircraftAnnex1Activities][3][NumberCommercialOperators]</v>
      </c>
    </row>
    <row r="108" spans="1:15" x14ac:dyDescent="0.3">
      <c r="A108" t="s">
        <v>2277</v>
      </c>
      <c r="B108" t="s">
        <v>1811</v>
      </c>
      <c r="C108" t="s">
        <v>1812</v>
      </c>
      <c r="D108">
        <v>1</v>
      </c>
      <c r="E108" t="s">
        <v>1447</v>
      </c>
      <c r="F108" t="s">
        <v>1815</v>
      </c>
      <c r="G108" t="s">
        <v>1748</v>
      </c>
      <c r="H108" t="s">
        <v>2279</v>
      </c>
      <c r="I108">
        <v>2</v>
      </c>
      <c r="J108" t="s">
        <v>2279</v>
      </c>
      <c r="K108" t="s">
        <v>2279</v>
      </c>
      <c r="L108" t="s">
        <v>2279</v>
      </c>
      <c r="M108" t="s">
        <v>2279</v>
      </c>
      <c r="N108" t="s">
        <v>2279</v>
      </c>
      <c r="O108" s="190" t="str">
        <f>"["&amp;$C108&amp;"]["&amp;$D108&amp;"]["&amp;$F108&amp;"]"</f>
        <v>[S03_AircraftAnnex1Activities][1][NumberTotalOperators]</v>
      </c>
    </row>
    <row r="109" spans="1:15" x14ac:dyDescent="0.3">
      <c r="A109" t="s">
        <v>2277</v>
      </c>
      <c r="B109" t="s">
        <v>1811</v>
      </c>
      <c r="C109" t="s">
        <v>1812</v>
      </c>
      <c r="D109">
        <v>2</v>
      </c>
      <c r="E109" t="s">
        <v>1447</v>
      </c>
      <c r="F109" t="s">
        <v>1815</v>
      </c>
      <c r="G109" t="s">
        <v>1748</v>
      </c>
      <c r="H109" t="s">
        <v>2279</v>
      </c>
      <c r="I109">
        <v>0</v>
      </c>
      <c r="J109" t="s">
        <v>2279</v>
      </c>
      <c r="K109" t="s">
        <v>2279</v>
      </c>
      <c r="L109" t="s">
        <v>2279</v>
      </c>
      <c r="M109" t="s">
        <v>2279</v>
      </c>
      <c r="N109" t="s">
        <v>2279</v>
      </c>
      <c r="O109" s="190" t="str">
        <f>"["&amp;$C109&amp;"]["&amp;$D109&amp;"]["&amp;$F109&amp;"]"</f>
        <v>[S03_AircraftAnnex1Activities][2][NumberTotalOperators]</v>
      </c>
    </row>
    <row r="110" spans="1:15" x14ac:dyDescent="0.3">
      <c r="A110" t="s">
        <v>2277</v>
      </c>
      <c r="B110" t="s">
        <v>1811</v>
      </c>
      <c r="C110" t="s">
        <v>1812</v>
      </c>
      <c r="D110">
        <v>3</v>
      </c>
      <c r="E110" t="s">
        <v>1447</v>
      </c>
      <c r="F110" t="s">
        <v>1815</v>
      </c>
      <c r="G110" t="s">
        <v>1748</v>
      </c>
      <c r="H110" t="s">
        <v>2279</v>
      </c>
      <c r="I110">
        <v>2</v>
      </c>
      <c r="J110" t="s">
        <v>2279</v>
      </c>
      <c r="K110" t="s">
        <v>2279</v>
      </c>
      <c r="L110" t="s">
        <v>2279</v>
      </c>
      <c r="M110" t="s">
        <v>2279</v>
      </c>
      <c r="N110" t="s">
        <v>2279</v>
      </c>
      <c r="O110" s="190" t="str">
        <f>"["&amp;$C110&amp;"]["&amp;$D110&amp;"]["&amp;$F110&amp;"]"</f>
        <v>[S03_AircraftAnnex1Activities][3][NumberTotalOperators]</v>
      </c>
    </row>
    <row r="111" spans="1:15" x14ac:dyDescent="0.3">
      <c r="A111" t="s">
        <v>2277</v>
      </c>
      <c r="B111" t="s">
        <v>1816</v>
      </c>
      <c r="C111" t="s">
        <v>1817</v>
      </c>
      <c r="D111">
        <v>1</v>
      </c>
      <c r="E111" t="s">
        <v>1447</v>
      </c>
      <c r="F111" t="s">
        <v>1818</v>
      </c>
      <c r="G111" t="s">
        <v>1737</v>
      </c>
      <c r="H111" t="s">
        <v>2279</v>
      </c>
      <c r="I111" t="s">
        <v>2279</v>
      </c>
      <c r="J111" t="s">
        <v>2279</v>
      </c>
      <c r="K111" t="s">
        <v>2279</v>
      </c>
      <c r="L111" t="s">
        <v>1447</v>
      </c>
      <c r="M111" t="s">
        <v>2279</v>
      </c>
      <c r="N111" t="s">
        <v>2279</v>
      </c>
      <c r="O111" s="190" t="str">
        <f>"["&amp;$C111&amp;"]["&amp;$D111&amp;"]["&amp;$F111&amp;"]"</f>
        <v>[S04_IEDProcedureRequirementsIntegratedYes][1][IntegrationYesNo]</v>
      </c>
    </row>
    <row r="112" spans="1:15" x14ac:dyDescent="0.3">
      <c r="A112" t="s">
        <v>2277</v>
      </c>
      <c r="B112" t="s">
        <v>1816</v>
      </c>
      <c r="C112" t="s">
        <v>1817</v>
      </c>
      <c r="D112">
        <v>2</v>
      </c>
      <c r="E112" t="s">
        <v>1447</v>
      </c>
      <c r="F112" t="s">
        <v>1818</v>
      </c>
      <c r="G112" t="s">
        <v>1737</v>
      </c>
      <c r="H112" t="s">
        <v>2279</v>
      </c>
      <c r="I112" t="s">
        <v>2279</v>
      </c>
      <c r="J112" t="s">
        <v>2279</v>
      </c>
      <c r="K112" t="s">
        <v>2279</v>
      </c>
      <c r="L112" t="s">
        <v>1419</v>
      </c>
      <c r="M112" t="s">
        <v>2279</v>
      </c>
      <c r="N112" t="s">
        <v>2279</v>
      </c>
      <c r="O112" s="190" t="str">
        <f>"["&amp;$C112&amp;"]["&amp;$D112&amp;"]["&amp;$F112&amp;"]"</f>
        <v>[S04_IEDProcedureRequirementsIntegratedYes][2][IntegrationYesNo]</v>
      </c>
    </row>
    <row r="113" spans="1:15" x14ac:dyDescent="0.3">
      <c r="A113" t="s">
        <v>2277</v>
      </c>
      <c r="B113" t="s">
        <v>1816</v>
      </c>
      <c r="C113" t="s">
        <v>1817</v>
      </c>
      <c r="D113">
        <v>3</v>
      </c>
      <c r="E113" t="s">
        <v>1447</v>
      </c>
      <c r="F113" t="s">
        <v>1818</v>
      </c>
      <c r="G113" t="s">
        <v>1737</v>
      </c>
      <c r="H113" t="s">
        <v>2279</v>
      </c>
      <c r="I113" t="s">
        <v>2279</v>
      </c>
      <c r="J113" t="s">
        <v>2279</v>
      </c>
      <c r="K113" t="s">
        <v>2279</v>
      </c>
      <c r="L113" t="s">
        <v>1447</v>
      </c>
      <c r="M113" t="s">
        <v>2279</v>
      </c>
      <c r="N113" t="s">
        <v>2279</v>
      </c>
      <c r="O113" s="190" t="str">
        <f>"["&amp;$C113&amp;"]["&amp;$D113&amp;"]["&amp;$F113&amp;"]"</f>
        <v>[S04_IEDProcedureRequirementsIntegratedYes][3][IntegrationYesNo]</v>
      </c>
    </row>
    <row r="114" spans="1:15" x14ac:dyDescent="0.3">
      <c r="A114" t="s">
        <v>2277</v>
      </c>
      <c r="B114" t="s">
        <v>1816</v>
      </c>
      <c r="C114" t="s">
        <v>1817</v>
      </c>
      <c r="D114">
        <v>4</v>
      </c>
      <c r="E114" t="s">
        <v>1447</v>
      </c>
      <c r="F114" t="s">
        <v>1818</v>
      </c>
      <c r="G114" t="s">
        <v>1737</v>
      </c>
      <c r="H114" t="s">
        <v>2279</v>
      </c>
      <c r="I114" t="s">
        <v>2279</v>
      </c>
      <c r="J114" t="s">
        <v>2279</v>
      </c>
      <c r="K114" t="s">
        <v>2279</v>
      </c>
      <c r="L114" t="s">
        <v>1419</v>
      </c>
      <c r="M114" t="s">
        <v>2279</v>
      </c>
      <c r="N114" t="s">
        <v>2279</v>
      </c>
      <c r="O114" s="190" t="str">
        <f>"["&amp;$C114&amp;"]["&amp;$D114&amp;"]["&amp;$F114&amp;"]"</f>
        <v>[S04_IEDProcedureRequirementsIntegratedYes][4][IntegrationYesNo]</v>
      </c>
    </row>
    <row r="115" spans="1:15" x14ac:dyDescent="0.3">
      <c r="A115" t="s">
        <v>2277</v>
      </c>
      <c r="B115" t="s">
        <v>1816</v>
      </c>
      <c r="C115" t="s">
        <v>1817</v>
      </c>
      <c r="D115">
        <v>5</v>
      </c>
      <c r="E115" t="s">
        <v>1447</v>
      </c>
      <c r="F115" t="s">
        <v>1818</v>
      </c>
      <c r="G115" t="s">
        <v>1737</v>
      </c>
      <c r="H115" t="s">
        <v>2279</v>
      </c>
      <c r="I115" t="s">
        <v>2279</v>
      </c>
      <c r="J115" t="s">
        <v>2279</v>
      </c>
      <c r="K115" t="s">
        <v>2279</v>
      </c>
      <c r="L115" t="s">
        <v>1419</v>
      </c>
      <c r="M115" t="s">
        <v>2279</v>
      </c>
      <c r="N115" t="s">
        <v>2279</v>
      </c>
      <c r="O115" s="190" t="str">
        <f>"["&amp;$C115&amp;"]["&amp;$D115&amp;"]["&amp;$F115&amp;"]"</f>
        <v>[S04_IEDProcedureRequirementsIntegratedYes][5][IntegrationYesNo]</v>
      </c>
    </row>
    <row r="116" spans="1:15" x14ac:dyDescent="0.3">
      <c r="A116" t="s">
        <v>2277</v>
      </c>
      <c r="B116" t="s">
        <v>1816</v>
      </c>
      <c r="C116" t="s">
        <v>1817</v>
      </c>
      <c r="D116">
        <v>6</v>
      </c>
      <c r="E116" t="s">
        <v>1447</v>
      </c>
      <c r="F116" t="s">
        <v>1818</v>
      </c>
      <c r="G116" t="s">
        <v>1737</v>
      </c>
      <c r="H116" t="s">
        <v>2279</v>
      </c>
      <c r="I116" t="s">
        <v>2279</v>
      </c>
      <c r="J116" t="s">
        <v>2279</v>
      </c>
      <c r="K116" t="s">
        <v>2279</v>
      </c>
      <c r="L116" t="s">
        <v>1447</v>
      </c>
      <c r="M116" t="s">
        <v>2279</v>
      </c>
      <c r="N116" t="s">
        <v>2279</v>
      </c>
      <c r="O116" s="190" t="str">
        <f>"["&amp;$C116&amp;"]["&amp;$D116&amp;"]["&amp;$F116&amp;"]"</f>
        <v>[S04_IEDProcedureRequirementsIntegratedYes][6][IntegrationYesNo]</v>
      </c>
    </row>
    <row r="117" spans="1:15" x14ac:dyDescent="0.3">
      <c r="A117" t="s">
        <v>2277</v>
      </c>
      <c r="B117" t="s">
        <v>1816</v>
      </c>
      <c r="C117" t="s">
        <v>1817</v>
      </c>
      <c r="D117">
        <v>1</v>
      </c>
      <c r="E117" t="s">
        <v>1447</v>
      </c>
      <c r="F117" t="s">
        <v>1819</v>
      </c>
      <c r="G117" t="s">
        <v>1791</v>
      </c>
      <c r="H117" t="s">
        <v>2279</v>
      </c>
      <c r="I117" t="s">
        <v>2279</v>
      </c>
      <c r="J117" t="s">
        <v>2279</v>
      </c>
      <c r="K117" t="s">
        <v>2323</v>
      </c>
      <c r="L117" t="s">
        <v>2279</v>
      </c>
      <c r="M117" t="s">
        <v>2279</v>
      </c>
      <c r="N117" t="s">
        <v>2279</v>
      </c>
      <c r="O117" s="190" t="str">
        <f>"["&amp;$C117&amp;"]["&amp;$D117&amp;"]["&amp;$F117&amp;"]"</f>
        <v>[S04_IEDProcedureRequirementsIntegratedYes][1][IntegrationComments]</v>
      </c>
    </row>
    <row r="118" spans="1:15" x14ac:dyDescent="0.3">
      <c r="A118" t="s">
        <v>2277</v>
      </c>
      <c r="B118" t="s">
        <v>1816</v>
      </c>
      <c r="C118" t="s">
        <v>1817</v>
      </c>
      <c r="D118">
        <v>2</v>
      </c>
      <c r="E118" t="s">
        <v>1447</v>
      </c>
      <c r="F118" t="s">
        <v>1819</v>
      </c>
      <c r="G118" t="s">
        <v>1791</v>
      </c>
      <c r="H118" t="s">
        <v>2279</v>
      </c>
      <c r="I118" t="s">
        <v>2279</v>
      </c>
      <c r="J118" t="s">
        <v>2279</v>
      </c>
      <c r="K118" t="s">
        <v>2324</v>
      </c>
      <c r="L118" t="s">
        <v>2279</v>
      </c>
      <c r="M118" t="s">
        <v>2279</v>
      </c>
      <c r="N118" t="s">
        <v>2279</v>
      </c>
      <c r="O118" s="190" t="str">
        <f>"["&amp;$C118&amp;"]["&amp;$D118&amp;"]["&amp;$F118&amp;"]"</f>
        <v>[S04_IEDProcedureRequirementsIntegratedYes][2][IntegrationComments]</v>
      </c>
    </row>
    <row r="119" spans="1:15" x14ac:dyDescent="0.3">
      <c r="A119" t="s">
        <v>2277</v>
      </c>
      <c r="B119" t="s">
        <v>1816</v>
      </c>
      <c r="C119" t="s">
        <v>1817</v>
      </c>
      <c r="D119">
        <v>4</v>
      </c>
      <c r="E119" t="s">
        <v>1447</v>
      </c>
      <c r="F119" t="s">
        <v>1819</v>
      </c>
      <c r="G119" t="s">
        <v>1791</v>
      </c>
      <c r="H119" t="s">
        <v>2279</v>
      </c>
      <c r="I119" t="s">
        <v>2279</v>
      </c>
      <c r="J119" t="s">
        <v>2279</v>
      </c>
      <c r="K119" t="s">
        <v>2325</v>
      </c>
      <c r="L119" t="s">
        <v>2279</v>
      </c>
      <c r="M119" t="s">
        <v>2279</v>
      </c>
      <c r="N119" t="s">
        <v>2279</v>
      </c>
      <c r="O119" s="190" t="str">
        <f>"["&amp;$C119&amp;"]["&amp;$D119&amp;"]["&amp;$F119&amp;"]"</f>
        <v>[S04_IEDProcedureRequirementsIntegratedYes][4][IntegrationComments]</v>
      </c>
    </row>
    <row r="120" spans="1:15" x14ac:dyDescent="0.3">
      <c r="A120" t="s">
        <v>2277</v>
      </c>
      <c r="B120" t="s">
        <v>1816</v>
      </c>
      <c r="C120" t="s">
        <v>1817</v>
      </c>
      <c r="D120">
        <v>5</v>
      </c>
      <c r="E120" t="s">
        <v>1447</v>
      </c>
      <c r="F120" t="s">
        <v>1819</v>
      </c>
      <c r="G120" t="s">
        <v>1791</v>
      </c>
      <c r="H120" t="s">
        <v>2279</v>
      </c>
      <c r="I120" t="s">
        <v>2279</v>
      </c>
      <c r="J120" t="s">
        <v>2279</v>
      </c>
      <c r="K120" t="s">
        <v>2326</v>
      </c>
      <c r="L120" t="s">
        <v>2279</v>
      </c>
      <c r="M120" t="s">
        <v>2279</v>
      </c>
      <c r="N120" t="s">
        <v>2279</v>
      </c>
      <c r="O120" s="190" t="str">
        <f>"["&amp;$C120&amp;"]["&amp;$D120&amp;"]["&amp;$F120&amp;"]"</f>
        <v>[S04_IEDProcedureRequirementsIntegratedYes][5][IntegrationComments]</v>
      </c>
    </row>
    <row r="121" spans="1:15" x14ac:dyDescent="0.3">
      <c r="A121" t="s">
        <v>2277</v>
      </c>
      <c r="B121" t="s">
        <v>1820</v>
      </c>
      <c r="C121" t="s">
        <v>1821</v>
      </c>
      <c r="D121">
        <v>1</v>
      </c>
      <c r="E121" t="s">
        <v>1447</v>
      </c>
      <c r="F121" t="s">
        <v>1822</v>
      </c>
      <c r="G121" t="s">
        <v>1741</v>
      </c>
      <c r="H121" t="s">
        <v>2327</v>
      </c>
      <c r="I121" t="s">
        <v>2279</v>
      </c>
      <c r="J121" t="s">
        <v>2279</v>
      </c>
      <c r="K121" t="s">
        <v>2279</v>
      </c>
      <c r="L121" t="s">
        <v>2279</v>
      </c>
      <c r="M121" t="s">
        <v>2279</v>
      </c>
      <c r="N121" t="s">
        <v>2279</v>
      </c>
      <c r="O121" s="190" t="str">
        <f>"["&amp;$C121&amp;"]["&amp;$D121&amp;"]["&amp;$F121&amp;"]"</f>
        <v>[S04_NationalLawPermitUpdate][1][PermitUpdateNationalLawDetail]</v>
      </c>
    </row>
    <row r="122" spans="1:15" x14ac:dyDescent="0.3">
      <c r="A122" t="s">
        <v>2277</v>
      </c>
      <c r="B122" t="s">
        <v>1820</v>
      </c>
      <c r="C122" t="s">
        <v>1821</v>
      </c>
      <c r="D122">
        <v>2</v>
      </c>
      <c r="E122" t="s">
        <v>1447</v>
      </c>
      <c r="F122" t="s">
        <v>1822</v>
      </c>
      <c r="G122" t="s">
        <v>1741</v>
      </c>
      <c r="H122" t="s">
        <v>2328</v>
      </c>
      <c r="I122" t="s">
        <v>2279</v>
      </c>
      <c r="J122" t="s">
        <v>2279</v>
      </c>
      <c r="K122" t="s">
        <v>2279</v>
      </c>
      <c r="L122" t="s">
        <v>2279</v>
      </c>
      <c r="M122" t="s">
        <v>2279</v>
      </c>
      <c r="N122" t="s">
        <v>2279</v>
      </c>
      <c r="O122" s="190" t="str">
        <f>"["&amp;$C122&amp;"]["&amp;$D122&amp;"]["&amp;$F122&amp;"]"</f>
        <v>[S04_NationalLawPermitUpdate][2][PermitUpdateNationalLawDetail]</v>
      </c>
    </row>
    <row r="123" spans="1:15" x14ac:dyDescent="0.3">
      <c r="A123" t="s">
        <v>2277</v>
      </c>
      <c r="B123" t="s">
        <v>1820</v>
      </c>
      <c r="C123" t="s">
        <v>1821</v>
      </c>
      <c r="D123">
        <v>3</v>
      </c>
      <c r="E123" t="s">
        <v>1447</v>
      </c>
      <c r="F123" t="s">
        <v>1822</v>
      </c>
      <c r="G123" t="s">
        <v>1741</v>
      </c>
      <c r="H123" t="s">
        <v>2329</v>
      </c>
      <c r="I123" t="s">
        <v>2279</v>
      </c>
      <c r="J123" t="s">
        <v>2279</v>
      </c>
      <c r="K123" t="s">
        <v>2279</v>
      </c>
      <c r="L123" t="s">
        <v>2279</v>
      </c>
      <c r="M123" t="s">
        <v>2279</v>
      </c>
      <c r="N123" t="s">
        <v>2279</v>
      </c>
      <c r="O123" s="190" t="str">
        <f>"["&amp;$C123&amp;"]["&amp;$D123&amp;"]["&amp;$F123&amp;"]"</f>
        <v>[S04_NationalLawPermitUpdate][3][PermitUpdateNationalLawDetail]</v>
      </c>
    </row>
    <row r="124" spans="1:15" x14ac:dyDescent="0.3">
      <c r="A124" t="s">
        <v>2277</v>
      </c>
      <c r="B124" t="s">
        <v>1820</v>
      </c>
      <c r="C124" t="s">
        <v>1821</v>
      </c>
      <c r="D124">
        <v>4</v>
      </c>
      <c r="E124" t="s">
        <v>1447</v>
      </c>
      <c r="F124" t="s">
        <v>1822</v>
      </c>
      <c r="G124" t="s">
        <v>1741</v>
      </c>
      <c r="H124" t="s">
        <v>2330</v>
      </c>
      <c r="I124" t="s">
        <v>2279</v>
      </c>
      <c r="J124" t="s">
        <v>2279</v>
      </c>
      <c r="K124" t="s">
        <v>2279</v>
      </c>
      <c r="L124" t="s">
        <v>2279</v>
      </c>
      <c r="M124" t="s">
        <v>2279</v>
      </c>
      <c r="N124" t="s">
        <v>2279</v>
      </c>
      <c r="O124" s="190" t="str">
        <f>"["&amp;$C124&amp;"]["&amp;$D124&amp;"]["&amp;$F124&amp;"]"</f>
        <v>[S04_NationalLawPermitUpdate][4][PermitUpdateNationalLawDetail]</v>
      </c>
    </row>
    <row r="125" spans="1:15" x14ac:dyDescent="0.3">
      <c r="A125" t="s">
        <v>2277</v>
      </c>
      <c r="B125" t="s">
        <v>1820</v>
      </c>
      <c r="C125" t="s">
        <v>1821</v>
      </c>
      <c r="D125">
        <v>5</v>
      </c>
      <c r="E125" t="s">
        <v>1447</v>
      </c>
      <c r="F125" t="s">
        <v>1822</v>
      </c>
      <c r="G125" t="s">
        <v>1741</v>
      </c>
      <c r="H125" t="s">
        <v>2331</v>
      </c>
      <c r="I125" t="s">
        <v>2279</v>
      </c>
      <c r="J125" t="s">
        <v>2279</v>
      </c>
      <c r="K125" t="s">
        <v>2279</v>
      </c>
      <c r="L125" t="s">
        <v>2279</v>
      </c>
      <c r="M125" t="s">
        <v>2279</v>
      </c>
      <c r="N125" t="s">
        <v>2279</v>
      </c>
      <c r="O125" s="190" t="str">
        <f>"["&amp;$C125&amp;"]["&amp;$D125&amp;"]["&amp;$F125&amp;"]"</f>
        <v>[S04_NationalLawPermitUpdate][5][PermitUpdateNationalLawDetail]</v>
      </c>
    </row>
    <row r="126" spans="1:15" x14ac:dyDescent="0.3">
      <c r="A126" t="s">
        <v>2277</v>
      </c>
      <c r="B126" t="s">
        <v>1820</v>
      </c>
      <c r="C126" t="s">
        <v>1821</v>
      </c>
      <c r="D126">
        <v>6</v>
      </c>
      <c r="E126" t="s">
        <v>1447</v>
      </c>
      <c r="F126" t="s">
        <v>1822</v>
      </c>
      <c r="G126" t="s">
        <v>1741</v>
      </c>
      <c r="H126" t="s">
        <v>2332</v>
      </c>
      <c r="I126" t="s">
        <v>2279</v>
      </c>
      <c r="J126" t="s">
        <v>2279</v>
      </c>
      <c r="K126" t="s">
        <v>2279</v>
      </c>
      <c r="L126" t="s">
        <v>2279</v>
      </c>
      <c r="M126" t="s">
        <v>2279</v>
      </c>
      <c r="N126" t="s">
        <v>2279</v>
      </c>
      <c r="O126" s="190" t="str">
        <f>"["&amp;$C126&amp;"]["&amp;$D126&amp;"]["&amp;$F126&amp;"]"</f>
        <v>[S04_NationalLawPermitUpdate][6][PermitUpdateNationalLawDetail]</v>
      </c>
    </row>
    <row r="127" spans="1:15" x14ac:dyDescent="0.3">
      <c r="A127" t="s">
        <v>2277</v>
      </c>
      <c r="B127" t="s">
        <v>1820</v>
      </c>
      <c r="C127" t="s">
        <v>1823</v>
      </c>
      <c r="D127">
        <v>0</v>
      </c>
      <c r="E127" t="s">
        <v>1447</v>
      </c>
      <c r="F127" t="s">
        <v>1823</v>
      </c>
      <c r="G127" t="s">
        <v>1748</v>
      </c>
      <c r="H127" t="s">
        <v>2279</v>
      </c>
      <c r="I127">
        <v>0</v>
      </c>
      <c r="J127" t="s">
        <v>2279</v>
      </c>
      <c r="K127" t="s">
        <v>2279</v>
      </c>
      <c r="L127" t="s">
        <v>2279</v>
      </c>
      <c r="M127" t="s">
        <v>2279</v>
      </c>
      <c r="N127" t="s">
        <v>2279</v>
      </c>
      <c r="O127" s="190" t="str">
        <f>"["&amp;$C127&amp;"]["&amp;$D127&amp;"]["&amp;$F127&amp;"]"</f>
        <v>[PermitUpdateTotalNumber][0][PermitUpdateTotalNumber]</v>
      </c>
    </row>
    <row r="128" spans="1:15" x14ac:dyDescent="0.3">
      <c r="A128" t="s">
        <v>2277</v>
      </c>
      <c r="B128" t="s">
        <v>1824</v>
      </c>
      <c r="C128" t="s">
        <v>1825</v>
      </c>
      <c r="D128">
        <v>0</v>
      </c>
      <c r="E128" t="s">
        <v>1447</v>
      </c>
      <c r="F128" t="s">
        <v>1825</v>
      </c>
      <c r="G128" t="s">
        <v>1759</v>
      </c>
      <c r="H128" t="s">
        <v>2279</v>
      </c>
      <c r="I128" t="s">
        <v>2279</v>
      </c>
      <c r="J128" t="s">
        <v>2279</v>
      </c>
      <c r="K128" t="s">
        <v>2279</v>
      </c>
      <c r="L128" t="s">
        <v>1419</v>
      </c>
      <c r="M128" t="s">
        <v>2279</v>
      </c>
      <c r="N128" t="s">
        <v>2279</v>
      </c>
      <c r="O128" s="190" t="str">
        <f>"["&amp;$C128&amp;"]["&amp;$D128&amp;"]["&amp;$F128&amp;"]"</f>
        <v>[AdditionalNationalLegislation][0][AdditionalNationalLegislation]</v>
      </c>
    </row>
    <row r="129" spans="1:15" x14ac:dyDescent="0.3">
      <c r="A129" t="s">
        <v>2277</v>
      </c>
      <c r="B129" t="s">
        <v>1824</v>
      </c>
      <c r="C129" t="s">
        <v>1826</v>
      </c>
      <c r="D129">
        <v>0</v>
      </c>
      <c r="E129" t="s">
        <v>1447</v>
      </c>
      <c r="F129" t="s">
        <v>1826</v>
      </c>
      <c r="G129" t="s">
        <v>1741</v>
      </c>
      <c r="H129" t="s">
        <v>2333</v>
      </c>
      <c r="I129" t="s">
        <v>2279</v>
      </c>
      <c r="J129" t="s">
        <v>2279</v>
      </c>
      <c r="K129" t="s">
        <v>2279</v>
      </c>
      <c r="L129" t="s">
        <v>2279</v>
      </c>
      <c r="M129" t="s">
        <v>2279</v>
      </c>
      <c r="N129" t="s">
        <v>2279</v>
      </c>
      <c r="O129" s="190" t="str">
        <f>"["&amp;$C129&amp;"]["&amp;$D129&amp;"]["&amp;$F129&amp;"]"</f>
        <v>[AdditionalNationalLegislationDetail][0][AdditionalNationalLegislationDetail]</v>
      </c>
    </row>
    <row r="130" spans="1:15" x14ac:dyDescent="0.3">
      <c r="A130" t="s">
        <v>2277</v>
      </c>
      <c r="B130" t="s">
        <v>1824</v>
      </c>
      <c r="C130" t="s">
        <v>1827</v>
      </c>
      <c r="D130">
        <v>0</v>
      </c>
      <c r="E130" t="s">
        <v>1447</v>
      </c>
      <c r="F130" t="s">
        <v>1827</v>
      </c>
      <c r="G130" t="s">
        <v>1759</v>
      </c>
      <c r="H130" t="s">
        <v>2279</v>
      </c>
      <c r="I130" t="s">
        <v>2279</v>
      </c>
      <c r="J130" t="s">
        <v>2279</v>
      </c>
      <c r="K130" t="s">
        <v>2279</v>
      </c>
      <c r="L130" t="s">
        <v>1419</v>
      </c>
      <c r="M130" t="s">
        <v>2279</v>
      </c>
      <c r="N130" t="s">
        <v>2279</v>
      </c>
      <c r="O130" s="190" t="str">
        <f>"["&amp;$C130&amp;"]["&amp;$D130&amp;"]["&amp;$F130&amp;"]"</f>
        <v>[AdditionalNationalGuidance][0][AdditionalNationalGuidance]</v>
      </c>
    </row>
    <row r="131" spans="1:15" x14ac:dyDescent="0.3">
      <c r="A131" t="s">
        <v>2277</v>
      </c>
      <c r="B131" t="s">
        <v>1824</v>
      </c>
      <c r="C131" t="s">
        <v>1828</v>
      </c>
      <c r="D131">
        <v>0</v>
      </c>
      <c r="E131" t="s">
        <v>1447</v>
      </c>
      <c r="F131" t="s">
        <v>1828</v>
      </c>
      <c r="G131" t="s">
        <v>1741</v>
      </c>
      <c r="H131" t="s">
        <v>2334</v>
      </c>
      <c r="I131" t="s">
        <v>2279</v>
      </c>
      <c r="J131" t="s">
        <v>2279</v>
      </c>
      <c r="K131" t="s">
        <v>2279</v>
      </c>
      <c r="L131" t="s">
        <v>2279</v>
      </c>
      <c r="M131" t="s">
        <v>2279</v>
      </c>
      <c r="N131" t="s">
        <v>2279</v>
      </c>
      <c r="O131" s="190" t="str">
        <f>"["&amp;$C131&amp;"]["&amp;$D131&amp;"]["&amp;$F131&amp;"]"</f>
        <v>[AdditionalNationalGuidanceDetail][0][AdditionalNationalGuidanceDetail]</v>
      </c>
    </row>
    <row r="132" spans="1:15" x14ac:dyDescent="0.3">
      <c r="A132" t="s">
        <v>2277</v>
      </c>
      <c r="B132" t="s">
        <v>1829</v>
      </c>
      <c r="C132" t="s">
        <v>1830</v>
      </c>
      <c r="D132">
        <v>1</v>
      </c>
      <c r="E132" t="s">
        <v>1447</v>
      </c>
      <c r="F132" t="s">
        <v>1831</v>
      </c>
      <c r="G132" t="s">
        <v>1759</v>
      </c>
      <c r="H132" t="s">
        <v>2279</v>
      </c>
      <c r="I132" t="s">
        <v>2279</v>
      </c>
      <c r="J132" t="s">
        <v>2279</v>
      </c>
      <c r="K132" t="s">
        <v>2279</v>
      </c>
      <c r="L132" t="s">
        <v>1419</v>
      </c>
      <c r="M132" t="s">
        <v>2279</v>
      </c>
      <c r="N132" t="s">
        <v>2279</v>
      </c>
      <c r="O132" s="190" t="str">
        <f>"["&amp;$C132&amp;"]["&amp;$D132&amp;"]["&amp;$F132&amp;"]"</f>
        <v>[MeasuresStreamline][1][MeasuresStreamlineYesNo]</v>
      </c>
    </row>
    <row r="133" spans="1:15" x14ac:dyDescent="0.3">
      <c r="A133" t="s">
        <v>2277</v>
      </c>
      <c r="B133" t="s">
        <v>1829</v>
      </c>
      <c r="C133" t="s">
        <v>1830</v>
      </c>
      <c r="D133">
        <v>2</v>
      </c>
      <c r="E133" t="s">
        <v>1447</v>
      </c>
      <c r="F133" t="s">
        <v>1831</v>
      </c>
      <c r="G133" t="s">
        <v>1759</v>
      </c>
      <c r="H133" t="s">
        <v>2279</v>
      </c>
      <c r="I133" t="s">
        <v>2279</v>
      </c>
      <c r="J133" t="s">
        <v>2279</v>
      </c>
      <c r="K133" t="s">
        <v>2279</v>
      </c>
      <c r="L133" t="s">
        <v>1419</v>
      </c>
      <c r="M133" t="s">
        <v>2279</v>
      </c>
      <c r="N133" t="s">
        <v>2279</v>
      </c>
      <c r="O133" s="190" t="str">
        <f>"["&amp;$C133&amp;"]["&amp;$D133&amp;"]["&amp;$F133&amp;"]"</f>
        <v>[MeasuresStreamline][2][MeasuresStreamlineYesNo]</v>
      </c>
    </row>
    <row r="134" spans="1:15" x14ac:dyDescent="0.3">
      <c r="A134" t="s">
        <v>2277</v>
      </c>
      <c r="B134" t="s">
        <v>1829</v>
      </c>
      <c r="C134" t="s">
        <v>1830</v>
      </c>
      <c r="D134">
        <v>3</v>
      </c>
      <c r="E134" t="s">
        <v>1447</v>
      </c>
      <c r="F134" t="s">
        <v>1831</v>
      </c>
      <c r="G134" t="s">
        <v>1759</v>
      </c>
      <c r="H134" t="s">
        <v>2279</v>
      </c>
      <c r="I134" t="s">
        <v>2279</v>
      </c>
      <c r="J134" t="s">
        <v>2279</v>
      </c>
      <c r="K134" t="s">
        <v>2279</v>
      </c>
      <c r="L134" t="s">
        <v>1447</v>
      </c>
      <c r="M134" t="s">
        <v>2279</v>
      </c>
      <c r="N134" t="s">
        <v>2279</v>
      </c>
      <c r="O134" s="190" t="str">
        <f>"["&amp;$C134&amp;"]["&amp;$D134&amp;"]["&amp;$F134&amp;"]"</f>
        <v>[MeasuresStreamline][3][MeasuresStreamlineYesNo]</v>
      </c>
    </row>
    <row r="135" spans="1:15" x14ac:dyDescent="0.3">
      <c r="A135" t="s">
        <v>2277</v>
      </c>
      <c r="B135" t="s">
        <v>1829</v>
      </c>
      <c r="C135" t="s">
        <v>1830</v>
      </c>
      <c r="D135">
        <v>4</v>
      </c>
      <c r="E135" t="s">
        <v>1447</v>
      </c>
      <c r="F135" t="s">
        <v>1831</v>
      </c>
      <c r="G135" t="s">
        <v>1759</v>
      </c>
      <c r="H135" t="s">
        <v>2279</v>
      </c>
      <c r="I135" t="s">
        <v>2279</v>
      </c>
      <c r="J135" t="s">
        <v>2279</v>
      </c>
      <c r="K135" t="s">
        <v>2279</v>
      </c>
      <c r="L135" t="s">
        <v>1419</v>
      </c>
      <c r="M135" t="s">
        <v>2279</v>
      </c>
      <c r="N135" t="s">
        <v>2279</v>
      </c>
      <c r="O135" s="190" t="str">
        <f>"["&amp;$C135&amp;"]["&amp;$D135&amp;"]["&amp;$F135&amp;"]"</f>
        <v>[MeasuresStreamline][4][MeasuresStreamlineYesNo]</v>
      </c>
    </row>
    <row r="136" spans="1:15" x14ac:dyDescent="0.3">
      <c r="A136" t="s">
        <v>2277</v>
      </c>
      <c r="B136" t="s">
        <v>1829</v>
      </c>
      <c r="C136" t="s">
        <v>1830</v>
      </c>
      <c r="D136">
        <v>5</v>
      </c>
      <c r="E136" t="s">
        <v>1447</v>
      </c>
      <c r="F136" t="s">
        <v>1831</v>
      </c>
      <c r="G136" t="s">
        <v>1759</v>
      </c>
      <c r="H136" t="s">
        <v>2279</v>
      </c>
      <c r="I136" t="s">
        <v>2279</v>
      </c>
      <c r="J136" t="s">
        <v>2279</v>
      </c>
      <c r="K136" t="s">
        <v>2279</v>
      </c>
      <c r="L136" t="s">
        <v>1447</v>
      </c>
      <c r="M136" t="s">
        <v>2279</v>
      </c>
      <c r="N136" t="s">
        <v>2279</v>
      </c>
      <c r="O136" s="190" t="str">
        <f>"["&amp;$C136&amp;"]["&amp;$D136&amp;"]["&amp;$F136&amp;"]"</f>
        <v>[MeasuresStreamline][5][MeasuresStreamlineYesNo]</v>
      </c>
    </row>
    <row r="137" spans="1:15" x14ac:dyDescent="0.3">
      <c r="A137" t="s">
        <v>2277</v>
      </c>
      <c r="B137" t="s">
        <v>1829</v>
      </c>
      <c r="C137" t="s">
        <v>1830</v>
      </c>
      <c r="D137">
        <v>6</v>
      </c>
      <c r="E137" t="s">
        <v>1447</v>
      </c>
      <c r="F137" t="s">
        <v>1831</v>
      </c>
      <c r="G137" t="s">
        <v>1759</v>
      </c>
      <c r="H137" t="s">
        <v>2279</v>
      </c>
      <c r="I137" t="s">
        <v>2279</v>
      </c>
      <c r="J137" t="s">
        <v>2279</v>
      </c>
      <c r="K137" t="s">
        <v>2279</v>
      </c>
      <c r="L137" t="s">
        <v>1447</v>
      </c>
      <c r="M137" t="s">
        <v>2279</v>
      </c>
      <c r="N137" t="s">
        <v>2279</v>
      </c>
      <c r="O137" s="190" t="str">
        <f>"["&amp;$C137&amp;"]["&amp;$D137&amp;"]["&amp;$F137&amp;"]"</f>
        <v>[MeasuresStreamline][6][MeasuresStreamlineYesNo]</v>
      </c>
    </row>
    <row r="138" spans="1:15" x14ac:dyDescent="0.3">
      <c r="A138" t="s">
        <v>2277</v>
      </c>
      <c r="B138" t="s">
        <v>1829</v>
      </c>
      <c r="C138" t="s">
        <v>1830</v>
      </c>
      <c r="D138">
        <v>7</v>
      </c>
      <c r="E138" t="s">
        <v>1447</v>
      </c>
      <c r="F138" t="s">
        <v>1831</v>
      </c>
      <c r="G138" t="s">
        <v>1759</v>
      </c>
      <c r="H138" t="s">
        <v>2279</v>
      </c>
      <c r="I138" t="s">
        <v>2279</v>
      </c>
      <c r="J138" t="s">
        <v>2279</v>
      </c>
      <c r="K138" t="s">
        <v>2279</v>
      </c>
      <c r="L138" t="s">
        <v>1447</v>
      </c>
      <c r="M138" t="s">
        <v>2279</v>
      </c>
      <c r="N138" t="s">
        <v>2279</v>
      </c>
      <c r="O138" s="190" t="str">
        <f>"["&amp;$C138&amp;"]["&amp;$D138&amp;"]["&amp;$F138&amp;"]"</f>
        <v>[MeasuresStreamline][7][MeasuresStreamlineYesNo]</v>
      </c>
    </row>
    <row r="139" spans="1:15" x14ac:dyDescent="0.3">
      <c r="A139" t="s">
        <v>2277</v>
      </c>
      <c r="B139" t="s">
        <v>1833</v>
      </c>
      <c r="C139" t="s">
        <v>1834</v>
      </c>
      <c r="D139">
        <v>0</v>
      </c>
      <c r="E139" t="s">
        <v>1447</v>
      </c>
      <c r="F139" t="s">
        <v>1834</v>
      </c>
      <c r="G139" t="s">
        <v>1759</v>
      </c>
      <c r="H139" t="s">
        <v>2279</v>
      </c>
      <c r="I139" t="s">
        <v>2279</v>
      </c>
      <c r="J139" t="s">
        <v>2279</v>
      </c>
      <c r="K139" t="s">
        <v>2279</v>
      </c>
      <c r="L139" t="s">
        <v>1419</v>
      </c>
      <c r="M139" t="s">
        <v>2279</v>
      </c>
      <c r="N139" t="s">
        <v>2279</v>
      </c>
      <c r="O139" s="190" t="str">
        <f>"["&amp;$C139&amp;"]["&amp;$D139&amp;"]["&amp;$F139&amp;"]"</f>
        <v>[CommissionTemplatesMRR][0][CommissionTemplatesMRR]</v>
      </c>
    </row>
    <row r="140" spans="1:15" x14ac:dyDescent="0.3">
      <c r="A140" t="s">
        <v>2277</v>
      </c>
      <c r="B140" t="s">
        <v>1833</v>
      </c>
      <c r="C140" t="s">
        <v>1839</v>
      </c>
      <c r="D140">
        <v>0</v>
      </c>
      <c r="E140" t="s">
        <v>1447</v>
      </c>
      <c r="F140" t="s">
        <v>1839</v>
      </c>
      <c r="G140" t="s">
        <v>1741</v>
      </c>
      <c r="H140" t="s">
        <v>2335</v>
      </c>
      <c r="I140" t="s">
        <v>2279</v>
      </c>
      <c r="J140" t="s">
        <v>2279</v>
      </c>
      <c r="K140" t="s">
        <v>2279</v>
      </c>
      <c r="L140" t="s">
        <v>2279</v>
      </c>
      <c r="M140" t="s">
        <v>2279</v>
      </c>
      <c r="N140" t="s">
        <v>2279</v>
      </c>
      <c r="O140" s="190" t="str">
        <f>"["&amp;$C140&amp;"]["&amp;$D140&amp;"]["&amp;$F140&amp;"]"</f>
        <v>[ComplyMeasuresArt74][0][ComplyMeasuresArt74]</v>
      </c>
    </row>
    <row r="141" spans="1:15" x14ac:dyDescent="0.3">
      <c r="A141" t="s">
        <v>2277</v>
      </c>
      <c r="B141" t="s">
        <v>1840</v>
      </c>
      <c r="C141" t="s">
        <v>1841</v>
      </c>
      <c r="D141">
        <v>0</v>
      </c>
      <c r="E141" t="s">
        <v>1447</v>
      </c>
      <c r="F141" t="s">
        <v>1841</v>
      </c>
      <c r="G141" t="s">
        <v>1759</v>
      </c>
      <c r="H141" t="s">
        <v>2279</v>
      </c>
      <c r="I141" t="s">
        <v>2279</v>
      </c>
      <c r="J141" t="s">
        <v>2279</v>
      </c>
      <c r="K141" t="s">
        <v>2279</v>
      </c>
      <c r="L141" t="s">
        <v>1419</v>
      </c>
      <c r="M141" t="s">
        <v>2279</v>
      </c>
      <c r="N141" t="s">
        <v>2279</v>
      </c>
      <c r="O141" s="190" t="str">
        <f>"["&amp;$C141&amp;"]["&amp;$D141&amp;"]["&amp;$F141&amp;"]"</f>
        <v>[AutomatedSystemInformationExchange][0][AutomatedSystemInformationExchange]</v>
      </c>
    </row>
    <row r="142" spans="1:15" x14ac:dyDescent="0.3">
      <c r="A142" t="s">
        <v>2277</v>
      </c>
      <c r="B142" t="s">
        <v>1840</v>
      </c>
      <c r="C142" t="s">
        <v>1842</v>
      </c>
      <c r="D142">
        <v>0</v>
      </c>
      <c r="E142" t="s">
        <v>1447</v>
      </c>
      <c r="F142" t="s">
        <v>1842</v>
      </c>
      <c r="G142" t="s">
        <v>1741</v>
      </c>
      <c r="H142" t="s">
        <v>2336</v>
      </c>
      <c r="I142" t="s">
        <v>2279</v>
      </c>
      <c r="J142" t="s">
        <v>2279</v>
      </c>
      <c r="K142" t="s">
        <v>2279</v>
      </c>
      <c r="L142" t="s">
        <v>2279</v>
      </c>
      <c r="M142" t="s">
        <v>2279</v>
      </c>
      <c r="N142" t="s">
        <v>2279</v>
      </c>
      <c r="O142" s="190" t="str">
        <f>"["&amp;$C142&amp;"]["&amp;$D142&amp;"]["&amp;$F142&amp;"]"</f>
        <v>[ComplyRequirementsArt75][0][ComplyRequirementsArt75]</v>
      </c>
    </row>
    <row r="143" spans="1:15" x14ac:dyDescent="0.3">
      <c r="A143" t="s">
        <v>2277</v>
      </c>
      <c r="B143" t="s">
        <v>1843</v>
      </c>
      <c r="C143" t="s">
        <v>1844</v>
      </c>
      <c r="D143">
        <v>2</v>
      </c>
      <c r="E143" t="s">
        <v>1447</v>
      </c>
      <c r="F143" t="s">
        <v>1845</v>
      </c>
      <c r="G143" t="s">
        <v>1806</v>
      </c>
      <c r="H143" t="s">
        <v>2279</v>
      </c>
      <c r="I143" t="s">
        <v>2279</v>
      </c>
      <c r="J143">
        <v>608.47675331000005</v>
      </c>
      <c r="K143" t="s">
        <v>2279</v>
      </c>
      <c r="L143" t="s">
        <v>2279</v>
      </c>
      <c r="M143" t="s">
        <v>2279</v>
      </c>
      <c r="N143" t="s">
        <v>2279</v>
      </c>
      <c r="O143" s="190" t="str">
        <f>"["&amp;$C143&amp;"]["&amp;$D143&amp;"]["&amp;$F143&amp;"]"</f>
        <v>[S05_InstallationFuelConsEmissions][2][FuelConsumption]</v>
      </c>
    </row>
    <row r="144" spans="1:15" x14ac:dyDescent="0.3">
      <c r="A144" t="s">
        <v>2277</v>
      </c>
      <c r="B144" t="s">
        <v>1843</v>
      </c>
      <c r="C144" t="s">
        <v>1844</v>
      </c>
      <c r="D144">
        <v>3</v>
      </c>
      <c r="E144" t="s">
        <v>1447</v>
      </c>
      <c r="F144" t="s">
        <v>1845</v>
      </c>
      <c r="G144" t="s">
        <v>1806</v>
      </c>
      <c r="H144" t="s">
        <v>2279</v>
      </c>
      <c r="I144" t="s">
        <v>2279</v>
      </c>
      <c r="J144">
        <v>0.50249999999999995</v>
      </c>
      <c r="K144" t="s">
        <v>2279</v>
      </c>
      <c r="L144" t="s">
        <v>2279</v>
      </c>
      <c r="M144" t="s">
        <v>2279</v>
      </c>
      <c r="N144" t="s">
        <v>2279</v>
      </c>
      <c r="O144" s="190" t="str">
        <f>"["&amp;$C144&amp;"]["&amp;$D144&amp;"]["&amp;$F144&amp;"]"</f>
        <v>[S05_InstallationFuelConsEmissions][3][FuelConsumption]</v>
      </c>
    </row>
    <row r="145" spans="1:15" x14ac:dyDescent="0.3">
      <c r="A145" t="s">
        <v>2277</v>
      </c>
      <c r="B145" t="s">
        <v>1843</v>
      </c>
      <c r="C145" t="s">
        <v>1844</v>
      </c>
      <c r="D145">
        <v>5</v>
      </c>
      <c r="E145" t="s">
        <v>1447</v>
      </c>
      <c r="F145" t="s">
        <v>1845</v>
      </c>
      <c r="G145" t="s">
        <v>1806</v>
      </c>
      <c r="H145" t="s">
        <v>2279</v>
      </c>
      <c r="I145" t="s">
        <v>2279</v>
      </c>
      <c r="J145">
        <v>23198.930748071001</v>
      </c>
      <c r="K145" t="s">
        <v>2279</v>
      </c>
      <c r="L145" t="s">
        <v>2279</v>
      </c>
      <c r="M145" t="s">
        <v>2279</v>
      </c>
      <c r="N145" t="s">
        <v>2279</v>
      </c>
      <c r="O145" s="190" t="str">
        <f>"["&amp;$C145&amp;"]["&amp;$D145&amp;"]["&amp;$F145&amp;"]"</f>
        <v>[S05_InstallationFuelConsEmissions][5][FuelConsumption]</v>
      </c>
    </row>
    <row r="146" spans="1:15" x14ac:dyDescent="0.3">
      <c r="A146" t="s">
        <v>2277</v>
      </c>
      <c r="B146" t="s">
        <v>1843</v>
      </c>
      <c r="C146" t="s">
        <v>1844</v>
      </c>
      <c r="D146">
        <v>9</v>
      </c>
      <c r="E146" t="s">
        <v>1447</v>
      </c>
      <c r="F146" t="s">
        <v>1845</v>
      </c>
      <c r="G146" t="s">
        <v>1806</v>
      </c>
      <c r="H146" t="s">
        <v>2279</v>
      </c>
      <c r="I146" t="s">
        <v>2279</v>
      </c>
      <c r="J146">
        <v>61.267278617800002</v>
      </c>
      <c r="K146" t="s">
        <v>2279</v>
      </c>
      <c r="L146" t="s">
        <v>2279</v>
      </c>
      <c r="M146" t="s">
        <v>2279</v>
      </c>
      <c r="N146" t="s">
        <v>2279</v>
      </c>
      <c r="O146" s="190" t="str">
        <f>"["&amp;$C146&amp;"]["&amp;$D146&amp;"]["&amp;$F146&amp;"]"</f>
        <v>[S05_InstallationFuelConsEmissions][9][FuelConsumption]</v>
      </c>
    </row>
    <row r="147" spans="1:15" x14ac:dyDescent="0.3">
      <c r="A147" t="s">
        <v>2277</v>
      </c>
      <c r="B147" t="s">
        <v>1843</v>
      </c>
      <c r="C147" t="s">
        <v>1844</v>
      </c>
      <c r="D147">
        <v>10</v>
      </c>
      <c r="E147" t="s">
        <v>1447</v>
      </c>
      <c r="F147" t="s">
        <v>1845</v>
      </c>
      <c r="G147" t="s">
        <v>1806</v>
      </c>
      <c r="H147" t="s">
        <v>2279</v>
      </c>
      <c r="I147" t="s">
        <v>2279</v>
      </c>
      <c r="J147">
        <v>1.3268135999999999</v>
      </c>
      <c r="K147" t="s">
        <v>2279</v>
      </c>
      <c r="L147" t="s">
        <v>2279</v>
      </c>
      <c r="M147" t="s">
        <v>2279</v>
      </c>
      <c r="N147" t="s">
        <v>2279</v>
      </c>
      <c r="O147" s="190" t="str">
        <f>"["&amp;$C147&amp;"]["&amp;$D147&amp;"]["&amp;$F147&amp;"]"</f>
        <v>[S05_InstallationFuelConsEmissions][10][FuelConsumption]</v>
      </c>
    </row>
    <row r="148" spans="1:15" x14ac:dyDescent="0.3">
      <c r="A148" t="s">
        <v>2277</v>
      </c>
      <c r="B148" t="s">
        <v>1847</v>
      </c>
      <c r="C148" t="s">
        <v>1844</v>
      </c>
      <c r="D148">
        <v>12</v>
      </c>
      <c r="E148" t="s">
        <v>1447</v>
      </c>
      <c r="F148" t="s">
        <v>1845</v>
      </c>
      <c r="G148" t="s">
        <v>1806</v>
      </c>
      <c r="H148" t="s">
        <v>2279</v>
      </c>
      <c r="I148" t="s">
        <v>2279</v>
      </c>
      <c r="J148">
        <v>2.2415333999999998</v>
      </c>
      <c r="K148" t="s">
        <v>2279</v>
      </c>
      <c r="L148" t="s">
        <v>2279</v>
      </c>
      <c r="M148" t="s">
        <v>2279</v>
      </c>
      <c r="N148" t="s">
        <v>2279</v>
      </c>
      <c r="O148" s="190" t="str">
        <f>"["&amp;$C148&amp;"]["&amp;$D148&amp;"]["&amp;$F148&amp;"]"</f>
        <v>[S05_InstallationFuelConsEmissions][12][FuelConsumption]</v>
      </c>
    </row>
    <row r="149" spans="1:15" x14ac:dyDescent="0.3">
      <c r="A149" t="s">
        <v>2277</v>
      </c>
      <c r="B149" t="s">
        <v>1843</v>
      </c>
      <c r="C149" t="s">
        <v>1844</v>
      </c>
      <c r="D149">
        <v>2</v>
      </c>
      <c r="E149" t="s">
        <v>1447</v>
      </c>
      <c r="F149" t="s">
        <v>1848</v>
      </c>
      <c r="G149" t="s">
        <v>1806</v>
      </c>
      <c r="H149" t="s">
        <v>2279</v>
      </c>
      <c r="I149" t="s">
        <v>2279</v>
      </c>
      <c r="J149">
        <v>56701.226594874301</v>
      </c>
      <c r="K149" t="s">
        <v>2279</v>
      </c>
      <c r="L149" t="s">
        <v>2279</v>
      </c>
      <c r="M149" t="s">
        <v>2279</v>
      </c>
      <c r="N149" t="s">
        <v>2279</v>
      </c>
      <c r="O149" s="190" t="str">
        <f>"["&amp;$C149&amp;"]["&amp;$D149&amp;"]["&amp;$F149&amp;"]"</f>
        <v>[S05_InstallationFuelConsEmissions][2][FuelAnnualEmissions]</v>
      </c>
    </row>
    <row r="150" spans="1:15" x14ac:dyDescent="0.3">
      <c r="A150" t="s">
        <v>2277</v>
      </c>
      <c r="B150" t="s">
        <v>1843</v>
      </c>
      <c r="C150" t="s">
        <v>1844</v>
      </c>
      <c r="D150">
        <v>3</v>
      </c>
      <c r="E150" t="s">
        <v>1447</v>
      </c>
      <c r="F150" t="s">
        <v>1848</v>
      </c>
      <c r="G150" t="s">
        <v>1806</v>
      </c>
      <c r="H150" t="s">
        <v>2279</v>
      </c>
      <c r="I150" t="s">
        <v>2279</v>
      </c>
      <c r="J150">
        <v>53.258065500000001</v>
      </c>
      <c r="K150" t="s">
        <v>2279</v>
      </c>
      <c r="L150" t="s">
        <v>2279</v>
      </c>
      <c r="M150" t="s">
        <v>2279</v>
      </c>
      <c r="N150" t="s">
        <v>2279</v>
      </c>
      <c r="O150" s="190" t="str">
        <f>"["&amp;$C150&amp;"]["&amp;$D150&amp;"]["&amp;$F150&amp;"]"</f>
        <v>[S05_InstallationFuelConsEmissions][3][FuelAnnualEmissions]</v>
      </c>
    </row>
    <row r="151" spans="1:15" x14ac:dyDescent="0.3">
      <c r="A151" t="s">
        <v>2277</v>
      </c>
      <c r="B151" t="s">
        <v>1843</v>
      </c>
      <c r="C151" t="s">
        <v>1844</v>
      </c>
      <c r="D151">
        <v>5</v>
      </c>
      <c r="E151" t="s">
        <v>1447</v>
      </c>
      <c r="F151" t="s">
        <v>1848</v>
      </c>
      <c r="G151" t="s">
        <v>1806</v>
      </c>
      <c r="H151" t="s">
        <v>2279</v>
      </c>
      <c r="I151" t="s">
        <v>2279</v>
      </c>
      <c r="J151">
        <v>1288088.3278194701</v>
      </c>
      <c r="K151" t="s">
        <v>2279</v>
      </c>
      <c r="L151" t="s">
        <v>2279</v>
      </c>
      <c r="M151" t="s">
        <v>2279</v>
      </c>
      <c r="N151" t="s">
        <v>2279</v>
      </c>
      <c r="O151" s="190" t="str">
        <f>"["&amp;$C151&amp;"]["&amp;$D151&amp;"]["&amp;$F151&amp;"]"</f>
        <v>[S05_InstallationFuelConsEmissions][5][FuelAnnualEmissions]</v>
      </c>
    </row>
    <row r="152" spans="1:15" x14ac:dyDescent="0.3">
      <c r="A152" t="s">
        <v>2277</v>
      </c>
      <c r="B152" t="s">
        <v>1843</v>
      </c>
      <c r="C152" t="s">
        <v>1844</v>
      </c>
      <c r="D152">
        <v>9</v>
      </c>
      <c r="E152" t="s">
        <v>1447</v>
      </c>
      <c r="F152" t="s">
        <v>1848</v>
      </c>
      <c r="G152" t="s">
        <v>1806</v>
      </c>
      <c r="H152" t="s">
        <v>2279</v>
      </c>
      <c r="I152" t="s">
        <v>2279</v>
      </c>
      <c r="J152">
        <v>4580.931595518</v>
      </c>
      <c r="K152" t="s">
        <v>2279</v>
      </c>
      <c r="L152" t="s">
        <v>2279</v>
      </c>
      <c r="M152" t="s">
        <v>2279</v>
      </c>
      <c r="N152" t="s">
        <v>2279</v>
      </c>
      <c r="O152" s="190" t="str">
        <f>"["&amp;$C152&amp;"]["&amp;$D152&amp;"]["&amp;$F152&amp;"]"</f>
        <v>[S05_InstallationFuelConsEmissions][9][FuelAnnualEmissions]</v>
      </c>
    </row>
    <row r="153" spans="1:15" x14ac:dyDescent="0.3">
      <c r="A153" t="s">
        <v>2277</v>
      </c>
      <c r="B153" t="s">
        <v>1843</v>
      </c>
      <c r="C153" t="s">
        <v>1844</v>
      </c>
      <c r="D153">
        <v>10</v>
      </c>
      <c r="E153" t="s">
        <v>1447</v>
      </c>
      <c r="F153" t="s">
        <v>1848</v>
      </c>
      <c r="G153" t="s">
        <v>1806</v>
      </c>
      <c r="H153" t="s">
        <v>2279</v>
      </c>
      <c r="I153" t="s">
        <v>2279</v>
      </c>
      <c r="J153">
        <v>44.267773537700002</v>
      </c>
      <c r="K153" t="s">
        <v>2279</v>
      </c>
      <c r="L153" t="s">
        <v>2279</v>
      </c>
      <c r="M153" t="s">
        <v>2279</v>
      </c>
      <c r="N153" t="s">
        <v>2279</v>
      </c>
      <c r="O153" s="190" t="str">
        <f>"["&amp;$C153&amp;"]["&amp;$D153&amp;"]["&amp;$F153&amp;"]"</f>
        <v>[S05_InstallationFuelConsEmissions][10][FuelAnnualEmissions]</v>
      </c>
    </row>
    <row r="154" spans="1:15" x14ac:dyDescent="0.3">
      <c r="A154" t="s">
        <v>2277</v>
      </c>
      <c r="B154" t="s">
        <v>1843</v>
      </c>
      <c r="C154" t="s">
        <v>1844</v>
      </c>
      <c r="D154">
        <v>12</v>
      </c>
      <c r="E154" t="s">
        <v>1447</v>
      </c>
      <c r="F154" t="s">
        <v>1848</v>
      </c>
      <c r="G154" t="s">
        <v>1806</v>
      </c>
      <c r="H154" t="s">
        <v>2279</v>
      </c>
      <c r="I154" t="s">
        <v>2279</v>
      </c>
      <c r="J154">
        <v>172.86459012130001</v>
      </c>
      <c r="K154" t="s">
        <v>2279</v>
      </c>
      <c r="L154" t="s">
        <v>2279</v>
      </c>
      <c r="M154" t="s">
        <v>2279</v>
      </c>
      <c r="N154" t="s">
        <v>2279</v>
      </c>
      <c r="O154" s="190" t="str">
        <f>"["&amp;$C154&amp;"]["&amp;$D154&amp;"]["&amp;$F154&amp;"]"</f>
        <v>[S05_InstallationFuelConsEmissions][12][FuelAnnualEmissions]</v>
      </c>
    </row>
    <row r="155" spans="1:15" x14ac:dyDescent="0.3">
      <c r="A155" t="s">
        <v>2277</v>
      </c>
      <c r="B155" t="s">
        <v>1846</v>
      </c>
      <c r="C155" t="s">
        <v>1849</v>
      </c>
      <c r="D155">
        <v>1</v>
      </c>
      <c r="E155" t="s">
        <v>1447</v>
      </c>
      <c r="F155" t="s">
        <v>1850</v>
      </c>
      <c r="G155" t="s">
        <v>1737</v>
      </c>
      <c r="H155" t="s">
        <v>2279</v>
      </c>
      <c r="I155" t="s">
        <v>2279</v>
      </c>
      <c r="J155" t="s">
        <v>2279</v>
      </c>
      <c r="K155" t="s">
        <v>2279</v>
      </c>
      <c r="L155" t="s">
        <v>1425</v>
      </c>
      <c r="M155" t="s">
        <v>2279</v>
      </c>
      <c r="N155" t="s">
        <v>2279</v>
      </c>
      <c r="O155" s="190" t="str">
        <f>"["&amp;$C155&amp;"]["&amp;$D155&amp;"]["&amp;$F155&amp;"]"</f>
        <v>[S05_AggregateTotalEmissionsByCRF][1][CRFCategory1]</v>
      </c>
    </row>
    <row r="156" spans="1:15" x14ac:dyDescent="0.3">
      <c r="A156" t="s">
        <v>2277</v>
      </c>
      <c r="B156" t="s">
        <v>1846</v>
      </c>
      <c r="C156" t="s">
        <v>1849</v>
      </c>
      <c r="D156">
        <v>2</v>
      </c>
      <c r="E156" t="s">
        <v>1447</v>
      </c>
      <c r="F156" t="s">
        <v>1850</v>
      </c>
      <c r="G156" t="s">
        <v>1737</v>
      </c>
      <c r="H156" t="s">
        <v>2279</v>
      </c>
      <c r="I156" t="s">
        <v>2279</v>
      </c>
      <c r="J156" t="s">
        <v>2279</v>
      </c>
      <c r="K156" t="s">
        <v>2279</v>
      </c>
      <c r="L156" t="s">
        <v>1519</v>
      </c>
      <c r="M156" t="s">
        <v>2279</v>
      </c>
      <c r="N156" t="s">
        <v>2279</v>
      </c>
      <c r="O156" s="190" t="str">
        <f>"["&amp;$C156&amp;"]["&amp;$D156&amp;"]["&amp;$F156&amp;"]"</f>
        <v>[S05_AggregateTotalEmissionsByCRF][2][CRFCategory1]</v>
      </c>
    </row>
    <row r="157" spans="1:15" x14ac:dyDescent="0.3">
      <c r="A157" t="s">
        <v>2277</v>
      </c>
      <c r="B157" t="s">
        <v>1846</v>
      </c>
      <c r="C157" t="s">
        <v>1849</v>
      </c>
      <c r="D157">
        <v>3</v>
      </c>
      <c r="E157" t="s">
        <v>1447</v>
      </c>
      <c r="F157" t="s">
        <v>1850</v>
      </c>
      <c r="G157" t="s">
        <v>1737</v>
      </c>
      <c r="H157" t="s">
        <v>2279</v>
      </c>
      <c r="I157" t="s">
        <v>2279</v>
      </c>
      <c r="J157" t="s">
        <v>2279</v>
      </c>
      <c r="K157" t="s">
        <v>2279</v>
      </c>
      <c r="L157" t="s">
        <v>1588</v>
      </c>
      <c r="M157" t="s">
        <v>2279</v>
      </c>
      <c r="N157" t="s">
        <v>2279</v>
      </c>
      <c r="O157" s="190" t="str">
        <f>"["&amp;$C157&amp;"]["&amp;$D157&amp;"]["&amp;$F157&amp;"]"</f>
        <v>[S05_AggregateTotalEmissionsByCRF][3][CRFCategory1]</v>
      </c>
    </row>
    <row r="158" spans="1:15" x14ac:dyDescent="0.3">
      <c r="A158" t="s">
        <v>2277</v>
      </c>
      <c r="B158" t="s">
        <v>1846</v>
      </c>
      <c r="C158" t="s">
        <v>1849</v>
      </c>
      <c r="D158">
        <v>4</v>
      </c>
      <c r="E158" t="s">
        <v>1447</v>
      </c>
      <c r="F158" t="s">
        <v>1851</v>
      </c>
      <c r="G158" t="s">
        <v>1737</v>
      </c>
      <c r="H158" t="s">
        <v>2279</v>
      </c>
      <c r="I158" t="s">
        <v>2279</v>
      </c>
      <c r="J158" t="s">
        <v>2279</v>
      </c>
      <c r="K158" t="s">
        <v>2279</v>
      </c>
      <c r="L158" t="s">
        <v>1426</v>
      </c>
      <c r="M158" t="s">
        <v>2279</v>
      </c>
      <c r="N158" t="s">
        <v>2279</v>
      </c>
      <c r="O158" s="190" t="str">
        <f>"["&amp;$C158&amp;"]["&amp;$D158&amp;"]["&amp;$F158&amp;"]"</f>
        <v>[S05_AggregateTotalEmissionsByCRF][4][CRFCategory2]</v>
      </c>
    </row>
    <row r="159" spans="1:15" x14ac:dyDescent="0.3">
      <c r="A159" t="s">
        <v>2277</v>
      </c>
      <c r="B159" t="s">
        <v>1846</v>
      </c>
      <c r="C159" t="s">
        <v>1849</v>
      </c>
      <c r="D159">
        <v>5</v>
      </c>
      <c r="E159" t="s">
        <v>1447</v>
      </c>
      <c r="F159" t="s">
        <v>1851</v>
      </c>
      <c r="G159" t="s">
        <v>1737</v>
      </c>
      <c r="H159" t="s">
        <v>2279</v>
      </c>
      <c r="I159" t="s">
        <v>2279</v>
      </c>
      <c r="J159" t="s">
        <v>2279</v>
      </c>
      <c r="K159" t="s">
        <v>2279</v>
      </c>
      <c r="L159" t="s">
        <v>1482</v>
      </c>
      <c r="M159" t="s">
        <v>2279</v>
      </c>
      <c r="N159" t="s">
        <v>2279</v>
      </c>
      <c r="O159" s="190" t="str">
        <f>"["&amp;$C159&amp;"]["&amp;$D159&amp;"]["&amp;$F159&amp;"]"</f>
        <v>[S05_AggregateTotalEmissionsByCRF][5][CRFCategory2]</v>
      </c>
    </row>
    <row r="160" spans="1:15" x14ac:dyDescent="0.3">
      <c r="A160" t="s">
        <v>2277</v>
      </c>
      <c r="B160" t="s">
        <v>1846</v>
      </c>
      <c r="C160" t="s">
        <v>1849</v>
      </c>
      <c r="D160">
        <v>6</v>
      </c>
      <c r="E160" t="s">
        <v>1447</v>
      </c>
      <c r="F160" t="s">
        <v>1851</v>
      </c>
      <c r="G160" t="s">
        <v>1737</v>
      </c>
      <c r="H160" t="s">
        <v>2279</v>
      </c>
      <c r="I160" t="s">
        <v>2279</v>
      </c>
      <c r="J160" t="s">
        <v>2279</v>
      </c>
      <c r="K160" t="s">
        <v>2279</v>
      </c>
      <c r="L160" t="s">
        <v>1504</v>
      </c>
      <c r="M160" t="s">
        <v>2279</v>
      </c>
      <c r="N160" t="s">
        <v>2279</v>
      </c>
      <c r="O160" s="190" t="str">
        <f>"["&amp;$C160&amp;"]["&amp;$D160&amp;"]["&amp;$F160&amp;"]"</f>
        <v>[S05_AggregateTotalEmissionsByCRF][6][CRFCategory2]</v>
      </c>
    </row>
    <row r="161" spans="1:15" x14ac:dyDescent="0.3">
      <c r="A161" t="s">
        <v>2277</v>
      </c>
      <c r="B161" t="s">
        <v>1846</v>
      </c>
      <c r="C161" t="s">
        <v>1849</v>
      </c>
      <c r="D161">
        <v>1</v>
      </c>
      <c r="E161" t="s">
        <v>1447</v>
      </c>
      <c r="F161" t="s">
        <v>1852</v>
      </c>
      <c r="G161" t="s">
        <v>1806</v>
      </c>
      <c r="H161" t="s">
        <v>2279</v>
      </c>
      <c r="I161" t="s">
        <v>2279</v>
      </c>
      <c r="J161">
        <v>1176886.3973998099</v>
      </c>
      <c r="K161" t="s">
        <v>2279</v>
      </c>
      <c r="L161" t="s">
        <v>2279</v>
      </c>
      <c r="M161" t="s">
        <v>2279</v>
      </c>
      <c r="N161" t="s">
        <v>2279</v>
      </c>
      <c r="O161" s="190" t="str">
        <f>"["&amp;$C161&amp;"]["&amp;$D161&amp;"]["&amp;$F161&amp;"]"</f>
        <v>[S05_AggregateTotalEmissionsByCRF][1][TotalEmissionsTCo2e]</v>
      </c>
    </row>
    <row r="162" spans="1:15" x14ac:dyDescent="0.3">
      <c r="A162" t="s">
        <v>2277</v>
      </c>
      <c r="B162" t="s">
        <v>1846</v>
      </c>
      <c r="C162" t="s">
        <v>1849</v>
      </c>
      <c r="D162">
        <v>2</v>
      </c>
      <c r="E162" t="s">
        <v>1447</v>
      </c>
      <c r="F162" t="s">
        <v>1852</v>
      </c>
      <c r="G162" t="s">
        <v>1806</v>
      </c>
      <c r="H162" t="s">
        <v>2279</v>
      </c>
      <c r="I162" t="s">
        <v>2279</v>
      </c>
      <c r="J162">
        <v>302597.41950252297</v>
      </c>
      <c r="K162" t="s">
        <v>2279</v>
      </c>
      <c r="L162" t="s">
        <v>2279</v>
      </c>
      <c r="M162" t="s">
        <v>2279</v>
      </c>
      <c r="N162" t="s">
        <v>2279</v>
      </c>
      <c r="O162" s="190" t="str">
        <f>"["&amp;$C162&amp;"]["&amp;$D162&amp;"]["&amp;$F162&amp;"]"</f>
        <v>[S05_AggregateTotalEmissionsByCRF][2][TotalEmissionsTCo2e]</v>
      </c>
    </row>
    <row r="163" spans="1:15" x14ac:dyDescent="0.3">
      <c r="A163" t="s">
        <v>2277</v>
      </c>
      <c r="B163" t="s">
        <v>1846</v>
      </c>
      <c r="C163" t="s">
        <v>1849</v>
      </c>
      <c r="D163">
        <v>3</v>
      </c>
      <c r="E163" t="s">
        <v>1447</v>
      </c>
      <c r="F163" t="s">
        <v>1852</v>
      </c>
      <c r="G163" t="s">
        <v>1806</v>
      </c>
      <c r="H163" t="s">
        <v>2279</v>
      </c>
      <c r="I163" t="s">
        <v>2279</v>
      </c>
      <c r="J163">
        <v>11082.198618061801</v>
      </c>
      <c r="K163" t="s">
        <v>2279</v>
      </c>
      <c r="L163" t="s">
        <v>2279</v>
      </c>
      <c r="M163" t="s">
        <v>2279</v>
      </c>
      <c r="N163" t="s">
        <v>2279</v>
      </c>
      <c r="O163" s="190" t="str">
        <f>"["&amp;$C163&amp;"]["&amp;$D163&amp;"]["&amp;$F163&amp;"]"</f>
        <v>[S05_AggregateTotalEmissionsByCRF][3][TotalEmissionsTCo2e]</v>
      </c>
    </row>
    <row r="164" spans="1:15" x14ac:dyDescent="0.3">
      <c r="A164" t="s">
        <v>2277</v>
      </c>
      <c r="B164" t="s">
        <v>1846</v>
      </c>
      <c r="C164" t="s">
        <v>1849</v>
      </c>
      <c r="D164">
        <v>4</v>
      </c>
      <c r="E164" t="s">
        <v>1447</v>
      </c>
      <c r="F164" t="s">
        <v>1852</v>
      </c>
      <c r="G164" t="s">
        <v>1806</v>
      </c>
      <c r="H164" t="s">
        <v>2279</v>
      </c>
      <c r="I164" t="s">
        <v>2279</v>
      </c>
      <c r="J164">
        <v>563882.98049999995</v>
      </c>
      <c r="K164" t="s">
        <v>2279</v>
      </c>
      <c r="L164" t="s">
        <v>2279</v>
      </c>
      <c r="M164" t="s">
        <v>2279</v>
      </c>
      <c r="N164" t="s">
        <v>2279</v>
      </c>
      <c r="O164" s="190" t="str">
        <f>"["&amp;$C164&amp;"]["&amp;$D164&amp;"]["&amp;$F164&amp;"]"</f>
        <v>[S05_AggregateTotalEmissionsByCRF][4][TotalEmissionsTCo2e]</v>
      </c>
    </row>
    <row r="165" spans="1:15" x14ac:dyDescent="0.3">
      <c r="A165" t="s">
        <v>2277</v>
      </c>
      <c r="B165" t="s">
        <v>1846</v>
      </c>
      <c r="C165" t="s">
        <v>1849</v>
      </c>
      <c r="D165">
        <v>5</v>
      </c>
      <c r="E165" t="s">
        <v>1447</v>
      </c>
      <c r="F165" t="s">
        <v>1852</v>
      </c>
      <c r="G165" t="s">
        <v>1806</v>
      </c>
      <c r="H165" t="s">
        <v>2279</v>
      </c>
      <c r="I165" t="s">
        <v>2279</v>
      </c>
      <c r="J165">
        <v>949.30586000000005</v>
      </c>
      <c r="K165" t="s">
        <v>2279</v>
      </c>
      <c r="L165" t="s">
        <v>2279</v>
      </c>
      <c r="M165" t="s">
        <v>2279</v>
      </c>
      <c r="N165" t="s">
        <v>2279</v>
      </c>
      <c r="O165" s="190" t="str">
        <f>"["&amp;$C165&amp;"]["&amp;$D165&amp;"]["&amp;$F165&amp;"]"</f>
        <v>[S05_AggregateTotalEmissionsByCRF][5][TotalEmissionsTCo2e]</v>
      </c>
    </row>
    <row r="166" spans="1:15" x14ac:dyDescent="0.3">
      <c r="A166" t="s">
        <v>2277</v>
      </c>
      <c r="B166" t="s">
        <v>1846</v>
      </c>
      <c r="C166" t="s">
        <v>1849</v>
      </c>
      <c r="D166">
        <v>6</v>
      </c>
      <c r="E166" t="s">
        <v>1447</v>
      </c>
      <c r="F166" t="s">
        <v>1852</v>
      </c>
      <c r="G166" t="s">
        <v>1806</v>
      </c>
      <c r="H166" t="s">
        <v>2279</v>
      </c>
      <c r="I166" t="s">
        <v>2279</v>
      </c>
      <c r="J166">
        <v>8183.2470240000002</v>
      </c>
      <c r="K166" t="s">
        <v>2279</v>
      </c>
      <c r="L166" t="s">
        <v>2279</v>
      </c>
      <c r="M166" t="s">
        <v>2279</v>
      </c>
      <c r="N166" t="s">
        <v>2279</v>
      </c>
      <c r="O166" s="190" t="str">
        <f>"["&amp;$C166&amp;"]["&amp;$D166&amp;"]["&amp;$F166&amp;"]"</f>
        <v>[S05_AggregateTotalEmissionsByCRF][6][TotalEmissionsTCo2e]</v>
      </c>
    </row>
    <row r="167" spans="1:15" x14ac:dyDescent="0.3">
      <c r="A167" t="s">
        <v>2277</v>
      </c>
      <c r="B167" t="s">
        <v>1846</v>
      </c>
      <c r="C167" t="s">
        <v>1849</v>
      </c>
      <c r="D167">
        <v>1</v>
      </c>
      <c r="E167" t="s">
        <v>1447</v>
      </c>
      <c r="F167" t="s">
        <v>1853</v>
      </c>
      <c r="G167" t="s">
        <v>1806</v>
      </c>
      <c r="H167" t="s">
        <v>2279</v>
      </c>
      <c r="I167" t="s">
        <v>2279</v>
      </c>
      <c r="J167">
        <v>1176886.3973998099</v>
      </c>
      <c r="K167" t="s">
        <v>2279</v>
      </c>
      <c r="L167" t="s">
        <v>2279</v>
      </c>
      <c r="M167" t="s">
        <v>2279</v>
      </c>
      <c r="N167" t="s">
        <v>2279</v>
      </c>
      <c r="O167" s="190" t="str">
        <f>"["&amp;$C167&amp;"]["&amp;$D167&amp;"]["&amp;$F167&amp;"]"</f>
        <v>[S05_AggregateTotalEmissionsByCRF][1][TotalCombustionEmissionsTCo2e]</v>
      </c>
    </row>
    <row r="168" spans="1:15" x14ac:dyDescent="0.3">
      <c r="A168" t="s">
        <v>2277</v>
      </c>
      <c r="B168" t="s">
        <v>1846</v>
      </c>
      <c r="C168" t="s">
        <v>1849</v>
      </c>
      <c r="D168">
        <v>2</v>
      </c>
      <c r="E168" t="s">
        <v>1447</v>
      </c>
      <c r="F168" t="s">
        <v>1853</v>
      </c>
      <c r="G168" t="s">
        <v>1806</v>
      </c>
      <c r="H168" t="s">
        <v>2279</v>
      </c>
      <c r="I168" t="s">
        <v>2279</v>
      </c>
      <c r="J168">
        <v>302597.41950252297</v>
      </c>
      <c r="K168" t="s">
        <v>2279</v>
      </c>
      <c r="L168" t="s">
        <v>2279</v>
      </c>
      <c r="M168" t="s">
        <v>2279</v>
      </c>
      <c r="N168" t="s">
        <v>2279</v>
      </c>
      <c r="O168" s="190" t="str">
        <f>"["&amp;$C168&amp;"]["&amp;$D168&amp;"]["&amp;$F168&amp;"]"</f>
        <v>[S05_AggregateTotalEmissionsByCRF][2][TotalCombustionEmissionsTCo2e]</v>
      </c>
    </row>
    <row r="169" spans="1:15" x14ac:dyDescent="0.3">
      <c r="A169" t="s">
        <v>2277</v>
      </c>
      <c r="B169" t="s">
        <v>1846</v>
      </c>
      <c r="C169" t="s">
        <v>1849</v>
      </c>
      <c r="D169">
        <v>3</v>
      </c>
      <c r="E169" t="s">
        <v>1447</v>
      </c>
      <c r="F169" t="s">
        <v>1853</v>
      </c>
      <c r="G169" t="s">
        <v>1806</v>
      </c>
      <c r="H169" t="s">
        <v>2279</v>
      </c>
      <c r="I169" t="s">
        <v>2279</v>
      </c>
      <c r="J169">
        <v>11082.198618061801</v>
      </c>
      <c r="K169" t="s">
        <v>2279</v>
      </c>
      <c r="L169" t="s">
        <v>2279</v>
      </c>
      <c r="M169" t="s">
        <v>2279</v>
      </c>
      <c r="N169" t="s">
        <v>2279</v>
      </c>
      <c r="O169" s="190" t="str">
        <f>"["&amp;$C169&amp;"]["&amp;$D169&amp;"]["&amp;$F169&amp;"]"</f>
        <v>[S05_AggregateTotalEmissionsByCRF][3][TotalCombustionEmissionsTCo2e]</v>
      </c>
    </row>
    <row r="170" spans="1:15" x14ac:dyDescent="0.3">
      <c r="A170" t="s">
        <v>2277</v>
      </c>
      <c r="B170" t="s">
        <v>1846</v>
      </c>
      <c r="C170" t="s">
        <v>1849</v>
      </c>
      <c r="D170">
        <v>4</v>
      </c>
      <c r="E170" t="s">
        <v>1447</v>
      </c>
      <c r="F170" t="s">
        <v>1854</v>
      </c>
      <c r="G170" t="s">
        <v>1806</v>
      </c>
      <c r="H170" t="s">
        <v>2279</v>
      </c>
      <c r="I170" t="s">
        <v>2279</v>
      </c>
      <c r="J170">
        <v>563882.98049999995</v>
      </c>
      <c r="K170" t="s">
        <v>2279</v>
      </c>
      <c r="L170" t="s">
        <v>2279</v>
      </c>
      <c r="M170" t="s">
        <v>2279</v>
      </c>
      <c r="N170" t="s">
        <v>2279</v>
      </c>
      <c r="O170" s="190" t="str">
        <f>"["&amp;$C170&amp;"]["&amp;$D170&amp;"]["&amp;$F170&amp;"]"</f>
        <v>[S05_AggregateTotalEmissionsByCRF][4][TotalProcessEmissionsTCo2e]</v>
      </c>
    </row>
    <row r="171" spans="1:15" x14ac:dyDescent="0.3">
      <c r="A171" t="s">
        <v>2277</v>
      </c>
      <c r="B171" t="s">
        <v>1846</v>
      </c>
      <c r="C171" t="s">
        <v>1849</v>
      </c>
      <c r="D171">
        <v>5</v>
      </c>
      <c r="E171" t="s">
        <v>1447</v>
      </c>
      <c r="F171" t="s">
        <v>1854</v>
      </c>
      <c r="G171" t="s">
        <v>1806</v>
      </c>
      <c r="H171" t="s">
        <v>2279</v>
      </c>
      <c r="I171" t="s">
        <v>2279</v>
      </c>
      <c r="J171">
        <v>949.30586000000005</v>
      </c>
      <c r="K171" t="s">
        <v>2279</v>
      </c>
      <c r="L171" t="s">
        <v>2279</v>
      </c>
      <c r="M171" t="s">
        <v>2279</v>
      </c>
      <c r="N171" t="s">
        <v>2279</v>
      </c>
      <c r="O171" s="190" t="str">
        <f>"["&amp;$C171&amp;"]["&amp;$D171&amp;"]["&amp;$F171&amp;"]"</f>
        <v>[S05_AggregateTotalEmissionsByCRF][5][TotalProcessEmissionsTCo2e]</v>
      </c>
    </row>
    <row r="172" spans="1:15" x14ac:dyDescent="0.3">
      <c r="A172" t="s">
        <v>2277</v>
      </c>
      <c r="B172" t="s">
        <v>1846</v>
      </c>
      <c r="C172" t="s">
        <v>1849</v>
      </c>
      <c r="D172">
        <v>6</v>
      </c>
      <c r="E172" t="s">
        <v>1447</v>
      </c>
      <c r="F172" t="s">
        <v>1854</v>
      </c>
      <c r="G172" t="s">
        <v>1806</v>
      </c>
      <c r="H172" t="s">
        <v>2279</v>
      </c>
      <c r="I172" t="s">
        <v>2279</v>
      </c>
      <c r="J172">
        <v>8183.2470240000002</v>
      </c>
      <c r="K172" t="s">
        <v>2279</v>
      </c>
      <c r="L172" t="s">
        <v>2279</v>
      </c>
      <c r="M172" t="s">
        <v>2279</v>
      </c>
      <c r="N172" t="s">
        <v>2279</v>
      </c>
      <c r="O172" s="190" t="str">
        <f>"["&amp;$C172&amp;"]["&amp;$D172&amp;"]["&amp;$F172&amp;"]"</f>
        <v>[S05_AggregateTotalEmissionsByCRF][6][TotalProcessEmissionsTCo2e]</v>
      </c>
    </row>
    <row r="173" spans="1:15" x14ac:dyDescent="0.3">
      <c r="A173" t="s">
        <v>2277</v>
      </c>
      <c r="B173" t="s">
        <v>1879</v>
      </c>
      <c r="C173" t="s">
        <v>1880</v>
      </c>
      <c r="D173">
        <v>0</v>
      </c>
      <c r="E173" t="s">
        <v>1447</v>
      </c>
      <c r="F173" t="s">
        <v>1880</v>
      </c>
      <c r="G173" t="s">
        <v>1759</v>
      </c>
      <c r="H173" t="s">
        <v>2279</v>
      </c>
      <c r="I173" t="s">
        <v>2279</v>
      </c>
      <c r="J173" t="s">
        <v>2279</v>
      </c>
      <c r="K173" t="s">
        <v>2279</v>
      </c>
      <c r="L173" t="s">
        <v>1447</v>
      </c>
      <c r="M173" t="s">
        <v>2279</v>
      </c>
      <c r="N173" t="s">
        <v>2279</v>
      </c>
      <c r="O173" s="190" t="str">
        <f>"["&amp;$C173&amp;"]["&amp;$D173&amp;"]["&amp;$F173&amp;"]"</f>
        <v>[FallBackApproachApplied][0][FallBackApproachApplied]</v>
      </c>
    </row>
    <row r="174" spans="1:15" x14ac:dyDescent="0.3">
      <c r="A174" t="s">
        <v>2277</v>
      </c>
      <c r="B174" t="s">
        <v>1892</v>
      </c>
      <c r="C174" t="s">
        <v>1893</v>
      </c>
      <c r="D174">
        <v>0</v>
      </c>
      <c r="E174" t="s">
        <v>1447</v>
      </c>
      <c r="F174" t="s">
        <v>1893</v>
      </c>
      <c r="G174" t="s">
        <v>1759</v>
      </c>
      <c r="H174" t="s">
        <v>2279</v>
      </c>
      <c r="I174" t="s">
        <v>2279</v>
      </c>
      <c r="J174" t="s">
        <v>2279</v>
      </c>
      <c r="K174" t="s">
        <v>2279</v>
      </c>
      <c r="L174" t="s">
        <v>1447</v>
      </c>
      <c r="M174" t="s">
        <v>2279</v>
      </c>
      <c r="N174" t="s">
        <v>2279</v>
      </c>
      <c r="O174" s="190" t="str">
        <f>"["&amp;$C174&amp;"]["&amp;$D174&amp;"]["&amp;$F174&amp;"]"</f>
        <v>[InherentCarbonTransferred][0][InherentCarbonTransferred]</v>
      </c>
    </row>
    <row r="175" spans="1:15" x14ac:dyDescent="0.3">
      <c r="A175" t="s">
        <v>2277</v>
      </c>
      <c r="B175" t="s">
        <v>1902</v>
      </c>
      <c r="C175" t="s">
        <v>1903</v>
      </c>
      <c r="D175">
        <v>0</v>
      </c>
      <c r="E175" t="s">
        <v>1447</v>
      </c>
      <c r="F175" t="s">
        <v>1903</v>
      </c>
      <c r="G175" t="s">
        <v>1759</v>
      </c>
      <c r="H175" t="s">
        <v>2279</v>
      </c>
      <c r="I175" t="s">
        <v>2279</v>
      </c>
      <c r="J175" t="s">
        <v>2279</v>
      </c>
      <c r="K175" t="s">
        <v>2279</v>
      </c>
      <c r="L175" t="s">
        <v>1447</v>
      </c>
      <c r="M175" t="s">
        <v>2279</v>
      </c>
      <c r="N175" t="s">
        <v>2279</v>
      </c>
      <c r="O175" s="190" t="str">
        <f>"["&amp;$C175&amp;"]["&amp;$D175&amp;"]["&amp;$F175&amp;"]"</f>
        <v>[ContinuousEmissionsMeasurement][0][ContinuousEmissionsMeasurement]</v>
      </c>
    </row>
    <row r="176" spans="1:15" x14ac:dyDescent="0.3">
      <c r="A176" t="s">
        <v>2277</v>
      </c>
      <c r="B176" t="s">
        <v>1921</v>
      </c>
      <c r="C176" t="s">
        <v>1922</v>
      </c>
      <c r="D176">
        <v>0</v>
      </c>
      <c r="E176" t="s">
        <v>1447</v>
      </c>
      <c r="F176" t="s">
        <v>1922</v>
      </c>
      <c r="G176" t="s">
        <v>1806</v>
      </c>
      <c r="H176" t="s">
        <v>2279</v>
      </c>
      <c r="I176" t="s">
        <v>2279</v>
      </c>
      <c r="J176">
        <v>140925.1391</v>
      </c>
      <c r="K176" t="s">
        <v>2279</v>
      </c>
      <c r="L176" t="s">
        <v>2279</v>
      </c>
      <c r="M176" t="s">
        <v>2279</v>
      </c>
      <c r="N176" t="s">
        <v>2279</v>
      </c>
      <c r="O176" s="190" t="str">
        <f>"["&amp;$C176&amp;"]["&amp;$D176&amp;"]["&amp;$F176&amp;"]"</f>
        <v>[WasteFuelFossilCO2][0][WasteFuelFossilCO2]</v>
      </c>
    </row>
    <row r="177" spans="1:15" x14ac:dyDescent="0.3">
      <c r="A177" t="s">
        <v>2277</v>
      </c>
      <c r="B177" t="s">
        <v>1923</v>
      </c>
      <c r="C177" t="s">
        <v>1924</v>
      </c>
      <c r="D177">
        <v>0</v>
      </c>
      <c r="E177" t="s">
        <v>1447</v>
      </c>
      <c r="F177" t="s">
        <v>1924</v>
      </c>
      <c r="G177" t="s">
        <v>1759</v>
      </c>
      <c r="H177" t="s">
        <v>2279</v>
      </c>
      <c r="I177" t="s">
        <v>2279</v>
      </c>
      <c r="J177" t="s">
        <v>2279</v>
      </c>
      <c r="K177" t="s">
        <v>2279</v>
      </c>
      <c r="L177" t="s">
        <v>1447</v>
      </c>
      <c r="M177" t="s">
        <v>2279</v>
      </c>
      <c r="N177" t="s">
        <v>2279</v>
      </c>
      <c r="O177" s="190" t="str">
        <f>"["&amp;$C177&amp;"]["&amp;$D177&amp;"]["&amp;$F177&amp;"]"</f>
        <v>[SimplifiedMonitoringArt13][0][SimplifiedMonitoringArt13]</v>
      </c>
    </row>
    <row r="178" spans="1:15" x14ac:dyDescent="0.3">
      <c r="A178" t="s">
        <v>2277</v>
      </c>
      <c r="B178" t="s">
        <v>1928</v>
      </c>
      <c r="C178" t="s">
        <v>1929</v>
      </c>
      <c r="D178">
        <v>1</v>
      </c>
      <c r="E178" t="s">
        <v>1447</v>
      </c>
      <c r="F178" t="s">
        <v>1930</v>
      </c>
      <c r="G178" t="s">
        <v>1748</v>
      </c>
      <c r="H178" t="s">
        <v>2279</v>
      </c>
      <c r="I178">
        <v>1</v>
      </c>
      <c r="J178" t="s">
        <v>2279</v>
      </c>
      <c r="K178" t="s">
        <v>2279</v>
      </c>
      <c r="L178" t="s">
        <v>2279</v>
      </c>
      <c r="M178" t="s">
        <v>2279</v>
      </c>
      <c r="N178" t="s">
        <v>2279</v>
      </c>
      <c r="O178" s="190" t="str">
        <f>"["&amp;$C178&amp;"]["&amp;$D178&amp;"]["&amp;$F178&amp;"]"</f>
        <v>[S05_AircraftMethodFuelConsumption][1][CountAircraftOperators]</v>
      </c>
    </row>
    <row r="179" spans="1:15" x14ac:dyDescent="0.3">
      <c r="A179" t="s">
        <v>2277</v>
      </c>
      <c r="B179" t="s">
        <v>1928</v>
      </c>
      <c r="C179" t="s">
        <v>1929</v>
      </c>
      <c r="D179">
        <v>2</v>
      </c>
      <c r="E179" t="s">
        <v>1447</v>
      </c>
      <c r="F179" t="s">
        <v>1930</v>
      </c>
      <c r="G179" t="s">
        <v>1748</v>
      </c>
      <c r="H179" t="s">
        <v>2279</v>
      </c>
      <c r="I179">
        <v>1</v>
      </c>
      <c r="J179" t="s">
        <v>2279</v>
      </c>
      <c r="K179" t="s">
        <v>2279</v>
      </c>
      <c r="L179" t="s">
        <v>2279</v>
      </c>
      <c r="M179" t="s">
        <v>2279</v>
      </c>
      <c r="N179" t="s">
        <v>2279</v>
      </c>
      <c r="O179" s="190" t="str">
        <f>"["&amp;$C179&amp;"]["&amp;$D179&amp;"]["&amp;$F179&amp;"]"</f>
        <v>[S05_AircraftMethodFuelConsumption][2][CountAircraftOperators]</v>
      </c>
    </row>
    <row r="180" spans="1:15" x14ac:dyDescent="0.3">
      <c r="A180" t="s">
        <v>2277</v>
      </c>
      <c r="B180" t="s">
        <v>1928</v>
      </c>
      <c r="C180" t="s">
        <v>1929</v>
      </c>
      <c r="D180">
        <v>3</v>
      </c>
      <c r="E180" t="s">
        <v>1447</v>
      </c>
      <c r="F180" t="s">
        <v>1930</v>
      </c>
      <c r="G180" t="s">
        <v>1748</v>
      </c>
      <c r="H180" t="s">
        <v>2279</v>
      </c>
      <c r="I180">
        <v>0</v>
      </c>
      <c r="J180" t="s">
        <v>2279</v>
      </c>
      <c r="K180" t="s">
        <v>2279</v>
      </c>
      <c r="L180" t="s">
        <v>2279</v>
      </c>
      <c r="M180" t="s">
        <v>2279</v>
      </c>
      <c r="N180" t="s">
        <v>2279</v>
      </c>
      <c r="O180" s="190" t="str">
        <f>"["&amp;$C180&amp;"]["&amp;$D180&amp;"]["&amp;$F180&amp;"]"</f>
        <v>[S05_AircraftMethodFuelConsumption][3][CountAircraftOperators]</v>
      </c>
    </row>
    <row r="181" spans="1:15" x14ac:dyDescent="0.3">
      <c r="A181" t="s">
        <v>2277</v>
      </c>
      <c r="B181" t="s">
        <v>1928</v>
      </c>
      <c r="C181" t="s">
        <v>1929</v>
      </c>
      <c r="D181">
        <v>1</v>
      </c>
      <c r="E181" t="s">
        <v>1447</v>
      </c>
      <c r="F181" t="s">
        <v>1931</v>
      </c>
      <c r="G181" t="s">
        <v>1806</v>
      </c>
      <c r="H181" t="s">
        <v>2279</v>
      </c>
      <c r="I181" t="s">
        <v>2279</v>
      </c>
      <c r="J181">
        <v>0</v>
      </c>
      <c r="K181" t="s">
        <v>2279</v>
      </c>
      <c r="L181" t="s">
        <v>2279</v>
      </c>
      <c r="M181" t="s">
        <v>2279</v>
      </c>
      <c r="N181" t="s">
        <v>2279</v>
      </c>
      <c r="O181" s="190" t="str">
        <f>"["&amp;$C181&amp;"]["&amp;$D181&amp;"]["&amp;$F181&amp;"]"</f>
        <v>[S05_AircraftMethodFuelConsumption][1][SmallEmittersShare]</v>
      </c>
    </row>
    <row r="182" spans="1:15" x14ac:dyDescent="0.3">
      <c r="A182" t="s">
        <v>2277</v>
      </c>
      <c r="B182" t="s">
        <v>1928</v>
      </c>
      <c r="C182" t="s">
        <v>1929</v>
      </c>
      <c r="D182">
        <v>2</v>
      </c>
      <c r="E182" t="s">
        <v>1447</v>
      </c>
      <c r="F182" t="s">
        <v>1931</v>
      </c>
      <c r="G182" t="s">
        <v>1806</v>
      </c>
      <c r="H182" t="s">
        <v>2279</v>
      </c>
      <c r="I182" t="s">
        <v>2279</v>
      </c>
      <c r="J182">
        <v>0</v>
      </c>
      <c r="K182" t="s">
        <v>2279</v>
      </c>
      <c r="L182" t="s">
        <v>2279</v>
      </c>
      <c r="M182" t="s">
        <v>2279</v>
      </c>
      <c r="N182" t="s">
        <v>2279</v>
      </c>
      <c r="O182" s="190" t="str">
        <f>"["&amp;$C182&amp;"]["&amp;$D182&amp;"]["&amp;$F182&amp;"]"</f>
        <v>[S05_AircraftMethodFuelConsumption][2][SmallEmittersShare]</v>
      </c>
    </row>
    <row r="183" spans="1:15" x14ac:dyDescent="0.3">
      <c r="A183" t="s">
        <v>2277</v>
      </c>
      <c r="B183" t="s">
        <v>1928</v>
      </c>
      <c r="C183" t="s">
        <v>1929</v>
      </c>
      <c r="D183">
        <v>3</v>
      </c>
      <c r="E183" t="s">
        <v>1447</v>
      </c>
      <c r="F183" t="s">
        <v>1931</v>
      </c>
      <c r="G183" t="s">
        <v>1806</v>
      </c>
      <c r="H183" t="s">
        <v>2279</v>
      </c>
      <c r="I183" t="s">
        <v>2279</v>
      </c>
      <c r="J183">
        <v>0</v>
      </c>
      <c r="K183" t="s">
        <v>2279</v>
      </c>
      <c r="L183" t="s">
        <v>2279</v>
      </c>
      <c r="M183" t="s">
        <v>2279</v>
      </c>
      <c r="N183" t="s">
        <v>2279</v>
      </c>
      <c r="O183" s="190" t="str">
        <f>"["&amp;$C183&amp;"]["&amp;$D183&amp;"]["&amp;$F183&amp;"]"</f>
        <v>[S05_AircraftMethodFuelConsumption][3][SmallEmittersShare]</v>
      </c>
    </row>
    <row r="184" spans="1:15" x14ac:dyDescent="0.3">
      <c r="A184" t="s">
        <v>2277</v>
      </c>
      <c r="B184" t="s">
        <v>1932</v>
      </c>
      <c r="C184" t="s">
        <v>1933</v>
      </c>
      <c r="D184">
        <v>1</v>
      </c>
      <c r="E184" t="s">
        <v>1447</v>
      </c>
      <c r="F184" t="s">
        <v>1934</v>
      </c>
      <c r="G184" t="s">
        <v>1806</v>
      </c>
      <c r="H184" t="s">
        <v>2279</v>
      </c>
      <c r="I184" t="s">
        <v>2279</v>
      </c>
      <c r="J184">
        <v>230635</v>
      </c>
      <c r="K184" t="s">
        <v>2279</v>
      </c>
      <c r="L184" t="s">
        <v>2279</v>
      </c>
      <c r="M184" t="s">
        <v>2279</v>
      </c>
      <c r="N184" t="s">
        <v>2279</v>
      </c>
      <c r="O184" s="190" t="str">
        <f>"["&amp;$C184&amp;"]["&amp;$D184&amp;"]["&amp;$F184&amp;"]"</f>
        <v>[S05_TotalFlightEmissions][1][TotalFlightEmissions]</v>
      </c>
    </row>
    <row r="185" spans="1:15" x14ac:dyDescent="0.3">
      <c r="A185" t="s">
        <v>2277</v>
      </c>
      <c r="B185" t="s">
        <v>1932</v>
      </c>
      <c r="C185" t="s">
        <v>1933</v>
      </c>
      <c r="D185">
        <v>2</v>
      </c>
      <c r="E185" t="s">
        <v>1447</v>
      </c>
      <c r="F185" t="s">
        <v>1934</v>
      </c>
      <c r="G185" t="s">
        <v>1806</v>
      </c>
      <c r="H185" t="s">
        <v>2279</v>
      </c>
      <c r="I185" t="s">
        <v>2279</v>
      </c>
      <c r="J185">
        <v>41</v>
      </c>
      <c r="K185" t="s">
        <v>2279</v>
      </c>
      <c r="L185" t="s">
        <v>2279</v>
      </c>
      <c r="M185" t="s">
        <v>2279</v>
      </c>
      <c r="N185" t="s">
        <v>2279</v>
      </c>
      <c r="O185" s="190" t="str">
        <f>"["&amp;$C185&amp;"]["&amp;$D185&amp;"]["&amp;$F185&amp;"]"</f>
        <v>[S05_TotalFlightEmissions][2][TotalFlightEmissions]</v>
      </c>
    </row>
    <row r="186" spans="1:15" x14ac:dyDescent="0.3">
      <c r="A186" t="s">
        <v>2277</v>
      </c>
      <c r="B186" t="s">
        <v>1932</v>
      </c>
      <c r="C186" t="s">
        <v>1933</v>
      </c>
      <c r="D186">
        <v>3</v>
      </c>
      <c r="E186" t="s">
        <v>1447</v>
      </c>
      <c r="F186" t="s">
        <v>1934</v>
      </c>
      <c r="G186" t="s">
        <v>1806</v>
      </c>
      <c r="H186" t="s">
        <v>2279</v>
      </c>
      <c r="I186" t="s">
        <v>2279</v>
      </c>
      <c r="J186">
        <v>306632</v>
      </c>
      <c r="K186" t="s">
        <v>2279</v>
      </c>
      <c r="L186" t="s">
        <v>2279</v>
      </c>
      <c r="M186" t="s">
        <v>2279</v>
      </c>
      <c r="N186" t="s">
        <v>2279</v>
      </c>
      <c r="O186" s="190" t="str">
        <f>"["&amp;$C186&amp;"]["&amp;$D186&amp;"]["&amp;$F186&amp;"]"</f>
        <v>[S05_TotalFlightEmissions][3][TotalFlightEmissions]</v>
      </c>
    </row>
    <row r="187" spans="1:15" x14ac:dyDescent="0.3">
      <c r="A187" t="s">
        <v>2277</v>
      </c>
      <c r="B187" t="s">
        <v>1932</v>
      </c>
      <c r="C187" t="s">
        <v>1933</v>
      </c>
      <c r="D187">
        <v>4</v>
      </c>
      <c r="E187" t="s">
        <v>1447</v>
      </c>
      <c r="F187" t="s">
        <v>1934</v>
      </c>
      <c r="G187" t="s">
        <v>1806</v>
      </c>
      <c r="H187" t="s">
        <v>2279</v>
      </c>
      <c r="I187" t="s">
        <v>2279</v>
      </c>
      <c r="J187">
        <v>47793</v>
      </c>
      <c r="K187" t="s">
        <v>2279</v>
      </c>
      <c r="L187" t="s">
        <v>2279</v>
      </c>
      <c r="M187" t="s">
        <v>2279</v>
      </c>
      <c r="N187" t="s">
        <v>2279</v>
      </c>
      <c r="O187" s="190" t="str">
        <f>"["&amp;$C187&amp;"]["&amp;$D187&amp;"]["&amp;$F187&amp;"]"</f>
        <v>[S05_TotalFlightEmissions][4][TotalFlightEmissions]</v>
      </c>
    </row>
    <row r="188" spans="1:15" x14ac:dyDescent="0.3">
      <c r="A188" t="s">
        <v>2277</v>
      </c>
      <c r="B188" t="s">
        <v>1932</v>
      </c>
      <c r="C188" t="s">
        <v>1933</v>
      </c>
      <c r="D188">
        <v>5</v>
      </c>
      <c r="E188" t="s">
        <v>1447</v>
      </c>
      <c r="F188" t="s">
        <v>1934</v>
      </c>
      <c r="G188" t="s">
        <v>1806</v>
      </c>
      <c r="H188" t="s">
        <v>2279</v>
      </c>
      <c r="I188" t="s">
        <v>2279</v>
      </c>
      <c r="J188">
        <v>2186</v>
      </c>
      <c r="K188" t="s">
        <v>2279</v>
      </c>
      <c r="L188" t="s">
        <v>2279</v>
      </c>
      <c r="M188" t="s">
        <v>2279</v>
      </c>
      <c r="N188" t="s">
        <v>2279</v>
      </c>
      <c r="O188" s="190" t="str">
        <f>"["&amp;$C188&amp;"]["&amp;$D188&amp;"]["&amp;$F188&amp;"]"</f>
        <v>[S05_TotalFlightEmissions][5][TotalFlightEmissions]</v>
      </c>
    </row>
    <row r="189" spans="1:15" x14ac:dyDescent="0.3">
      <c r="A189" t="s">
        <v>2277</v>
      </c>
      <c r="B189" t="s">
        <v>1932</v>
      </c>
      <c r="C189" t="s">
        <v>1935</v>
      </c>
      <c r="D189">
        <v>0</v>
      </c>
      <c r="E189" t="s">
        <v>1447</v>
      </c>
      <c r="F189" t="s">
        <v>1935</v>
      </c>
      <c r="G189" t="s">
        <v>1748</v>
      </c>
      <c r="H189" t="s">
        <v>2279</v>
      </c>
      <c r="I189">
        <v>0</v>
      </c>
      <c r="J189" t="s">
        <v>2279</v>
      </c>
      <c r="K189" t="s">
        <v>2279</v>
      </c>
      <c r="L189" t="s">
        <v>2279</v>
      </c>
      <c r="M189" t="s">
        <v>2279</v>
      </c>
      <c r="N189" t="s">
        <v>2279</v>
      </c>
      <c r="O189" s="190" t="str">
        <f>"["&amp;$C189&amp;"]["&amp;$D189&amp;"]["&amp;$F189&amp;"]"</f>
        <v>[CountOperatorsThirdCountries][0][CountOperatorsThirdCountries]</v>
      </c>
    </row>
    <row r="190" spans="1:15" x14ac:dyDescent="0.3">
      <c r="A190" t="s">
        <v>2277</v>
      </c>
      <c r="B190" t="s">
        <v>1936</v>
      </c>
      <c r="C190" t="s">
        <v>1937</v>
      </c>
      <c r="D190">
        <v>0</v>
      </c>
      <c r="E190" t="s">
        <v>1447</v>
      </c>
      <c r="F190" t="s">
        <v>1937</v>
      </c>
      <c r="G190" t="s">
        <v>1748</v>
      </c>
      <c r="H190" t="s">
        <v>2279</v>
      </c>
      <c r="I190">
        <v>0</v>
      </c>
      <c r="J190" t="s">
        <v>2279</v>
      </c>
      <c r="K190" t="s">
        <v>2279</v>
      </c>
      <c r="L190" t="s">
        <v>2279</v>
      </c>
      <c r="M190" t="s">
        <v>2279</v>
      </c>
      <c r="N190" t="s">
        <v>2279</v>
      </c>
      <c r="O190" s="190" t="str">
        <f>"["&amp;$C190&amp;"]["&amp;$D190&amp;"]["&amp;$F190&amp;"]"</f>
        <v>[CountOperatorsUsingBiofuels][0][CountOperatorsUsingBiofuels]</v>
      </c>
    </row>
    <row r="191" spans="1:15" x14ac:dyDescent="0.3">
      <c r="A191" t="s">
        <v>2277</v>
      </c>
      <c r="B191" t="s">
        <v>1936</v>
      </c>
      <c r="C191" t="s">
        <v>1938</v>
      </c>
      <c r="D191">
        <v>0</v>
      </c>
      <c r="E191" t="s">
        <v>1447</v>
      </c>
      <c r="F191" t="s">
        <v>1938</v>
      </c>
      <c r="G191" t="s">
        <v>1806</v>
      </c>
      <c r="H191" t="s">
        <v>2279</v>
      </c>
      <c r="I191" t="s">
        <v>2279</v>
      </c>
      <c r="J191">
        <v>0</v>
      </c>
      <c r="K191" t="s">
        <v>2279</v>
      </c>
      <c r="L191" t="s">
        <v>2279</v>
      </c>
      <c r="M191" t="s">
        <v>2279</v>
      </c>
      <c r="N191" t="s">
        <v>2279</v>
      </c>
      <c r="O191" s="190" t="str">
        <f>"["&amp;$C191&amp;"]["&amp;$D191&amp;"]["&amp;$F191&amp;"]"</f>
        <v>[EmissionsBiofuelsSustainabilitySatisfied][0][EmissionsBiofuelsSustainabilitySatisfied]</v>
      </c>
    </row>
    <row r="192" spans="1:15" x14ac:dyDescent="0.3">
      <c r="A192" t="s">
        <v>2277</v>
      </c>
      <c r="B192" t="s">
        <v>1936</v>
      </c>
      <c r="C192" t="s">
        <v>1939</v>
      </c>
      <c r="D192">
        <v>0</v>
      </c>
      <c r="E192" t="s">
        <v>1447</v>
      </c>
      <c r="F192" t="s">
        <v>1939</v>
      </c>
      <c r="G192" t="s">
        <v>1806</v>
      </c>
      <c r="H192" t="s">
        <v>2279</v>
      </c>
      <c r="I192" t="s">
        <v>2279</v>
      </c>
      <c r="J192">
        <v>0</v>
      </c>
      <c r="K192" t="s">
        <v>2279</v>
      </c>
      <c r="L192" t="s">
        <v>2279</v>
      </c>
      <c r="M192" t="s">
        <v>2279</v>
      </c>
      <c r="N192" t="s">
        <v>2279</v>
      </c>
      <c r="O192" s="190" t="str">
        <f>"["&amp;$C192&amp;"]["&amp;$D192&amp;"]["&amp;$F192&amp;"]"</f>
        <v>[EmissionsBiofuelsSustainabilityNotSatisfied][0][EmissionsBiofuelsSustainabilityNotSatisfied]</v>
      </c>
    </row>
    <row r="193" spans="1:15" x14ac:dyDescent="0.3">
      <c r="A193" t="s">
        <v>2277</v>
      </c>
      <c r="B193" t="s">
        <v>1940</v>
      </c>
      <c r="C193" t="s">
        <v>1941</v>
      </c>
      <c r="D193">
        <v>1</v>
      </c>
      <c r="E193" t="s">
        <v>1447</v>
      </c>
      <c r="F193" t="s">
        <v>1942</v>
      </c>
      <c r="G193" t="s">
        <v>1748</v>
      </c>
      <c r="H193" t="s">
        <v>2279</v>
      </c>
      <c r="I193">
        <v>0</v>
      </c>
      <c r="J193" t="s">
        <v>2279</v>
      </c>
      <c r="K193" t="s">
        <v>2279</v>
      </c>
      <c r="L193" t="s">
        <v>2279</v>
      </c>
      <c r="M193" t="s">
        <v>2279</v>
      </c>
      <c r="N193" t="s">
        <v>2279</v>
      </c>
      <c r="O193" s="190" t="str">
        <f>"["&amp;$C193&amp;"]["&amp;$D193&amp;"]["&amp;$F193&amp;"]"</f>
        <v>[S05_SmallEmittersTool][1][CountSmallEmitters]</v>
      </c>
    </row>
    <row r="194" spans="1:15" x14ac:dyDescent="0.3">
      <c r="A194" t="s">
        <v>2277</v>
      </c>
      <c r="B194" t="s">
        <v>1940</v>
      </c>
      <c r="C194" t="s">
        <v>1941</v>
      </c>
      <c r="D194">
        <v>2</v>
      </c>
      <c r="E194" t="s">
        <v>1447</v>
      </c>
      <c r="F194" t="s">
        <v>1942</v>
      </c>
      <c r="G194" t="s">
        <v>1748</v>
      </c>
      <c r="H194" t="s">
        <v>2279</v>
      </c>
      <c r="I194">
        <v>0</v>
      </c>
      <c r="J194" t="s">
        <v>2279</v>
      </c>
      <c r="K194" t="s">
        <v>2279</v>
      </c>
      <c r="L194" t="s">
        <v>2279</v>
      </c>
      <c r="M194" t="s">
        <v>2279</v>
      </c>
      <c r="N194" t="s">
        <v>2279</v>
      </c>
      <c r="O194" s="190" t="str">
        <f>"["&amp;$C194&amp;"]["&amp;$D194&amp;"]["&amp;$F194&amp;"]"</f>
        <v>[S05_SmallEmittersTool][2][CountSmallEmitters]</v>
      </c>
    </row>
    <row r="195" spans="1:15" x14ac:dyDescent="0.3">
      <c r="A195" t="s">
        <v>2277</v>
      </c>
      <c r="B195" t="s">
        <v>1940</v>
      </c>
      <c r="C195" t="s">
        <v>1941</v>
      </c>
      <c r="D195">
        <v>3</v>
      </c>
      <c r="E195" t="s">
        <v>1447</v>
      </c>
      <c r="F195" t="s">
        <v>1942</v>
      </c>
      <c r="G195" t="s">
        <v>1748</v>
      </c>
      <c r="H195" t="s">
        <v>2279</v>
      </c>
      <c r="I195">
        <v>0</v>
      </c>
      <c r="J195" t="s">
        <v>2279</v>
      </c>
      <c r="K195" t="s">
        <v>2279</v>
      </c>
      <c r="L195" t="s">
        <v>2279</v>
      </c>
      <c r="M195" t="s">
        <v>2279</v>
      </c>
      <c r="N195" t="s">
        <v>2279</v>
      </c>
      <c r="O195" s="190" t="str">
        <f>"["&amp;$C195&amp;"]["&amp;$D195&amp;"]["&amp;$F195&amp;"]"</f>
        <v>[S05_SmallEmittersTool][3][CountSmallEmitters]</v>
      </c>
    </row>
    <row r="196" spans="1:15" x14ac:dyDescent="0.3">
      <c r="A196" t="s">
        <v>2277</v>
      </c>
      <c r="B196" t="s">
        <v>1940</v>
      </c>
      <c r="C196" t="s">
        <v>1941</v>
      </c>
      <c r="D196">
        <v>4</v>
      </c>
      <c r="E196" t="s">
        <v>1447</v>
      </c>
      <c r="F196" t="s">
        <v>1942</v>
      </c>
      <c r="G196" t="s">
        <v>1748</v>
      </c>
      <c r="H196" t="s">
        <v>2279</v>
      </c>
      <c r="I196">
        <v>0</v>
      </c>
      <c r="J196" t="s">
        <v>2279</v>
      </c>
      <c r="K196" t="s">
        <v>2279</v>
      </c>
      <c r="L196" t="s">
        <v>2279</v>
      </c>
      <c r="M196" t="s">
        <v>2279</v>
      </c>
      <c r="N196" t="s">
        <v>2279</v>
      </c>
      <c r="O196" s="190" t="str">
        <f>"["&amp;$C196&amp;"]["&amp;$D196&amp;"]["&amp;$F196&amp;"]"</f>
        <v>[S05_SmallEmittersTool][4][CountSmallEmitters]</v>
      </c>
    </row>
    <row r="197" spans="1:15" x14ac:dyDescent="0.3">
      <c r="A197" t="s">
        <v>2277</v>
      </c>
      <c r="B197" t="s">
        <v>1946</v>
      </c>
      <c r="C197" t="s">
        <v>1947</v>
      </c>
      <c r="D197">
        <v>0</v>
      </c>
      <c r="E197" t="s">
        <v>1447</v>
      </c>
      <c r="F197" t="s">
        <v>1947</v>
      </c>
      <c r="G197" t="s">
        <v>1759</v>
      </c>
      <c r="H197" t="s">
        <v>2279</v>
      </c>
      <c r="I197" t="s">
        <v>2279</v>
      </c>
      <c r="J197" t="s">
        <v>2279</v>
      </c>
      <c r="K197" t="s">
        <v>2279</v>
      </c>
      <c r="L197" t="s">
        <v>1447</v>
      </c>
      <c r="M197" t="s">
        <v>2279</v>
      </c>
      <c r="N197" t="s">
        <v>2279</v>
      </c>
      <c r="O197" s="190" t="str">
        <f>"["&amp;$C197&amp;"]["&amp;$D197&amp;"]["&amp;$F197&amp;"]"</f>
        <v>[AircraftSimplifiedMonitoringArt13][0][AircraftSimplifiedMonitoringArt13]</v>
      </c>
    </row>
    <row r="198" spans="1:15" x14ac:dyDescent="0.3">
      <c r="A198" t="s">
        <v>2277</v>
      </c>
      <c r="B198" t="s">
        <v>1951</v>
      </c>
      <c r="C198" t="s">
        <v>1952</v>
      </c>
      <c r="D198">
        <v>1</v>
      </c>
      <c r="E198" t="s">
        <v>1447</v>
      </c>
      <c r="F198" t="s">
        <v>1953</v>
      </c>
      <c r="G198" t="s">
        <v>1748</v>
      </c>
      <c r="H198" t="s">
        <v>2279</v>
      </c>
      <c r="I198">
        <v>3</v>
      </c>
      <c r="J198" t="s">
        <v>2279</v>
      </c>
      <c r="K198" t="s">
        <v>2279</v>
      </c>
      <c r="L198" t="s">
        <v>2279</v>
      </c>
      <c r="M198" t="s">
        <v>2279</v>
      </c>
      <c r="N198" t="s">
        <v>2279</v>
      </c>
      <c r="O198" s="190" t="str">
        <f>"["&amp;$C198&amp;"]["&amp;$D198&amp;"]["&amp;$F198&amp;"]"</f>
        <v>[S06_TotalVerifiers][1][CountVerifiersInstallations]</v>
      </c>
    </row>
    <row r="199" spans="1:15" x14ac:dyDescent="0.3">
      <c r="A199" t="s">
        <v>2277</v>
      </c>
      <c r="B199" t="s">
        <v>1951</v>
      </c>
      <c r="C199" t="s">
        <v>1952</v>
      </c>
      <c r="D199">
        <v>1</v>
      </c>
      <c r="E199" t="s">
        <v>1447</v>
      </c>
      <c r="F199" t="s">
        <v>1955</v>
      </c>
      <c r="G199" t="s">
        <v>1748</v>
      </c>
      <c r="H199" t="s">
        <v>2279</v>
      </c>
      <c r="I199">
        <v>1</v>
      </c>
      <c r="J199" t="s">
        <v>2279</v>
      </c>
      <c r="K199" t="s">
        <v>2279</v>
      </c>
      <c r="L199" t="s">
        <v>2279</v>
      </c>
      <c r="M199" t="s">
        <v>2279</v>
      </c>
      <c r="N199" t="s">
        <v>2279</v>
      </c>
      <c r="O199" s="190" t="str">
        <f>"["&amp;$C199&amp;"]["&amp;$D199&amp;"]["&amp;$F199&amp;"]"</f>
        <v>[S06_TotalVerifiers][1][CountVerifiersAviation]</v>
      </c>
    </row>
    <row r="200" spans="1:15" x14ac:dyDescent="0.3">
      <c r="A200" t="s">
        <v>2277</v>
      </c>
      <c r="B200" t="s">
        <v>1951</v>
      </c>
      <c r="C200" t="s">
        <v>1957</v>
      </c>
      <c r="D200">
        <v>1</v>
      </c>
      <c r="E200" t="s">
        <v>1447</v>
      </c>
      <c r="F200" t="s">
        <v>1958</v>
      </c>
      <c r="G200" t="s">
        <v>1737</v>
      </c>
      <c r="H200" t="s">
        <v>2279</v>
      </c>
      <c r="I200" t="s">
        <v>2279</v>
      </c>
      <c r="J200" t="s">
        <v>2279</v>
      </c>
      <c r="K200" t="s">
        <v>2279</v>
      </c>
      <c r="L200" t="s">
        <v>1436</v>
      </c>
      <c r="M200" t="s">
        <v>2279</v>
      </c>
      <c r="N200" t="s">
        <v>2279</v>
      </c>
      <c r="O200" s="190" t="str">
        <f>"["&amp;$C200&amp;"]["&amp;$D200&amp;"]["&amp;$F200&amp;"]"</f>
        <v>[S06_AccredCertVerifiersAnnexI][1][AccredCertScope]</v>
      </c>
    </row>
    <row r="201" spans="1:15" x14ac:dyDescent="0.3">
      <c r="A201" t="s">
        <v>2277</v>
      </c>
      <c r="B201" t="s">
        <v>1951</v>
      </c>
      <c r="C201" t="s">
        <v>1957</v>
      </c>
      <c r="D201">
        <v>2</v>
      </c>
      <c r="E201" t="s">
        <v>1447</v>
      </c>
      <c r="F201" t="s">
        <v>1958</v>
      </c>
      <c r="G201" t="s">
        <v>1737</v>
      </c>
      <c r="H201" t="s">
        <v>2279</v>
      </c>
      <c r="I201" t="s">
        <v>2279</v>
      </c>
      <c r="J201" t="s">
        <v>2279</v>
      </c>
      <c r="K201" t="s">
        <v>2279</v>
      </c>
      <c r="L201" t="s">
        <v>1465</v>
      </c>
      <c r="M201" t="s">
        <v>2279</v>
      </c>
      <c r="N201" t="s">
        <v>2279</v>
      </c>
      <c r="O201" s="190" t="str">
        <f>"["&amp;$C201&amp;"]["&amp;$D201&amp;"]["&amp;$F201&amp;"]"</f>
        <v>[S06_AccredCertVerifiersAnnexI][2][AccredCertScope]</v>
      </c>
    </row>
    <row r="202" spans="1:15" x14ac:dyDescent="0.3">
      <c r="A202" t="s">
        <v>2277</v>
      </c>
      <c r="B202" t="s">
        <v>1951</v>
      </c>
      <c r="C202" t="s">
        <v>1957</v>
      </c>
      <c r="D202">
        <v>3</v>
      </c>
      <c r="E202" t="s">
        <v>1447</v>
      </c>
      <c r="F202" t="s">
        <v>1958</v>
      </c>
      <c r="G202" t="s">
        <v>1737</v>
      </c>
      <c r="H202" t="s">
        <v>2279</v>
      </c>
      <c r="I202" t="s">
        <v>2279</v>
      </c>
      <c r="J202" t="s">
        <v>2279</v>
      </c>
      <c r="K202" t="s">
        <v>2279</v>
      </c>
      <c r="L202" t="s">
        <v>1490</v>
      </c>
      <c r="M202" t="s">
        <v>2279</v>
      </c>
      <c r="N202" t="s">
        <v>2279</v>
      </c>
      <c r="O202" s="190" t="str">
        <f>"["&amp;$C202&amp;"]["&amp;$D202&amp;"]["&amp;$F202&amp;"]"</f>
        <v>[S06_AccredCertVerifiersAnnexI][3][AccredCertScope]</v>
      </c>
    </row>
    <row r="203" spans="1:15" x14ac:dyDescent="0.3">
      <c r="A203" t="s">
        <v>2277</v>
      </c>
      <c r="B203" t="s">
        <v>1951</v>
      </c>
      <c r="C203" t="s">
        <v>1957</v>
      </c>
      <c r="D203">
        <v>4</v>
      </c>
      <c r="E203" t="s">
        <v>1447</v>
      </c>
      <c r="F203" t="s">
        <v>1958</v>
      </c>
      <c r="G203" t="s">
        <v>1737</v>
      </c>
      <c r="H203" t="s">
        <v>2279</v>
      </c>
      <c r="I203" t="s">
        <v>2279</v>
      </c>
      <c r="J203" t="s">
        <v>2279</v>
      </c>
      <c r="K203" t="s">
        <v>2279</v>
      </c>
      <c r="L203" t="s">
        <v>1523</v>
      </c>
      <c r="M203" t="s">
        <v>2279</v>
      </c>
      <c r="N203" t="s">
        <v>2279</v>
      </c>
      <c r="O203" s="190" t="str">
        <f>"["&amp;$C203&amp;"]["&amp;$D203&amp;"]["&amp;$F203&amp;"]"</f>
        <v>[S06_AccredCertVerifiersAnnexI][4][AccredCertScope]</v>
      </c>
    </row>
    <row r="204" spans="1:15" x14ac:dyDescent="0.3">
      <c r="A204" t="s">
        <v>2277</v>
      </c>
      <c r="B204" t="s">
        <v>1951</v>
      </c>
      <c r="C204" t="s">
        <v>1957</v>
      </c>
      <c r="D204">
        <v>5</v>
      </c>
      <c r="E204" t="s">
        <v>1447</v>
      </c>
      <c r="F204" t="s">
        <v>1958</v>
      </c>
      <c r="G204" t="s">
        <v>1737</v>
      </c>
      <c r="H204" t="s">
        <v>2279</v>
      </c>
      <c r="I204" t="s">
        <v>2279</v>
      </c>
      <c r="J204" t="s">
        <v>2279</v>
      </c>
      <c r="K204" t="s">
        <v>2279</v>
      </c>
      <c r="L204" t="s">
        <v>1535</v>
      </c>
      <c r="M204" t="s">
        <v>2279</v>
      </c>
      <c r="N204" t="s">
        <v>2279</v>
      </c>
      <c r="O204" s="190" t="str">
        <f>"["&amp;$C204&amp;"]["&amp;$D204&amp;"]["&amp;$F204&amp;"]"</f>
        <v>[S06_AccredCertVerifiersAnnexI][5][AccredCertScope]</v>
      </c>
    </row>
    <row r="205" spans="1:15" x14ac:dyDescent="0.3">
      <c r="A205" t="s">
        <v>2277</v>
      </c>
      <c r="B205" t="s">
        <v>1951</v>
      </c>
      <c r="C205" t="s">
        <v>1957</v>
      </c>
      <c r="D205">
        <v>6</v>
      </c>
      <c r="E205" t="s">
        <v>1447</v>
      </c>
      <c r="F205" t="s">
        <v>1958</v>
      </c>
      <c r="G205" t="s">
        <v>1737</v>
      </c>
      <c r="H205" t="s">
        <v>2279</v>
      </c>
      <c r="I205" t="s">
        <v>2279</v>
      </c>
      <c r="J205" t="s">
        <v>2279</v>
      </c>
      <c r="K205" t="s">
        <v>2279</v>
      </c>
      <c r="L205" t="s">
        <v>1545</v>
      </c>
      <c r="M205" t="s">
        <v>2279</v>
      </c>
      <c r="N205" t="s">
        <v>2279</v>
      </c>
      <c r="O205" s="190" t="str">
        <f>"["&amp;$C205&amp;"]["&amp;$D205&amp;"]["&amp;$F205&amp;"]"</f>
        <v>[S06_AccredCertVerifiersAnnexI][6][AccredCertScope]</v>
      </c>
    </row>
    <row r="206" spans="1:15" x14ac:dyDescent="0.3">
      <c r="A206" t="s">
        <v>2277</v>
      </c>
      <c r="B206" t="s">
        <v>1951</v>
      </c>
      <c r="C206" t="s">
        <v>1957</v>
      </c>
      <c r="D206">
        <v>7</v>
      </c>
      <c r="E206" t="s">
        <v>1447</v>
      </c>
      <c r="F206" t="s">
        <v>1958</v>
      </c>
      <c r="G206" t="s">
        <v>1737</v>
      </c>
      <c r="H206" t="s">
        <v>2279</v>
      </c>
      <c r="I206" t="s">
        <v>2279</v>
      </c>
      <c r="J206" t="s">
        <v>2279</v>
      </c>
      <c r="K206" t="s">
        <v>2279</v>
      </c>
      <c r="L206" t="s">
        <v>1571</v>
      </c>
      <c r="M206" t="s">
        <v>2279</v>
      </c>
      <c r="N206" t="s">
        <v>2279</v>
      </c>
      <c r="O206" s="190" t="str">
        <f>"["&amp;$C206&amp;"]["&amp;$D206&amp;"]["&amp;$F206&amp;"]"</f>
        <v>[S06_AccredCertVerifiersAnnexI][7][AccredCertScope]</v>
      </c>
    </row>
    <row r="207" spans="1:15" x14ac:dyDescent="0.3">
      <c r="A207" t="s">
        <v>2277</v>
      </c>
      <c r="B207" t="s">
        <v>1951</v>
      </c>
      <c r="C207" t="s">
        <v>1957</v>
      </c>
      <c r="D207">
        <v>8</v>
      </c>
      <c r="E207" t="s">
        <v>1447</v>
      </c>
      <c r="F207" t="s">
        <v>1958</v>
      </c>
      <c r="G207" t="s">
        <v>1737</v>
      </c>
      <c r="H207" t="s">
        <v>2279</v>
      </c>
      <c r="I207" t="s">
        <v>2279</v>
      </c>
      <c r="J207" t="s">
        <v>2279</v>
      </c>
      <c r="K207" t="s">
        <v>2279</v>
      </c>
      <c r="L207" t="s">
        <v>1576</v>
      </c>
      <c r="M207" t="s">
        <v>2279</v>
      </c>
      <c r="N207" t="s">
        <v>2279</v>
      </c>
      <c r="O207" s="190" t="str">
        <f>"["&amp;$C207&amp;"]["&amp;$D207&amp;"]["&amp;$F207&amp;"]"</f>
        <v>[S06_AccredCertVerifiersAnnexI][8][AccredCertScope]</v>
      </c>
    </row>
    <row r="208" spans="1:15" x14ac:dyDescent="0.3">
      <c r="A208" t="s">
        <v>2277</v>
      </c>
      <c r="B208" t="s">
        <v>1951</v>
      </c>
      <c r="C208" t="s">
        <v>1957</v>
      </c>
      <c r="D208">
        <v>9</v>
      </c>
      <c r="E208" t="s">
        <v>1447</v>
      </c>
      <c r="F208" t="s">
        <v>1958</v>
      </c>
      <c r="G208" t="s">
        <v>1737</v>
      </c>
      <c r="H208" t="s">
        <v>2279</v>
      </c>
      <c r="I208" t="s">
        <v>2279</v>
      </c>
      <c r="J208" t="s">
        <v>2279</v>
      </c>
      <c r="K208" t="s">
        <v>2279</v>
      </c>
      <c r="L208" t="s">
        <v>1580</v>
      </c>
      <c r="M208" t="s">
        <v>2279</v>
      </c>
      <c r="N208" t="s">
        <v>2279</v>
      </c>
      <c r="O208" s="190" t="str">
        <f>"["&amp;$C208&amp;"]["&amp;$D208&amp;"]["&amp;$F208&amp;"]"</f>
        <v>[S06_AccredCertVerifiersAnnexI][9][AccredCertScope]</v>
      </c>
    </row>
    <row r="209" spans="1:15" x14ac:dyDescent="0.3">
      <c r="A209" t="s">
        <v>2277</v>
      </c>
      <c r="B209" t="s">
        <v>1951</v>
      </c>
      <c r="C209" t="s">
        <v>1957</v>
      </c>
      <c r="D209">
        <v>10</v>
      </c>
      <c r="E209" t="s">
        <v>1447</v>
      </c>
      <c r="F209" t="s">
        <v>1958</v>
      </c>
      <c r="G209" t="s">
        <v>1737</v>
      </c>
      <c r="H209" t="s">
        <v>2279</v>
      </c>
      <c r="I209" t="s">
        <v>2279</v>
      </c>
      <c r="J209" t="s">
        <v>2279</v>
      </c>
      <c r="K209" t="s">
        <v>2279</v>
      </c>
      <c r="L209" t="s">
        <v>1585</v>
      </c>
      <c r="M209" t="s">
        <v>2279</v>
      </c>
      <c r="N209" t="s">
        <v>2279</v>
      </c>
      <c r="O209" s="190" t="str">
        <f>"["&amp;$C209&amp;"]["&amp;$D209&amp;"]["&amp;$F209&amp;"]"</f>
        <v>[S06_AccredCertVerifiersAnnexI][10][AccredCertScope]</v>
      </c>
    </row>
    <row r="210" spans="1:15" x14ac:dyDescent="0.3">
      <c r="A210" t="s">
        <v>2277</v>
      </c>
      <c r="B210" t="s">
        <v>1951</v>
      </c>
      <c r="C210" t="s">
        <v>1957</v>
      </c>
      <c r="D210">
        <v>11</v>
      </c>
      <c r="E210" t="s">
        <v>1447</v>
      </c>
      <c r="F210" t="s">
        <v>1958</v>
      </c>
      <c r="G210" t="s">
        <v>1737</v>
      </c>
      <c r="H210" t="s">
        <v>2279</v>
      </c>
      <c r="I210" t="s">
        <v>2279</v>
      </c>
      <c r="J210" t="s">
        <v>2279</v>
      </c>
      <c r="K210" t="s">
        <v>2279</v>
      </c>
      <c r="L210" t="s">
        <v>1590</v>
      </c>
      <c r="M210" t="s">
        <v>2279</v>
      </c>
      <c r="N210" t="s">
        <v>2279</v>
      </c>
      <c r="O210" s="190" t="str">
        <f>"["&amp;$C210&amp;"]["&amp;$D210&amp;"]["&amp;$F210&amp;"]"</f>
        <v>[S06_AccredCertVerifiersAnnexI][11][AccredCertScope]</v>
      </c>
    </row>
    <row r="211" spans="1:15" x14ac:dyDescent="0.3">
      <c r="A211" t="s">
        <v>2277</v>
      </c>
      <c r="B211" t="s">
        <v>1951</v>
      </c>
      <c r="C211" t="s">
        <v>1957</v>
      </c>
      <c r="D211">
        <v>12</v>
      </c>
      <c r="E211" t="s">
        <v>1447</v>
      </c>
      <c r="F211" t="s">
        <v>1958</v>
      </c>
      <c r="G211" t="s">
        <v>1737</v>
      </c>
      <c r="H211" t="s">
        <v>2279</v>
      </c>
      <c r="I211" t="s">
        <v>2279</v>
      </c>
      <c r="J211" t="s">
        <v>2279</v>
      </c>
      <c r="K211" t="s">
        <v>2279</v>
      </c>
      <c r="L211" t="s">
        <v>1595</v>
      </c>
      <c r="M211" t="s">
        <v>2279</v>
      </c>
      <c r="N211" t="s">
        <v>2279</v>
      </c>
      <c r="O211" s="190" t="str">
        <f>"["&amp;$C211&amp;"]["&amp;$D211&amp;"]["&amp;$F211&amp;"]"</f>
        <v>[S06_AccredCertVerifiersAnnexI][12][AccredCertScope]</v>
      </c>
    </row>
    <row r="212" spans="1:15" x14ac:dyDescent="0.3">
      <c r="A212" t="s">
        <v>2277</v>
      </c>
      <c r="B212" t="s">
        <v>1951</v>
      </c>
      <c r="C212" t="s">
        <v>1957</v>
      </c>
      <c r="D212">
        <v>13</v>
      </c>
      <c r="E212" t="s">
        <v>1447</v>
      </c>
      <c r="F212" t="s">
        <v>1958</v>
      </c>
      <c r="G212" t="s">
        <v>1737</v>
      </c>
      <c r="H212" t="s">
        <v>2279</v>
      </c>
      <c r="I212" t="s">
        <v>2279</v>
      </c>
      <c r="J212" t="s">
        <v>2279</v>
      </c>
      <c r="K212" t="s">
        <v>2279</v>
      </c>
      <c r="L212" t="s">
        <v>1600</v>
      </c>
      <c r="M212" t="s">
        <v>2279</v>
      </c>
      <c r="N212" t="s">
        <v>2279</v>
      </c>
      <c r="O212" s="190" t="str">
        <f>"["&amp;$C212&amp;"]["&amp;$D212&amp;"]["&amp;$F212&amp;"]"</f>
        <v>[S06_AccredCertVerifiersAnnexI][13][AccredCertScope]</v>
      </c>
    </row>
    <row r="213" spans="1:15" x14ac:dyDescent="0.3">
      <c r="A213" t="s">
        <v>2277</v>
      </c>
      <c r="B213" t="s">
        <v>1951</v>
      </c>
      <c r="C213" t="s">
        <v>1957</v>
      </c>
      <c r="D213">
        <v>14</v>
      </c>
      <c r="E213" t="s">
        <v>1447</v>
      </c>
      <c r="F213" t="s">
        <v>1958</v>
      </c>
      <c r="G213" t="s">
        <v>1737</v>
      </c>
      <c r="H213" t="s">
        <v>2279</v>
      </c>
      <c r="I213" t="s">
        <v>2279</v>
      </c>
      <c r="J213" t="s">
        <v>2279</v>
      </c>
      <c r="K213" t="s">
        <v>2279</v>
      </c>
      <c r="L213" t="s">
        <v>1605</v>
      </c>
      <c r="M213" t="s">
        <v>2279</v>
      </c>
      <c r="N213" t="s">
        <v>2279</v>
      </c>
      <c r="O213" s="190" t="str">
        <f>"["&amp;$C213&amp;"]["&amp;$D213&amp;"]["&amp;$F213&amp;"]"</f>
        <v>[S06_AccredCertVerifiersAnnexI][14][AccredCertScope]</v>
      </c>
    </row>
    <row r="214" spans="1:15" x14ac:dyDescent="0.3">
      <c r="A214" t="s">
        <v>2277</v>
      </c>
      <c r="B214" t="s">
        <v>1951</v>
      </c>
      <c r="C214" t="s">
        <v>1957</v>
      </c>
      <c r="D214">
        <v>15</v>
      </c>
      <c r="E214" t="s">
        <v>1447</v>
      </c>
      <c r="F214" t="s">
        <v>1958</v>
      </c>
      <c r="G214" t="s">
        <v>1737</v>
      </c>
      <c r="H214" t="s">
        <v>2279</v>
      </c>
      <c r="I214" t="s">
        <v>2279</v>
      </c>
      <c r="J214" t="s">
        <v>2279</v>
      </c>
      <c r="K214" t="s">
        <v>2279</v>
      </c>
      <c r="L214" t="s">
        <v>1615</v>
      </c>
      <c r="M214" t="s">
        <v>2279</v>
      </c>
      <c r="N214" t="s">
        <v>2279</v>
      </c>
      <c r="O214" s="190" t="str">
        <f>"["&amp;$C214&amp;"]["&amp;$D214&amp;"]["&amp;$F214&amp;"]"</f>
        <v>[S06_AccredCertVerifiersAnnexI][15][AccredCertScope]</v>
      </c>
    </row>
    <row r="215" spans="1:15" x14ac:dyDescent="0.3">
      <c r="A215" t="s">
        <v>2277</v>
      </c>
      <c r="B215" t="s">
        <v>1951</v>
      </c>
      <c r="C215" t="s">
        <v>1957</v>
      </c>
      <c r="D215">
        <v>16</v>
      </c>
      <c r="E215" t="s">
        <v>1447</v>
      </c>
      <c r="F215" t="s">
        <v>1958</v>
      </c>
      <c r="G215" t="s">
        <v>1737</v>
      </c>
      <c r="H215" t="s">
        <v>2279</v>
      </c>
      <c r="I215" t="s">
        <v>2279</v>
      </c>
      <c r="J215" t="s">
        <v>2279</v>
      </c>
      <c r="K215" t="s">
        <v>2279</v>
      </c>
      <c r="L215" t="s">
        <v>1620</v>
      </c>
      <c r="M215" t="s">
        <v>2279</v>
      </c>
      <c r="N215" t="s">
        <v>2279</v>
      </c>
      <c r="O215" s="190" t="str">
        <f>"["&amp;$C215&amp;"]["&amp;$D215&amp;"]["&amp;$F215&amp;"]"</f>
        <v>[S06_AccredCertVerifiersAnnexI][16][AccredCertScope]</v>
      </c>
    </row>
    <row r="216" spans="1:15" x14ac:dyDescent="0.3">
      <c r="A216" t="s">
        <v>2277</v>
      </c>
      <c r="B216" t="s">
        <v>1951</v>
      </c>
      <c r="C216" t="s">
        <v>1957</v>
      </c>
      <c r="D216">
        <v>17</v>
      </c>
      <c r="E216" t="s">
        <v>1447</v>
      </c>
      <c r="F216" t="s">
        <v>1958</v>
      </c>
      <c r="G216" t="s">
        <v>1737</v>
      </c>
      <c r="H216" t="s">
        <v>2279</v>
      </c>
      <c r="I216" t="s">
        <v>2279</v>
      </c>
      <c r="J216" t="s">
        <v>2279</v>
      </c>
      <c r="K216" t="s">
        <v>2279</v>
      </c>
      <c r="L216" t="s">
        <v>1634</v>
      </c>
      <c r="M216" t="s">
        <v>2279</v>
      </c>
      <c r="N216" t="s">
        <v>2279</v>
      </c>
      <c r="O216" s="190" t="str">
        <f>"["&amp;$C216&amp;"]["&amp;$D216&amp;"]["&amp;$F216&amp;"]"</f>
        <v>[S06_AccredCertVerifiersAnnexI][17][AccredCertScope]</v>
      </c>
    </row>
    <row r="217" spans="1:15" x14ac:dyDescent="0.3">
      <c r="A217" t="s">
        <v>2277</v>
      </c>
      <c r="B217" t="s">
        <v>1951</v>
      </c>
      <c r="C217" t="s">
        <v>1957</v>
      </c>
      <c r="D217">
        <v>18</v>
      </c>
      <c r="E217" t="s">
        <v>1447</v>
      </c>
      <c r="F217" t="s">
        <v>1958</v>
      </c>
      <c r="G217" t="s">
        <v>1737</v>
      </c>
      <c r="H217" t="s">
        <v>2279</v>
      </c>
      <c r="I217" t="s">
        <v>2279</v>
      </c>
      <c r="J217" t="s">
        <v>2279</v>
      </c>
      <c r="K217" t="s">
        <v>2279</v>
      </c>
      <c r="L217" t="s">
        <v>1663</v>
      </c>
      <c r="M217" t="s">
        <v>2279</v>
      </c>
      <c r="N217" t="s">
        <v>2279</v>
      </c>
      <c r="O217" s="190" t="str">
        <f>"["&amp;$C217&amp;"]["&amp;$D217&amp;"]["&amp;$F217&amp;"]"</f>
        <v>[S06_AccredCertVerifiersAnnexI][18][AccredCertScope]</v>
      </c>
    </row>
    <row r="218" spans="1:15" x14ac:dyDescent="0.3">
      <c r="A218" t="s">
        <v>2277</v>
      </c>
      <c r="B218" t="s">
        <v>1951</v>
      </c>
      <c r="C218" t="s">
        <v>1957</v>
      </c>
      <c r="D218">
        <v>19</v>
      </c>
      <c r="E218" t="s">
        <v>1447</v>
      </c>
      <c r="F218" t="s">
        <v>1958</v>
      </c>
      <c r="G218" t="s">
        <v>1737</v>
      </c>
      <c r="H218" t="s">
        <v>2279</v>
      </c>
      <c r="I218" t="s">
        <v>2279</v>
      </c>
      <c r="J218" t="s">
        <v>2279</v>
      </c>
      <c r="K218" t="s">
        <v>2279</v>
      </c>
      <c r="L218" t="s">
        <v>1666</v>
      </c>
      <c r="M218" t="s">
        <v>2279</v>
      </c>
      <c r="N218" t="s">
        <v>2279</v>
      </c>
      <c r="O218" s="190" t="str">
        <f>"["&amp;$C218&amp;"]["&amp;$D218&amp;"]["&amp;$F218&amp;"]"</f>
        <v>[S06_AccredCertVerifiersAnnexI][19][AccredCertScope]</v>
      </c>
    </row>
    <row r="219" spans="1:15" x14ac:dyDescent="0.3">
      <c r="A219" t="s">
        <v>2277</v>
      </c>
      <c r="B219" t="s">
        <v>1951</v>
      </c>
      <c r="C219" t="s">
        <v>1957</v>
      </c>
      <c r="D219">
        <v>1</v>
      </c>
      <c r="E219" t="s">
        <v>1447</v>
      </c>
      <c r="F219" t="s">
        <v>1959</v>
      </c>
      <c r="G219" t="s">
        <v>1748</v>
      </c>
      <c r="H219" t="s">
        <v>2279</v>
      </c>
      <c r="I219">
        <v>3</v>
      </c>
      <c r="J219" t="s">
        <v>2279</v>
      </c>
      <c r="K219" t="s">
        <v>2279</v>
      </c>
      <c r="L219" t="s">
        <v>2279</v>
      </c>
      <c r="M219" t="s">
        <v>2279</v>
      </c>
      <c r="N219" t="s">
        <v>2279</v>
      </c>
      <c r="O219" s="190" t="str">
        <f>"["&amp;$C219&amp;"]["&amp;$D219&amp;"]["&amp;$F219&amp;"]"</f>
        <v>[S06_AccredCertVerifiersAnnexI][1][NumberAccredited]</v>
      </c>
    </row>
    <row r="220" spans="1:15" x14ac:dyDescent="0.3">
      <c r="A220" t="s">
        <v>2277</v>
      </c>
      <c r="B220" t="s">
        <v>1951</v>
      </c>
      <c r="C220" t="s">
        <v>1957</v>
      </c>
      <c r="D220">
        <v>2</v>
      </c>
      <c r="E220" t="s">
        <v>1447</v>
      </c>
      <c r="F220" t="s">
        <v>1959</v>
      </c>
      <c r="G220" t="s">
        <v>1748</v>
      </c>
      <c r="H220" t="s">
        <v>2279</v>
      </c>
      <c r="I220">
        <v>3</v>
      </c>
      <c r="J220" t="s">
        <v>2279</v>
      </c>
      <c r="K220" t="s">
        <v>2279</v>
      </c>
      <c r="L220" t="s">
        <v>2279</v>
      </c>
      <c r="M220" t="s">
        <v>2279</v>
      </c>
      <c r="N220" t="s">
        <v>2279</v>
      </c>
      <c r="O220" s="190" t="str">
        <f>"["&amp;$C220&amp;"]["&amp;$D220&amp;"]["&amp;$F220&amp;"]"</f>
        <v>[S06_AccredCertVerifiersAnnexI][2][NumberAccredited]</v>
      </c>
    </row>
    <row r="221" spans="1:15" x14ac:dyDescent="0.3">
      <c r="A221" t="s">
        <v>2277</v>
      </c>
      <c r="B221" t="s">
        <v>1951</v>
      </c>
      <c r="C221" t="s">
        <v>1957</v>
      </c>
      <c r="D221">
        <v>3</v>
      </c>
      <c r="E221" t="s">
        <v>1447</v>
      </c>
      <c r="F221" t="s">
        <v>1959</v>
      </c>
      <c r="G221" t="s">
        <v>1748</v>
      </c>
      <c r="H221" t="s">
        <v>2279</v>
      </c>
      <c r="I221">
        <v>1</v>
      </c>
      <c r="J221" t="s">
        <v>2279</v>
      </c>
      <c r="K221" t="s">
        <v>2279</v>
      </c>
      <c r="L221" t="s">
        <v>2279</v>
      </c>
      <c r="M221" t="s">
        <v>2279</v>
      </c>
      <c r="N221" t="s">
        <v>2279</v>
      </c>
      <c r="O221" s="190" t="str">
        <f>"["&amp;$C221&amp;"]["&amp;$D221&amp;"]["&amp;$F221&amp;"]"</f>
        <v>[S06_AccredCertVerifiersAnnexI][3][NumberAccredited]</v>
      </c>
    </row>
    <row r="222" spans="1:15" x14ac:dyDescent="0.3">
      <c r="A222" t="s">
        <v>2277</v>
      </c>
      <c r="B222" t="s">
        <v>1951</v>
      </c>
      <c r="C222" t="s">
        <v>1957</v>
      </c>
      <c r="D222">
        <v>4</v>
      </c>
      <c r="E222" t="s">
        <v>1447</v>
      </c>
      <c r="F222" t="s">
        <v>1959</v>
      </c>
      <c r="G222" t="s">
        <v>1748</v>
      </c>
      <c r="H222" t="s">
        <v>2279</v>
      </c>
      <c r="I222">
        <v>1</v>
      </c>
      <c r="J222" t="s">
        <v>2279</v>
      </c>
      <c r="K222" t="s">
        <v>2279</v>
      </c>
      <c r="L222" t="s">
        <v>2279</v>
      </c>
      <c r="M222" t="s">
        <v>2279</v>
      </c>
      <c r="N222" t="s">
        <v>2279</v>
      </c>
      <c r="O222" s="190" t="str">
        <f>"["&amp;$C222&amp;"]["&amp;$D222&amp;"]["&amp;$F222&amp;"]"</f>
        <v>[S06_AccredCertVerifiersAnnexI][4][NumberAccredited]</v>
      </c>
    </row>
    <row r="223" spans="1:15" x14ac:dyDescent="0.3">
      <c r="A223" t="s">
        <v>2277</v>
      </c>
      <c r="B223" t="s">
        <v>1951</v>
      </c>
      <c r="C223" t="s">
        <v>1957</v>
      </c>
      <c r="D223">
        <v>5</v>
      </c>
      <c r="E223" t="s">
        <v>1447</v>
      </c>
      <c r="F223" t="s">
        <v>1959</v>
      </c>
      <c r="G223" t="s">
        <v>1748</v>
      </c>
      <c r="H223" t="s">
        <v>2279</v>
      </c>
      <c r="I223">
        <v>2</v>
      </c>
      <c r="J223" t="s">
        <v>2279</v>
      </c>
      <c r="K223" t="s">
        <v>2279</v>
      </c>
      <c r="L223" t="s">
        <v>2279</v>
      </c>
      <c r="M223" t="s">
        <v>2279</v>
      </c>
      <c r="N223" t="s">
        <v>2279</v>
      </c>
      <c r="O223" s="190" t="str">
        <f>"["&amp;$C223&amp;"]["&amp;$D223&amp;"]["&amp;$F223&amp;"]"</f>
        <v>[S06_AccredCertVerifiersAnnexI][5][NumberAccredited]</v>
      </c>
    </row>
    <row r="224" spans="1:15" x14ac:dyDescent="0.3">
      <c r="A224" t="s">
        <v>2277</v>
      </c>
      <c r="B224" t="s">
        <v>1951</v>
      </c>
      <c r="C224" t="s">
        <v>1957</v>
      </c>
      <c r="D224">
        <v>6</v>
      </c>
      <c r="E224" t="s">
        <v>1447</v>
      </c>
      <c r="F224" t="s">
        <v>1959</v>
      </c>
      <c r="G224" t="s">
        <v>1748</v>
      </c>
      <c r="H224" t="s">
        <v>2279</v>
      </c>
      <c r="I224">
        <v>2</v>
      </c>
      <c r="J224" t="s">
        <v>2279</v>
      </c>
      <c r="K224" t="s">
        <v>2279</v>
      </c>
      <c r="L224" t="s">
        <v>2279</v>
      </c>
      <c r="M224" t="s">
        <v>2279</v>
      </c>
      <c r="N224" t="s">
        <v>2279</v>
      </c>
      <c r="O224" s="190" t="str">
        <f>"["&amp;$C224&amp;"]["&amp;$D224&amp;"]["&amp;$F224&amp;"]"</f>
        <v>[S06_AccredCertVerifiersAnnexI][6][NumberAccredited]</v>
      </c>
    </row>
    <row r="225" spans="1:15" x14ac:dyDescent="0.3">
      <c r="A225" t="s">
        <v>2277</v>
      </c>
      <c r="B225" t="s">
        <v>1951</v>
      </c>
      <c r="C225" t="s">
        <v>1957</v>
      </c>
      <c r="D225">
        <v>7</v>
      </c>
      <c r="E225" t="s">
        <v>1447</v>
      </c>
      <c r="F225" t="s">
        <v>1959</v>
      </c>
      <c r="G225" t="s">
        <v>1748</v>
      </c>
      <c r="H225" t="s">
        <v>2279</v>
      </c>
      <c r="I225">
        <v>3</v>
      </c>
      <c r="J225" t="s">
        <v>2279</v>
      </c>
      <c r="K225" t="s">
        <v>2279</v>
      </c>
      <c r="L225" t="s">
        <v>2279</v>
      </c>
      <c r="M225" t="s">
        <v>2279</v>
      </c>
      <c r="N225" t="s">
        <v>2279</v>
      </c>
      <c r="O225" s="190" t="str">
        <f>"["&amp;$C225&amp;"]["&amp;$D225&amp;"]["&amp;$F225&amp;"]"</f>
        <v>[S06_AccredCertVerifiersAnnexI][7][NumberAccredited]</v>
      </c>
    </row>
    <row r="226" spans="1:15" x14ac:dyDescent="0.3">
      <c r="A226" t="s">
        <v>2277</v>
      </c>
      <c r="B226" t="s">
        <v>1951</v>
      </c>
      <c r="C226" t="s">
        <v>1957</v>
      </c>
      <c r="D226">
        <v>8</v>
      </c>
      <c r="E226" t="s">
        <v>1447</v>
      </c>
      <c r="F226" t="s">
        <v>1959</v>
      </c>
      <c r="G226" t="s">
        <v>1748</v>
      </c>
      <c r="H226" t="s">
        <v>2279</v>
      </c>
      <c r="I226">
        <v>3</v>
      </c>
      <c r="J226" t="s">
        <v>2279</v>
      </c>
      <c r="K226" t="s">
        <v>2279</v>
      </c>
      <c r="L226" t="s">
        <v>2279</v>
      </c>
      <c r="M226" t="s">
        <v>2279</v>
      </c>
      <c r="N226" t="s">
        <v>2279</v>
      </c>
      <c r="O226" s="190" t="str">
        <f>"["&amp;$C226&amp;"]["&amp;$D226&amp;"]["&amp;$F226&amp;"]"</f>
        <v>[S06_AccredCertVerifiersAnnexI][8][NumberAccredited]</v>
      </c>
    </row>
    <row r="227" spans="1:15" x14ac:dyDescent="0.3">
      <c r="A227" t="s">
        <v>2277</v>
      </c>
      <c r="B227" t="s">
        <v>1951</v>
      </c>
      <c r="C227" t="s">
        <v>1957</v>
      </c>
      <c r="D227">
        <v>9</v>
      </c>
      <c r="E227" t="s">
        <v>1447</v>
      </c>
      <c r="F227" t="s">
        <v>1959</v>
      </c>
      <c r="G227" t="s">
        <v>1748</v>
      </c>
      <c r="H227" t="s">
        <v>2279</v>
      </c>
      <c r="I227">
        <v>3</v>
      </c>
      <c r="J227" t="s">
        <v>2279</v>
      </c>
      <c r="K227" t="s">
        <v>2279</v>
      </c>
      <c r="L227" t="s">
        <v>2279</v>
      </c>
      <c r="M227" t="s">
        <v>2279</v>
      </c>
      <c r="N227" t="s">
        <v>2279</v>
      </c>
      <c r="O227" s="190" t="str">
        <f>"["&amp;$C227&amp;"]["&amp;$D227&amp;"]["&amp;$F227&amp;"]"</f>
        <v>[S06_AccredCertVerifiersAnnexI][9][NumberAccredited]</v>
      </c>
    </row>
    <row r="228" spans="1:15" x14ac:dyDescent="0.3">
      <c r="A228" t="s">
        <v>2277</v>
      </c>
      <c r="B228" t="s">
        <v>1951</v>
      </c>
      <c r="C228" t="s">
        <v>1957</v>
      </c>
      <c r="D228">
        <v>10</v>
      </c>
      <c r="E228" t="s">
        <v>1447</v>
      </c>
      <c r="F228" t="s">
        <v>1959</v>
      </c>
      <c r="G228" t="s">
        <v>1748</v>
      </c>
      <c r="H228" t="s">
        <v>2279</v>
      </c>
      <c r="I228">
        <v>3</v>
      </c>
      <c r="J228" t="s">
        <v>2279</v>
      </c>
      <c r="K228" t="s">
        <v>2279</v>
      </c>
      <c r="L228" t="s">
        <v>2279</v>
      </c>
      <c r="M228" t="s">
        <v>2279</v>
      </c>
      <c r="N228" t="s">
        <v>2279</v>
      </c>
      <c r="O228" s="190" t="str">
        <f>"["&amp;$C228&amp;"]["&amp;$D228&amp;"]["&amp;$F228&amp;"]"</f>
        <v>[S06_AccredCertVerifiersAnnexI][10][NumberAccredited]</v>
      </c>
    </row>
    <row r="229" spans="1:15" x14ac:dyDescent="0.3">
      <c r="A229" t="s">
        <v>2277</v>
      </c>
      <c r="B229" t="s">
        <v>1951</v>
      </c>
      <c r="C229" t="s">
        <v>1957</v>
      </c>
      <c r="D229">
        <v>11</v>
      </c>
      <c r="E229" t="s">
        <v>1447</v>
      </c>
      <c r="F229" t="s">
        <v>1959</v>
      </c>
      <c r="G229" t="s">
        <v>1748</v>
      </c>
      <c r="H229" t="s">
        <v>2279</v>
      </c>
      <c r="I229">
        <v>3</v>
      </c>
      <c r="J229" t="s">
        <v>2279</v>
      </c>
      <c r="K229" t="s">
        <v>2279</v>
      </c>
      <c r="L229" t="s">
        <v>2279</v>
      </c>
      <c r="M229" t="s">
        <v>2279</v>
      </c>
      <c r="N229" t="s">
        <v>2279</v>
      </c>
      <c r="O229" s="190" t="str">
        <f>"["&amp;$C229&amp;"]["&amp;$D229&amp;"]["&amp;$F229&amp;"]"</f>
        <v>[S06_AccredCertVerifiersAnnexI][11][NumberAccredited]</v>
      </c>
    </row>
    <row r="230" spans="1:15" x14ac:dyDescent="0.3">
      <c r="A230" t="s">
        <v>2277</v>
      </c>
      <c r="B230" t="s">
        <v>1951</v>
      </c>
      <c r="C230" t="s">
        <v>1957</v>
      </c>
      <c r="D230">
        <v>12</v>
      </c>
      <c r="E230" t="s">
        <v>1447</v>
      </c>
      <c r="F230" t="s">
        <v>1959</v>
      </c>
      <c r="G230" t="s">
        <v>1748</v>
      </c>
      <c r="H230" t="s">
        <v>2279</v>
      </c>
      <c r="I230">
        <v>3</v>
      </c>
      <c r="J230" t="s">
        <v>2279</v>
      </c>
      <c r="K230" t="s">
        <v>2279</v>
      </c>
      <c r="L230" t="s">
        <v>2279</v>
      </c>
      <c r="M230" t="s">
        <v>2279</v>
      </c>
      <c r="N230" t="s">
        <v>2279</v>
      </c>
      <c r="O230" s="190" t="str">
        <f>"["&amp;$C230&amp;"]["&amp;$D230&amp;"]["&amp;$F230&amp;"]"</f>
        <v>[S06_AccredCertVerifiersAnnexI][12][NumberAccredited]</v>
      </c>
    </row>
    <row r="231" spans="1:15" x14ac:dyDescent="0.3">
      <c r="A231" t="s">
        <v>2277</v>
      </c>
      <c r="B231" t="s">
        <v>1951</v>
      </c>
      <c r="C231" t="s">
        <v>1957</v>
      </c>
      <c r="D231">
        <v>13</v>
      </c>
      <c r="E231" t="s">
        <v>1447</v>
      </c>
      <c r="F231" t="s">
        <v>1959</v>
      </c>
      <c r="G231" t="s">
        <v>1748</v>
      </c>
      <c r="H231" t="s">
        <v>2279</v>
      </c>
      <c r="I231">
        <v>2</v>
      </c>
      <c r="J231" t="s">
        <v>2279</v>
      </c>
      <c r="K231" t="s">
        <v>2279</v>
      </c>
      <c r="L231" t="s">
        <v>2279</v>
      </c>
      <c r="M231" t="s">
        <v>2279</v>
      </c>
      <c r="N231" t="s">
        <v>2279</v>
      </c>
      <c r="O231" s="190" t="str">
        <f>"["&amp;$C231&amp;"]["&amp;$D231&amp;"]["&amp;$F231&amp;"]"</f>
        <v>[S06_AccredCertVerifiersAnnexI][13][NumberAccredited]</v>
      </c>
    </row>
    <row r="232" spans="1:15" x14ac:dyDescent="0.3">
      <c r="A232" t="s">
        <v>2277</v>
      </c>
      <c r="B232" t="s">
        <v>1951</v>
      </c>
      <c r="C232" t="s">
        <v>1957</v>
      </c>
      <c r="D232">
        <v>14</v>
      </c>
      <c r="E232" t="s">
        <v>1447</v>
      </c>
      <c r="F232" t="s">
        <v>1959</v>
      </c>
      <c r="G232" t="s">
        <v>1748</v>
      </c>
      <c r="H232" t="s">
        <v>2279</v>
      </c>
      <c r="I232">
        <v>2</v>
      </c>
      <c r="J232" t="s">
        <v>2279</v>
      </c>
      <c r="K232" t="s">
        <v>2279</v>
      </c>
      <c r="L232" t="s">
        <v>2279</v>
      </c>
      <c r="M232" t="s">
        <v>2279</v>
      </c>
      <c r="N232" t="s">
        <v>2279</v>
      </c>
      <c r="O232" s="190" t="str">
        <f>"["&amp;$C232&amp;"]["&amp;$D232&amp;"]["&amp;$F232&amp;"]"</f>
        <v>[S06_AccredCertVerifiersAnnexI][14][NumberAccredited]</v>
      </c>
    </row>
    <row r="233" spans="1:15" x14ac:dyDescent="0.3">
      <c r="A233" t="s">
        <v>2277</v>
      </c>
      <c r="B233" t="s">
        <v>1951</v>
      </c>
      <c r="C233" t="s">
        <v>1957</v>
      </c>
      <c r="D233">
        <v>15</v>
      </c>
      <c r="E233" t="s">
        <v>1447</v>
      </c>
      <c r="F233" t="s">
        <v>1959</v>
      </c>
      <c r="G233" t="s">
        <v>1748</v>
      </c>
      <c r="H233" t="s">
        <v>2279</v>
      </c>
      <c r="I233">
        <v>1</v>
      </c>
      <c r="J233" t="s">
        <v>2279</v>
      </c>
      <c r="K233" t="s">
        <v>2279</v>
      </c>
      <c r="L233" t="s">
        <v>2279</v>
      </c>
      <c r="M233" t="s">
        <v>2279</v>
      </c>
      <c r="N233" t="s">
        <v>2279</v>
      </c>
      <c r="O233" s="190" t="str">
        <f>"["&amp;$C233&amp;"]["&amp;$D233&amp;"]["&amp;$F233&amp;"]"</f>
        <v>[S06_AccredCertVerifiersAnnexI][15][NumberAccredited]</v>
      </c>
    </row>
    <row r="234" spans="1:15" x14ac:dyDescent="0.3">
      <c r="A234" t="s">
        <v>2277</v>
      </c>
      <c r="B234" t="s">
        <v>1951</v>
      </c>
      <c r="C234" t="s">
        <v>1957</v>
      </c>
      <c r="D234">
        <v>16</v>
      </c>
      <c r="E234" t="s">
        <v>1447</v>
      </c>
      <c r="F234" t="s">
        <v>1959</v>
      </c>
      <c r="G234" t="s">
        <v>1748</v>
      </c>
      <c r="H234" t="s">
        <v>2279</v>
      </c>
      <c r="I234">
        <v>1</v>
      </c>
      <c r="J234" t="s">
        <v>2279</v>
      </c>
      <c r="K234" t="s">
        <v>2279</v>
      </c>
      <c r="L234" t="s">
        <v>2279</v>
      </c>
      <c r="M234" t="s">
        <v>2279</v>
      </c>
      <c r="N234" t="s">
        <v>2279</v>
      </c>
      <c r="O234" s="190" t="str">
        <f>"["&amp;$C234&amp;"]["&amp;$D234&amp;"]["&amp;$F234&amp;"]"</f>
        <v>[S06_AccredCertVerifiersAnnexI][16][NumberAccredited]</v>
      </c>
    </row>
    <row r="235" spans="1:15" x14ac:dyDescent="0.3">
      <c r="A235" t="s">
        <v>2277</v>
      </c>
      <c r="B235" t="s">
        <v>1951</v>
      </c>
      <c r="C235" t="s">
        <v>1957</v>
      </c>
      <c r="D235">
        <v>17</v>
      </c>
      <c r="E235" t="s">
        <v>1447</v>
      </c>
      <c r="F235" t="s">
        <v>1959</v>
      </c>
      <c r="G235" t="s">
        <v>1748</v>
      </c>
      <c r="H235" t="s">
        <v>2279</v>
      </c>
      <c r="I235">
        <v>1</v>
      </c>
      <c r="J235" t="s">
        <v>2279</v>
      </c>
      <c r="K235" t="s">
        <v>2279</v>
      </c>
      <c r="L235" t="s">
        <v>2279</v>
      </c>
      <c r="M235" t="s">
        <v>2279</v>
      </c>
      <c r="N235" t="s">
        <v>2279</v>
      </c>
      <c r="O235" s="190" t="str">
        <f>"["&amp;$C235&amp;"]["&amp;$D235&amp;"]["&amp;$F235&amp;"]"</f>
        <v>[S06_AccredCertVerifiersAnnexI][17][NumberAccredited]</v>
      </c>
    </row>
    <row r="236" spans="1:15" x14ac:dyDescent="0.3">
      <c r="A236" t="s">
        <v>2277</v>
      </c>
      <c r="B236" t="s">
        <v>1951</v>
      </c>
      <c r="C236" t="s">
        <v>1957</v>
      </c>
      <c r="D236">
        <v>18</v>
      </c>
      <c r="E236" t="s">
        <v>1447</v>
      </c>
      <c r="F236" t="s">
        <v>1959</v>
      </c>
      <c r="G236" t="s">
        <v>1748</v>
      </c>
      <c r="H236" t="s">
        <v>2279</v>
      </c>
      <c r="I236">
        <v>1</v>
      </c>
      <c r="J236" t="s">
        <v>2279</v>
      </c>
      <c r="K236" t="s">
        <v>2279</v>
      </c>
      <c r="L236" t="s">
        <v>2279</v>
      </c>
      <c r="M236" t="s">
        <v>2279</v>
      </c>
      <c r="N236" t="s">
        <v>2279</v>
      </c>
      <c r="O236" s="190" t="str">
        <f>"["&amp;$C236&amp;"]["&amp;$D236&amp;"]["&amp;$F236&amp;"]"</f>
        <v>[S06_AccredCertVerifiersAnnexI][18][NumberAccredited]</v>
      </c>
    </row>
    <row r="237" spans="1:15" x14ac:dyDescent="0.3">
      <c r="A237" t="s">
        <v>2277</v>
      </c>
      <c r="B237" t="s">
        <v>1951</v>
      </c>
      <c r="C237" t="s">
        <v>1957</v>
      </c>
      <c r="D237">
        <v>19</v>
      </c>
      <c r="E237" t="s">
        <v>1447</v>
      </c>
      <c r="F237" t="s">
        <v>1959</v>
      </c>
      <c r="G237" t="s">
        <v>1748</v>
      </c>
      <c r="H237" t="s">
        <v>2279</v>
      </c>
      <c r="I237">
        <v>3</v>
      </c>
      <c r="J237" t="s">
        <v>2279</v>
      </c>
      <c r="K237" t="s">
        <v>2279</v>
      </c>
      <c r="L237" t="s">
        <v>2279</v>
      </c>
      <c r="M237" t="s">
        <v>2279</v>
      </c>
      <c r="N237" t="s">
        <v>2279</v>
      </c>
      <c r="O237" s="190" t="str">
        <f>"["&amp;$C237&amp;"]["&amp;$D237&amp;"]["&amp;$F237&amp;"]"</f>
        <v>[S06_AccredCertVerifiersAnnexI][19][NumberAccredited]</v>
      </c>
    </row>
    <row r="238" spans="1:15" x14ac:dyDescent="0.3">
      <c r="A238" t="s">
        <v>2277</v>
      </c>
      <c r="B238" t="s">
        <v>1961</v>
      </c>
      <c r="C238" t="s">
        <v>1962</v>
      </c>
      <c r="D238">
        <v>1</v>
      </c>
      <c r="E238" t="s">
        <v>1447</v>
      </c>
      <c r="F238" t="s">
        <v>1963</v>
      </c>
      <c r="G238" t="s">
        <v>1759</v>
      </c>
      <c r="H238" t="s">
        <v>2279</v>
      </c>
      <c r="I238" t="s">
        <v>2279</v>
      </c>
      <c r="J238" t="s">
        <v>2279</v>
      </c>
      <c r="K238" t="s">
        <v>2279</v>
      </c>
      <c r="L238" t="s">
        <v>1419</v>
      </c>
      <c r="M238" t="s">
        <v>2279</v>
      </c>
      <c r="N238" t="s">
        <v>2279</v>
      </c>
      <c r="O238" s="190" t="str">
        <f>"["&amp;$C238&amp;"]["&amp;$D238&amp;"]["&amp;$F238&amp;"]"</f>
        <v>[S06_ApplicationInformationExchangeRequirements1][1][FromOwnMS]</v>
      </c>
    </row>
    <row r="239" spans="1:15" x14ac:dyDescent="0.3">
      <c r="A239" t="s">
        <v>2277</v>
      </c>
      <c r="B239" t="s">
        <v>1961</v>
      </c>
      <c r="C239" t="s">
        <v>1962</v>
      </c>
      <c r="D239">
        <v>1</v>
      </c>
      <c r="E239" t="s">
        <v>1447</v>
      </c>
      <c r="F239" t="s">
        <v>1964</v>
      </c>
      <c r="G239" t="s">
        <v>1759</v>
      </c>
      <c r="H239" t="s">
        <v>2279</v>
      </c>
      <c r="I239" t="s">
        <v>2279</v>
      </c>
      <c r="J239" t="s">
        <v>2279</v>
      </c>
      <c r="K239" t="s">
        <v>2279</v>
      </c>
      <c r="L239" t="s">
        <v>1477</v>
      </c>
      <c r="M239" t="s">
        <v>2279</v>
      </c>
      <c r="N239" t="s">
        <v>2279</v>
      </c>
      <c r="O239" s="190" t="str">
        <f>"["&amp;$C239&amp;"]["&amp;$D239&amp;"]["&amp;$F239&amp;"]"</f>
        <v>[S06_ApplicationInformationExchangeRequirements1][1][FromOtherMS]</v>
      </c>
    </row>
    <row r="240" spans="1:15" x14ac:dyDescent="0.3">
      <c r="A240" t="s">
        <v>2277</v>
      </c>
      <c r="B240" t="s">
        <v>1961</v>
      </c>
      <c r="C240" t="s">
        <v>1962</v>
      </c>
      <c r="D240">
        <v>2</v>
      </c>
      <c r="E240" t="s">
        <v>1447</v>
      </c>
      <c r="F240" t="s">
        <v>1963</v>
      </c>
      <c r="G240" t="s">
        <v>1759</v>
      </c>
      <c r="H240" t="s">
        <v>2279</v>
      </c>
      <c r="I240" t="s">
        <v>2279</v>
      </c>
      <c r="J240" t="s">
        <v>2279</v>
      </c>
      <c r="K240" t="s">
        <v>2279</v>
      </c>
      <c r="L240" t="s">
        <v>1419</v>
      </c>
      <c r="M240" t="s">
        <v>2279</v>
      </c>
      <c r="N240" t="s">
        <v>2279</v>
      </c>
      <c r="O240" s="190" t="str">
        <f>"["&amp;$C240&amp;"]["&amp;$D240&amp;"]["&amp;$F240&amp;"]"</f>
        <v>[S06_ApplicationInformationExchangeRequirements1][2][FromOwnMS]</v>
      </c>
    </row>
    <row r="241" spans="1:15" x14ac:dyDescent="0.3">
      <c r="A241" t="s">
        <v>2277</v>
      </c>
      <c r="B241" t="s">
        <v>1961</v>
      </c>
      <c r="C241" t="s">
        <v>1962</v>
      </c>
      <c r="D241">
        <v>2</v>
      </c>
      <c r="E241" t="s">
        <v>1447</v>
      </c>
      <c r="F241" t="s">
        <v>1964</v>
      </c>
      <c r="G241" t="s">
        <v>1759</v>
      </c>
      <c r="H241" t="s">
        <v>2279</v>
      </c>
      <c r="I241" t="s">
        <v>2279</v>
      </c>
      <c r="J241" t="s">
        <v>2279</v>
      </c>
      <c r="K241" t="s">
        <v>2279</v>
      </c>
      <c r="L241" t="s">
        <v>1477</v>
      </c>
      <c r="M241" t="s">
        <v>2279</v>
      </c>
      <c r="N241" t="s">
        <v>2279</v>
      </c>
      <c r="O241" s="190" t="str">
        <f>"["&amp;$C241&amp;"]["&amp;$D241&amp;"]["&amp;$F241&amp;"]"</f>
        <v>[S06_ApplicationInformationExchangeRequirements1][2][FromOtherMS]</v>
      </c>
    </row>
    <row r="242" spans="1:15" x14ac:dyDescent="0.3">
      <c r="A242" t="s">
        <v>2277</v>
      </c>
      <c r="B242" t="s">
        <v>1961</v>
      </c>
      <c r="C242" t="s">
        <v>1962</v>
      </c>
      <c r="D242">
        <v>3</v>
      </c>
      <c r="E242" t="s">
        <v>1447</v>
      </c>
      <c r="F242" t="s">
        <v>1963</v>
      </c>
      <c r="G242" t="s">
        <v>1759</v>
      </c>
      <c r="H242" t="s">
        <v>2279</v>
      </c>
      <c r="I242" t="s">
        <v>2279</v>
      </c>
      <c r="J242" t="s">
        <v>2279</v>
      </c>
      <c r="K242" t="s">
        <v>2279</v>
      </c>
      <c r="L242" t="s">
        <v>1477</v>
      </c>
      <c r="M242" t="s">
        <v>2279</v>
      </c>
      <c r="N242" t="s">
        <v>2279</v>
      </c>
      <c r="O242" s="190" t="str">
        <f>"["&amp;$C242&amp;"]["&amp;$D242&amp;"]["&amp;$F242&amp;"]"</f>
        <v>[S06_ApplicationInformationExchangeRequirements1][3][FromOwnMS]</v>
      </c>
    </row>
    <row r="243" spans="1:15" x14ac:dyDescent="0.3">
      <c r="A243" t="s">
        <v>2277</v>
      </c>
      <c r="B243" t="s">
        <v>1961</v>
      </c>
      <c r="C243" t="s">
        <v>1962</v>
      </c>
      <c r="D243">
        <v>3</v>
      </c>
      <c r="E243" t="s">
        <v>1447</v>
      </c>
      <c r="F243" t="s">
        <v>1964</v>
      </c>
      <c r="G243" t="s">
        <v>1759</v>
      </c>
      <c r="H243" t="s">
        <v>2279</v>
      </c>
      <c r="I243" t="s">
        <v>2279</v>
      </c>
      <c r="J243" t="s">
        <v>2279</v>
      </c>
      <c r="K243" t="s">
        <v>2279</v>
      </c>
      <c r="L243" t="s">
        <v>1477</v>
      </c>
      <c r="M243" t="s">
        <v>2279</v>
      </c>
      <c r="N243" t="s">
        <v>2279</v>
      </c>
      <c r="O243" s="190" t="str">
        <f>"["&amp;$C243&amp;"]["&amp;$D243&amp;"]["&amp;$F243&amp;"]"</f>
        <v>[S06_ApplicationInformationExchangeRequirements1][3][FromOtherMS]</v>
      </c>
    </row>
    <row r="244" spans="1:15" x14ac:dyDescent="0.3">
      <c r="A244" t="s">
        <v>2277</v>
      </c>
      <c r="B244" t="s">
        <v>1961</v>
      </c>
      <c r="C244" t="s">
        <v>1965</v>
      </c>
      <c r="D244">
        <v>1</v>
      </c>
      <c r="E244" t="s">
        <v>1447</v>
      </c>
      <c r="F244" t="s">
        <v>1966</v>
      </c>
      <c r="G244" t="s">
        <v>1748</v>
      </c>
      <c r="H244" t="s">
        <v>2279</v>
      </c>
      <c r="I244">
        <v>0</v>
      </c>
      <c r="J244" t="s">
        <v>2279</v>
      </c>
      <c r="K244" t="s">
        <v>2279</v>
      </c>
      <c r="L244" t="s">
        <v>2279</v>
      </c>
      <c r="M244" t="s">
        <v>2279</v>
      </c>
      <c r="N244" t="s">
        <v>2279</v>
      </c>
      <c r="O244" s="190" t="str">
        <f>"["&amp;$C244&amp;"]["&amp;$D244&amp;"]["&amp;$F244&amp;"]"</f>
        <v>[S06_ApplicationInformationExchangeRequirements2][1][NumberImposedOnVerifiersSuspension]</v>
      </c>
    </row>
    <row r="245" spans="1:15" x14ac:dyDescent="0.3">
      <c r="A245" t="s">
        <v>2277</v>
      </c>
      <c r="B245" t="s">
        <v>1961</v>
      </c>
      <c r="C245" t="s">
        <v>1965</v>
      </c>
      <c r="D245">
        <v>1</v>
      </c>
      <c r="E245" t="s">
        <v>1447</v>
      </c>
      <c r="F245" t="s">
        <v>1967</v>
      </c>
      <c r="G245" t="s">
        <v>1748</v>
      </c>
      <c r="H245" t="s">
        <v>2279</v>
      </c>
      <c r="I245">
        <v>0</v>
      </c>
      <c r="J245" t="s">
        <v>2279</v>
      </c>
      <c r="K245" t="s">
        <v>2279</v>
      </c>
      <c r="L245" t="s">
        <v>2279</v>
      </c>
      <c r="M245" t="s">
        <v>2279</v>
      </c>
      <c r="N245" t="s">
        <v>2279</v>
      </c>
      <c r="O245" s="190" t="str">
        <f>"["&amp;$C245&amp;"]["&amp;$D245&amp;"]["&amp;$F245&amp;"]"</f>
        <v>[S06_ApplicationInformationExchangeRequirements2][1][NumberImposedOnVerifiersWithdrawal]</v>
      </c>
    </row>
    <row r="246" spans="1:15" x14ac:dyDescent="0.3">
      <c r="A246" t="s">
        <v>2277</v>
      </c>
      <c r="B246" t="s">
        <v>1961</v>
      </c>
      <c r="C246" t="s">
        <v>1965</v>
      </c>
      <c r="D246">
        <v>1</v>
      </c>
      <c r="E246" t="s">
        <v>1447</v>
      </c>
      <c r="F246" t="s">
        <v>1968</v>
      </c>
      <c r="G246" t="s">
        <v>1748</v>
      </c>
      <c r="H246" t="s">
        <v>2279</v>
      </c>
      <c r="I246">
        <v>0</v>
      </c>
      <c r="J246" t="s">
        <v>2279</v>
      </c>
      <c r="K246" t="s">
        <v>2279</v>
      </c>
      <c r="L246" t="s">
        <v>2279</v>
      </c>
      <c r="M246" t="s">
        <v>2279</v>
      </c>
      <c r="N246" t="s">
        <v>2279</v>
      </c>
      <c r="O246" s="190" t="str">
        <f>"["&amp;$C246&amp;"]["&amp;$D246&amp;"]["&amp;$F246&amp;"]"</f>
        <v>[S06_ApplicationInformationExchangeRequirements2][1][NumberImposedOnVerifiersReductionOfScope]</v>
      </c>
    </row>
    <row r="247" spans="1:15" x14ac:dyDescent="0.3">
      <c r="A247" t="s">
        <v>2277</v>
      </c>
      <c r="B247" t="s">
        <v>1961</v>
      </c>
      <c r="C247" t="s">
        <v>1969</v>
      </c>
      <c r="D247">
        <v>0</v>
      </c>
      <c r="E247" t="s">
        <v>1447</v>
      </c>
      <c r="F247" t="s">
        <v>1970</v>
      </c>
      <c r="G247" t="s">
        <v>1748</v>
      </c>
      <c r="H247" t="s">
        <v>2279</v>
      </c>
      <c r="I247">
        <v>0</v>
      </c>
      <c r="J247" t="s">
        <v>2279</v>
      </c>
      <c r="K247" t="s">
        <v>2279</v>
      </c>
      <c r="L247" t="s">
        <v>2279</v>
      </c>
      <c r="M247" t="s">
        <v>2279</v>
      </c>
      <c r="N247" t="s">
        <v>2279</v>
      </c>
      <c r="O247" s="190" t="str">
        <f>"["&amp;$C247&amp;"]["&amp;$D247&amp;"]["&amp;$F247&amp;"]"</f>
        <v>[S06_ApplicationInformationExchangeRequirements3][0][TimesSurveillanceRequested]</v>
      </c>
    </row>
    <row r="248" spans="1:15" x14ac:dyDescent="0.3">
      <c r="A248" t="s">
        <v>2277</v>
      </c>
      <c r="B248" t="s">
        <v>1961</v>
      </c>
      <c r="C248" t="s">
        <v>1971</v>
      </c>
      <c r="D248">
        <v>1</v>
      </c>
      <c r="E248" t="s">
        <v>1447</v>
      </c>
      <c r="F248" t="s">
        <v>1972</v>
      </c>
      <c r="G248" t="s">
        <v>1748</v>
      </c>
      <c r="H248" t="s">
        <v>2279</v>
      </c>
      <c r="I248">
        <v>1</v>
      </c>
      <c r="J248" t="s">
        <v>2279</v>
      </c>
      <c r="K248" t="s">
        <v>2279</v>
      </c>
      <c r="L248" t="s">
        <v>2279</v>
      </c>
      <c r="M248" t="s">
        <v>2279</v>
      </c>
      <c r="N248" t="s">
        <v>2279</v>
      </c>
      <c r="O248" s="190" t="str">
        <f>"["&amp;$C248&amp;"]["&amp;$D248&amp;"]["&amp;$F248&amp;"]"</f>
        <v>[S06_ApplicationInformationExchangeRequirements4][1][NumberOfIssues]</v>
      </c>
    </row>
    <row r="249" spans="1:15" x14ac:dyDescent="0.3">
      <c r="A249" t="s">
        <v>2277</v>
      </c>
      <c r="B249" t="s">
        <v>1961</v>
      </c>
      <c r="C249" t="s">
        <v>1971</v>
      </c>
      <c r="D249">
        <v>1</v>
      </c>
      <c r="E249" t="s">
        <v>1447</v>
      </c>
      <c r="F249" t="s">
        <v>1973</v>
      </c>
      <c r="G249" t="s">
        <v>1748</v>
      </c>
      <c r="H249" t="s">
        <v>2279</v>
      </c>
      <c r="I249">
        <v>0</v>
      </c>
      <c r="J249" t="s">
        <v>2279</v>
      </c>
      <c r="K249" t="s">
        <v>2279</v>
      </c>
      <c r="L249" t="s">
        <v>2279</v>
      </c>
      <c r="M249" t="s">
        <v>2279</v>
      </c>
      <c r="N249" t="s">
        <v>2279</v>
      </c>
      <c r="O249" s="190" t="str">
        <f>"["&amp;$C249&amp;"]["&amp;$D249&amp;"]["&amp;$F249&amp;"]"</f>
        <v>[S06_ApplicationInformationExchangeRequirements4][1][NumberOfIssuesResolved]</v>
      </c>
    </row>
    <row r="250" spans="1:15" x14ac:dyDescent="0.3">
      <c r="A250" t="s">
        <v>2277</v>
      </c>
      <c r="B250" t="s">
        <v>1961</v>
      </c>
      <c r="C250" t="s">
        <v>1971</v>
      </c>
      <c r="D250">
        <v>1</v>
      </c>
      <c r="E250" t="s">
        <v>1447</v>
      </c>
      <c r="F250" t="s">
        <v>1974</v>
      </c>
      <c r="G250" t="s">
        <v>1748</v>
      </c>
      <c r="H250" t="s">
        <v>2279</v>
      </c>
      <c r="I250">
        <v>0</v>
      </c>
      <c r="J250" t="s">
        <v>2279</v>
      </c>
      <c r="K250" t="s">
        <v>2279</v>
      </c>
      <c r="L250" t="s">
        <v>2279</v>
      </c>
      <c r="M250" t="s">
        <v>2279</v>
      </c>
      <c r="N250" t="s">
        <v>2279</v>
      </c>
      <c r="O250" s="190" t="str">
        <f>"["&amp;$C250&amp;"]["&amp;$D250&amp;"]["&amp;$F250&amp;"]"</f>
        <v>[S06_ApplicationInformationExchangeRequirements4][1][NumberOfPriorIssuesResolved]</v>
      </c>
    </row>
    <row r="251" spans="1:15" x14ac:dyDescent="0.3">
      <c r="A251" t="s">
        <v>2277</v>
      </c>
      <c r="B251" t="s">
        <v>1961</v>
      </c>
      <c r="C251" t="s">
        <v>1971</v>
      </c>
      <c r="D251">
        <v>3</v>
      </c>
      <c r="E251" t="s">
        <v>1447</v>
      </c>
      <c r="F251" t="s">
        <v>1972</v>
      </c>
      <c r="G251" t="s">
        <v>1748</v>
      </c>
      <c r="H251" t="s">
        <v>2279</v>
      </c>
      <c r="I251">
        <v>0</v>
      </c>
      <c r="J251" t="s">
        <v>2279</v>
      </c>
      <c r="K251" t="s">
        <v>2279</v>
      </c>
      <c r="L251" t="s">
        <v>2279</v>
      </c>
      <c r="M251" t="s">
        <v>2279</v>
      </c>
      <c r="N251" t="s">
        <v>2279</v>
      </c>
      <c r="O251" s="190" t="str">
        <f>"["&amp;$C251&amp;"]["&amp;$D251&amp;"]["&amp;$F251&amp;"]"</f>
        <v>[S06_ApplicationInformationExchangeRequirements4][3][NumberOfIssues]</v>
      </c>
    </row>
    <row r="252" spans="1:15" x14ac:dyDescent="0.3">
      <c r="A252" t="s">
        <v>2277</v>
      </c>
      <c r="B252" t="s">
        <v>1961</v>
      </c>
      <c r="C252" t="s">
        <v>1971</v>
      </c>
      <c r="D252">
        <v>3</v>
      </c>
      <c r="E252" t="s">
        <v>1447</v>
      </c>
      <c r="F252" t="s">
        <v>1973</v>
      </c>
      <c r="G252" t="s">
        <v>1748</v>
      </c>
      <c r="H252" t="s">
        <v>2279</v>
      </c>
      <c r="I252">
        <v>0</v>
      </c>
      <c r="J252" t="s">
        <v>2279</v>
      </c>
      <c r="K252" t="s">
        <v>2279</v>
      </c>
      <c r="L252" t="s">
        <v>2279</v>
      </c>
      <c r="M252" t="s">
        <v>2279</v>
      </c>
      <c r="N252" t="s">
        <v>2279</v>
      </c>
      <c r="O252" s="190" t="str">
        <f>"["&amp;$C252&amp;"]["&amp;$D252&amp;"]["&amp;$F252&amp;"]"</f>
        <v>[S06_ApplicationInformationExchangeRequirements4][3][NumberOfIssuesResolved]</v>
      </c>
    </row>
    <row r="253" spans="1:15" x14ac:dyDescent="0.3">
      <c r="A253" t="s">
        <v>2277</v>
      </c>
      <c r="B253" t="s">
        <v>1961</v>
      </c>
      <c r="C253" t="s">
        <v>1971</v>
      </c>
      <c r="D253">
        <v>3</v>
      </c>
      <c r="E253" t="s">
        <v>1447</v>
      </c>
      <c r="F253" t="s">
        <v>1974</v>
      </c>
      <c r="G253" t="s">
        <v>1748</v>
      </c>
      <c r="H253" t="s">
        <v>2279</v>
      </c>
      <c r="I253">
        <v>0</v>
      </c>
      <c r="J253" t="s">
        <v>2279</v>
      </c>
      <c r="K253" t="s">
        <v>2279</v>
      </c>
      <c r="L253" t="s">
        <v>2279</v>
      </c>
      <c r="M253" t="s">
        <v>2279</v>
      </c>
      <c r="N253" t="s">
        <v>2279</v>
      </c>
      <c r="O253" s="190" t="str">
        <f>"["&amp;$C253&amp;"]["&amp;$D253&amp;"]["&amp;$F253&amp;"]"</f>
        <v>[S06_ApplicationInformationExchangeRequirements4][3][NumberOfPriorIssuesResolved]</v>
      </c>
    </row>
    <row r="254" spans="1:15" x14ac:dyDescent="0.3">
      <c r="A254" t="s">
        <v>2277</v>
      </c>
      <c r="B254" t="s">
        <v>1985</v>
      </c>
      <c r="C254" t="s">
        <v>1986</v>
      </c>
      <c r="D254">
        <v>0</v>
      </c>
      <c r="E254" t="s">
        <v>1447</v>
      </c>
      <c r="F254" t="s">
        <v>1986</v>
      </c>
      <c r="G254" t="s">
        <v>1759</v>
      </c>
      <c r="H254" t="s">
        <v>2279</v>
      </c>
      <c r="I254" t="s">
        <v>2279</v>
      </c>
      <c r="J254" t="s">
        <v>2279</v>
      </c>
      <c r="K254" t="s">
        <v>2279</v>
      </c>
      <c r="L254" t="s">
        <v>1447</v>
      </c>
      <c r="M254" t="s">
        <v>2279</v>
      </c>
      <c r="N254" t="s">
        <v>2279</v>
      </c>
      <c r="O254" s="190" t="str">
        <f>"["&amp;$C254&amp;"]["&amp;$D254&amp;"]["&amp;$F254&amp;"]"</f>
        <v>[InstallationsVerificationReportIssues][0][InstallationsVerificationReportIssues]</v>
      </c>
    </row>
    <row r="255" spans="1:15" x14ac:dyDescent="0.3">
      <c r="A255" t="s">
        <v>2277</v>
      </c>
      <c r="B255" t="s">
        <v>1991</v>
      </c>
      <c r="C255" t="s">
        <v>1992</v>
      </c>
      <c r="D255">
        <v>0</v>
      </c>
      <c r="E255" t="s">
        <v>1447</v>
      </c>
      <c r="F255" t="s">
        <v>1992</v>
      </c>
      <c r="G255" t="s">
        <v>1759</v>
      </c>
      <c r="H255" t="s">
        <v>2279</v>
      </c>
      <c r="I255" t="s">
        <v>2279</v>
      </c>
      <c r="J255" t="s">
        <v>2279</v>
      </c>
      <c r="K255" t="s">
        <v>2279</v>
      </c>
      <c r="L255" t="s">
        <v>1447</v>
      </c>
      <c r="M255" t="s">
        <v>2279</v>
      </c>
      <c r="N255" t="s">
        <v>2279</v>
      </c>
      <c r="O255" s="190" t="str">
        <f>"["&amp;$C255&amp;"]["&amp;$D255&amp;"]["&amp;$F255&amp;"]"</f>
        <v>[InstallationsVerificationReportChecks][0][InstallationsVerificationReportChecks]</v>
      </c>
    </row>
    <row r="256" spans="1:15" x14ac:dyDescent="0.3">
      <c r="A256" t="s">
        <v>2277</v>
      </c>
      <c r="B256" t="s">
        <v>2001</v>
      </c>
      <c r="C256" t="s">
        <v>2002</v>
      </c>
      <c r="D256">
        <v>0</v>
      </c>
      <c r="E256" t="s">
        <v>1447</v>
      </c>
      <c r="F256" t="s">
        <v>2002</v>
      </c>
      <c r="G256" t="s">
        <v>1759</v>
      </c>
      <c r="H256" t="s">
        <v>2279</v>
      </c>
      <c r="I256" t="s">
        <v>2279</v>
      </c>
      <c r="J256" t="s">
        <v>2279</v>
      </c>
      <c r="K256" t="s">
        <v>2279</v>
      </c>
      <c r="L256" t="s">
        <v>1447</v>
      </c>
      <c r="M256" t="s">
        <v>2279</v>
      </c>
      <c r="N256" t="s">
        <v>2279</v>
      </c>
      <c r="O256" s="190" t="str">
        <f>"["&amp;$C256&amp;"]["&amp;$D256&amp;"]["&amp;$F256&amp;"]"</f>
        <v>[InstallationVisitsWaivedHighEmitters][0][InstallationVisitsWaivedHighEmitters]</v>
      </c>
    </row>
    <row r="257" spans="1:15" x14ac:dyDescent="0.3">
      <c r="A257" t="s">
        <v>2277</v>
      </c>
      <c r="B257" t="s">
        <v>2001</v>
      </c>
      <c r="C257" t="s">
        <v>2005</v>
      </c>
      <c r="D257">
        <v>0</v>
      </c>
      <c r="E257" t="s">
        <v>1447</v>
      </c>
      <c r="F257" t="s">
        <v>2005</v>
      </c>
      <c r="G257" t="s">
        <v>1759</v>
      </c>
      <c r="H257" t="s">
        <v>2279</v>
      </c>
      <c r="I257" t="s">
        <v>2279</v>
      </c>
      <c r="J257" t="s">
        <v>2279</v>
      </c>
      <c r="K257" t="s">
        <v>2279</v>
      </c>
      <c r="L257" t="s">
        <v>1447</v>
      </c>
      <c r="M257" t="s">
        <v>2279</v>
      </c>
      <c r="N257" t="s">
        <v>2279</v>
      </c>
      <c r="O257" s="190" t="str">
        <f>"["&amp;$C257&amp;"]["&amp;$D257&amp;"]["&amp;$F257&amp;"]"</f>
        <v>[InstallationsVisitsWaivedLowEmitters][0][InstallationsVisitsWaivedLowEmitters]</v>
      </c>
    </row>
    <row r="258" spans="1:15" x14ac:dyDescent="0.3">
      <c r="A258" t="s">
        <v>2277</v>
      </c>
      <c r="B258" t="s">
        <v>2007</v>
      </c>
      <c r="C258" t="s">
        <v>2008</v>
      </c>
      <c r="D258">
        <v>0</v>
      </c>
      <c r="E258" t="s">
        <v>1447</v>
      </c>
      <c r="F258" t="s">
        <v>2008</v>
      </c>
      <c r="G258" t="s">
        <v>1759</v>
      </c>
      <c r="H258" t="s">
        <v>2279</v>
      </c>
      <c r="I258" t="s">
        <v>2279</v>
      </c>
      <c r="J258" t="s">
        <v>2279</v>
      </c>
      <c r="K258" t="s">
        <v>2279</v>
      </c>
      <c r="L258" t="s">
        <v>1447</v>
      </c>
      <c r="M258" t="s">
        <v>2279</v>
      </c>
      <c r="N258" t="s">
        <v>2279</v>
      </c>
      <c r="O258" s="190" t="str">
        <f>"["&amp;$C258&amp;"]["&amp;$D258&amp;"]["&amp;$F258&amp;"]"</f>
        <v>[VirtualVisitsInstallations][0][VirtualVisitsInstallations]</v>
      </c>
    </row>
    <row r="259" spans="1:15" x14ac:dyDescent="0.3">
      <c r="A259" t="s">
        <v>2277</v>
      </c>
      <c r="B259" t="s">
        <v>2021</v>
      </c>
      <c r="C259" t="s">
        <v>2022</v>
      </c>
      <c r="D259">
        <v>0</v>
      </c>
      <c r="E259" t="s">
        <v>1447</v>
      </c>
      <c r="F259" t="s">
        <v>2022</v>
      </c>
      <c r="G259" t="s">
        <v>1759</v>
      </c>
      <c r="H259" t="s">
        <v>2279</v>
      </c>
      <c r="I259" t="s">
        <v>2279</v>
      </c>
      <c r="J259" t="s">
        <v>2279</v>
      </c>
      <c r="K259" t="s">
        <v>2279</v>
      </c>
      <c r="L259" t="s">
        <v>1447</v>
      </c>
      <c r="M259" t="s">
        <v>2279</v>
      </c>
      <c r="N259" t="s">
        <v>2279</v>
      </c>
      <c r="O259" s="190" t="str">
        <f>"["&amp;$C259&amp;"]["&amp;$D259&amp;"]["&amp;$F259&amp;"]"</f>
        <v>[AircraftOperatorsVerificationReportIssues][0][AircraftOperatorsVerificationReportIssues]</v>
      </c>
    </row>
    <row r="260" spans="1:15" x14ac:dyDescent="0.3">
      <c r="A260" t="s">
        <v>2277</v>
      </c>
      <c r="B260" t="s">
        <v>2026</v>
      </c>
      <c r="C260" t="s">
        <v>2027</v>
      </c>
      <c r="D260">
        <v>0</v>
      </c>
      <c r="E260" t="s">
        <v>1447</v>
      </c>
      <c r="F260" t="s">
        <v>2027</v>
      </c>
      <c r="G260" t="s">
        <v>1759</v>
      </c>
      <c r="H260" t="s">
        <v>2279</v>
      </c>
      <c r="I260" t="s">
        <v>2279</v>
      </c>
      <c r="J260" t="s">
        <v>2279</v>
      </c>
      <c r="K260" t="s">
        <v>2279</v>
      </c>
      <c r="L260" t="s">
        <v>1447</v>
      </c>
      <c r="M260" t="s">
        <v>2279</v>
      </c>
      <c r="N260" t="s">
        <v>2279</v>
      </c>
      <c r="O260" s="190" t="str">
        <f>"["&amp;$C260&amp;"]["&amp;$D260&amp;"]["&amp;$F260&amp;"]"</f>
        <v>[AircraftOperatorsVerificationReportChecks][0][AircraftOperatorsVerificationReportChecks]</v>
      </c>
    </row>
    <row r="261" spans="1:15" x14ac:dyDescent="0.3">
      <c r="A261" t="s">
        <v>2277</v>
      </c>
      <c r="B261" t="s">
        <v>2034</v>
      </c>
      <c r="C261" t="s">
        <v>2035</v>
      </c>
      <c r="D261">
        <v>0</v>
      </c>
      <c r="E261" t="s">
        <v>1447</v>
      </c>
      <c r="F261" t="s">
        <v>2035</v>
      </c>
      <c r="G261" t="s">
        <v>1759</v>
      </c>
      <c r="H261" t="s">
        <v>2279</v>
      </c>
      <c r="I261" t="s">
        <v>2279</v>
      </c>
      <c r="J261" t="s">
        <v>2279</v>
      </c>
      <c r="K261" t="s">
        <v>2279</v>
      </c>
      <c r="L261" t="s">
        <v>1447</v>
      </c>
      <c r="M261" t="s">
        <v>2279</v>
      </c>
      <c r="N261" t="s">
        <v>2279</v>
      </c>
      <c r="O261" s="190" t="str">
        <f>"["&amp;$C261&amp;"]["&amp;$D261&amp;"]["&amp;$F261&amp;"]"</f>
        <v>[AircraftOperatorsVisitsWaivedLowEmitters][0][AircraftOperatorsVisitsWaivedLowEmitters]</v>
      </c>
    </row>
    <row r="262" spans="1:15" x14ac:dyDescent="0.3">
      <c r="A262" t="s">
        <v>2277</v>
      </c>
      <c r="B262" t="s">
        <v>2037</v>
      </c>
      <c r="C262" t="s">
        <v>2038</v>
      </c>
      <c r="D262">
        <v>0</v>
      </c>
      <c r="E262" t="s">
        <v>1447</v>
      </c>
      <c r="F262" t="s">
        <v>2038</v>
      </c>
      <c r="G262" t="s">
        <v>1759</v>
      </c>
      <c r="H262" t="s">
        <v>2279</v>
      </c>
      <c r="I262" t="s">
        <v>2279</v>
      </c>
      <c r="J262" t="s">
        <v>2279</v>
      </c>
      <c r="K262" t="s">
        <v>2279</v>
      </c>
      <c r="L262" t="s">
        <v>1447</v>
      </c>
      <c r="M262" t="s">
        <v>2279</v>
      </c>
      <c r="N262" t="s">
        <v>2279</v>
      </c>
      <c r="O262" s="190" t="str">
        <f>"["&amp;$C262&amp;"]["&amp;$D262&amp;"]["&amp;$F262&amp;"]"</f>
        <v>[VirtualVisitsAircraft][0][VirtualVisitsAircraft]</v>
      </c>
    </row>
    <row r="263" spans="1:15" x14ac:dyDescent="0.3">
      <c r="A263" t="s">
        <v>2277</v>
      </c>
      <c r="B263" t="s">
        <v>2048</v>
      </c>
      <c r="C263" t="s">
        <v>2049</v>
      </c>
      <c r="D263">
        <v>0</v>
      </c>
      <c r="E263" t="s">
        <v>1447</v>
      </c>
      <c r="F263" t="s">
        <v>2049</v>
      </c>
      <c r="G263" t="s">
        <v>1748</v>
      </c>
      <c r="H263" t="s">
        <v>2279</v>
      </c>
      <c r="I263">
        <v>0</v>
      </c>
      <c r="J263" t="s">
        <v>2279</v>
      </c>
      <c r="K263" t="s">
        <v>2279</v>
      </c>
      <c r="L263" t="s">
        <v>2279</v>
      </c>
      <c r="M263" t="s">
        <v>2279</v>
      </c>
      <c r="N263" t="s">
        <v>2279</v>
      </c>
      <c r="O263" s="190" t="str">
        <f>"["&amp;$C263&amp;"]["&amp;$D263&amp;"]["&amp;$F263&amp;"]"</f>
        <v>[AircraftOperatorsMandateArt15UseNumber][0][AircraftOperatorsMandateArt15UseNumber]</v>
      </c>
    </row>
    <row r="264" spans="1:15" x14ac:dyDescent="0.3">
      <c r="A264" t="s">
        <v>2277</v>
      </c>
      <c r="B264" t="s">
        <v>2052</v>
      </c>
      <c r="C264" t="s">
        <v>2053</v>
      </c>
      <c r="D264">
        <v>0</v>
      </c>
      <c r="E264" t="s">
        <v>1447</v>
      </c>
      <c r="F264" t="s">
        <v>2053</v>
      </c>
      <c r="G264" t="s">
        <v>1759</v>
      </c>
      <c r="H264" t="s">
        <v>2279</v>
      </c>
      <c r="I264" t="s">
        <v>2279</v>
      </c>
      <c r="J264" t="s">
        <v>2279</v>
      </c>
      <c r="K264" t="s">
        <v>2279</v>
      </c>
      <c r="L264" t="s">
        <v>1419</v>
      </c>
      <c r="M264" t="s">
        <v>2279</v>
      </c>
      <c r="N264" t="s">
        <v>2279</v>
      </c>
      <c r="O264" s="190" t="str">
        <f>"["&amp;$C264&amp;"]["&amp;$D264&amp;"]["&amp;$F264&amp;"]"</f>
        <v>[CommissionTemplatesAllocation][0][CommissionTemplatesAllocation]</v>
      </c>
    </row>
    <row r="265" spans="1:15" x14ac:dyDescent="0.3">
      <c r="A265" t="s">
        <v>2277</v>
      </c>
      <c r="B265" t="s">
        <v>2055</v>
      </c>
      <c r="C265" t="s">
        <v>2056</v>
      </c>
      <c r="D265">
        <v>0</v>
      </c>
      <c r="E265" t="s">
        <v>1447</v>
      </c>
      <c r="F265" t="s">
        <v>2056</v>
      </c>
      <c r="G265" t="s">
        <v>1759</v>
      </c>
      <c r="H265" t="s">
        <v>2279</v>
      </c>
      <c r="I265" t="s">
        <v>2279</v>
      </c>
      <c r="J265" t="s">
        <v>2279</v>
      </c>
      <c r="K265" t="s">
        <v>2279</v>
      </c>
      <c r="L265" t="s">
        <v>1447</v>
      </c>
      <c r="M265" t="s">
        <v>2279</v>
      </c>
      <c r="N265" t="s">
        <v>2279</v>
      </c>
      <c r="O265" s="190" t="str">
        <f>"["&amp;$C265&amp;"]["&amp;$D265&amp;"]["&amp;$F265&amp;"]"</f>
        <v>[FeesAllocation][0][FeesAllocation]</v>
      </c>
    </row>
    <row r="266" spans="1:15" x14ac:dyDescent="0.3">
      <c r="A266" t="s">
        <v>2277</v>
      </c>
      <c r="B266" t="s">
        <v>2060</v>
      </c>
      <c r="C266" t="s">
        <v>2061</v>
      </c>
      <c r="D266">
        <v>0</v>
      </c>
      <c r="E266" t="s">
        <v>1447</v>
      </c>
      <c r="F266" t="s">
        <v>2061</v>
      </c>
      <c r="G266" t="s">
        <v>1759</v>
      </c>
      <c r="H266" t="s">
        <v>2279</v>
      </c>
      <c r="I266" t="s">
        <v>2279</v>
      </c>
      <c r="J266" t="s">
        <v>2279</v>
      </c>
      <c r="K266" t="s">
        <v>2279</v>
      </c>
      <c r="L266" t="s">
        <v>1447</v>
      </c>
      <c r="M266" t="s">
        <v>2279</v>
      </c>
      <c r="N266" t="s">
        <v>2279</v>
      </c>
      <c r="O266" s="190" t="str">
        <f>"["&amp;$C266&amp;"]["&amp;$D266&amp;"]["&amp;$F266&amp;"]"</f>
        <v>[ITforAllocationData][0][ITforAllocationData]</v>
      </c>
    </row>
    <row r="267" spans="1:15" x14ac:dyDescent="0.3">
      <c r="A267" t="s">
        <v>2277</v>
      </c>
      <c r="B267" t="s">
        <v>2062</v>
      </c>
      <c r="C267" t="s">
        <v>2063</v>
      </c>
      <c r="D267">
        <v>1</v>
      </c>
      <c r="E267" t="s">
        <v>1447</v>
      </c>
      <c r="F267" t="s">
        <v>1798</v>
      </c>
      <c r="G267" t="s">
        <v>1748</v>
      </c>
      <c r="H267" t="s">
        <v>2279</v>
      </c>
      <c r="I267">
        <v>0</v>
      </c>
      <c r="J267" t="s">
        <v>2279</v>
      </c>
      <c r="K267" t="s">
        <v>2279</v>
      </c>
      <c r="L267" t="s">
        <v>2279</v>
      </c>
      <c r="M267" t="s">
        <v>2279</v>
      </c>
      <c r="N267" t="s">
        <v>2279</v>
      </c>
      <c r="O267" s="190" t="str">
        <f>"["&amp;$C267&amp;"]["&amp;$D267&amp;"]["&amp;$F267&amp;"]"</f>
        <v>[S08_RenunciationSuspensionAllowances][1][NumberOfInstallations]</v>
      </c>
    </row>
    <row r="268" spans="1:15" x14ac:dyDescent="0.3">
      <c r="A268" t="s">
        <v>2277</v>
      </c>
      <c r="B268" t="s">
        <v>2062</v>
      </c>
      <c r="C268" t="s">
        <v>2063</v>
      </c>
      <c r="D268">
        <v>2</v>
      </c>
      <c r="E268" t="s">
        <v>1447</v>
      </c>
      <c r="F268" t="s">
        <v>1798</v>
      </c>
      <c r="G268" t="s">
        <v>1748</v>
      </c>
      <c r="H268" t="s">
        <v>2279</v>
      </c>
      <c r="I268">
        <v>24</v>
      </c>
      <c r="J268" t="s">
        <v>2279</v>
      </c>
      <c r="K268" t="s">
        <v>2279</v>
      </c>
      <c r="L268" t="s">
        <v>2279</v>
      </c>
      <c r="M268" t="s">
        <v>2279</v>
      </c>
      <c r="N268" t="s">
        <v>2279</v>
      </c>
      <c r="O268" s="190" t="str">
        <f>"["&amp;$C268&amp;"]["&amp;$D268&amp;"]["&amp;$F268&amp;"]"</f>
        <v>[S08_RenunciationSuspensionAllowances][2][NumberOfInstallations]</v>
      </c>
    </row>
    <row r="269" spans="1:15" x14ac:dyDescent="0.3">
      <c r="A269" t="s">
        <v>2277</v>
      </c>
      <c r="B269" t="s">
        <v>2062</v>
      </c>
      <c r="C269" t="s">
        <v>2063</v>
      </c>
      <c r="D269">
        <v>3</v>
      </c>
      <c r="E269" t="s">
        <v>1447</v>
      </c>
      <c r="F269" t="s">
        <v>1798</v>
      </c>
      <c r="G269" t="s">
        <v>1748</v>
      </c>
      <c r="H269" t="s">
        <v>2279</v>
      </c>
      <c r="I269">
        <v>0</v>
      </c>
      <c r="J269" t="s">
        <v>2279</v>
      </c>
      <c r="K269" t="s">
        <v>2279</v>
      </c>
      <c r="L269" t="s">
        <v>2279</v>
      </c>
      <c r="M269" t="s">
        <v>2279</v>
      </c>
      <c r="N269" t="s">
        <v>2279</v>
      </c>
      <c r="O269" s="190" t="str">
        <f>"["&amp;$C269&amp;"]["&amp;$D269&amp;"]["&amp;$F269&amp;"]"</f>
        <v>[S08_RenunciationSuspensionAllowances][3][NumberOfInstallations]</v>
      </c>
    </row>
    <row r="270" spans="1:15" x14ac:dyDescent="0.3">
      <c r="A270" t="s">
        <v>2277</v>
      </c>
      <c r="B270" t="s">
        <v>2064</v>
      </c>
      <c r="C270" t="s">
        <v>2065</v>
      </c>
      <c r="D270">
        <v>0</v>
      </c>
      <c r="E270" t="s">
        <v>1447</v>
      </c>
      <c r="F270" t="s">
        <v>2065</v>
      </c>
      <c r="G270" t="s">
        <v>1759</v>
      </c>
      <c r="H270" t="s">
        <v>2279</v>
      </c>
      <c r="I270" t="s">
        <v>2279</v>
      </c>
      <c r="J270" t="s">
        <v>2279</v>
      </c>
      <c r="K270" t="s">
        <v>2279</v>
      </c>
      <c r="L270" t="s">
        <v>1447</v>
      </c>
      <c r="M270" t="s">
        <v>2279</v>
      </c>
      <c r="N270" t="s">
        <v>2279</v>
      </c>
      <c r="O270" s="190" t="str">
        <f>"["&amp;$C270&amp;"]["&amp;$D270&amp;"]["&amp;$F270&amp;"]"</f>
        <v>[SubInstallationBenchmark61][0][SubInstallationBenchmark61]</v>
      </c>
    </row>
    <row r="271" spans="1:15" x14ac:dyDescent="0.3">
      <c r="A271" t="s">
        <v>2277</v>
      </c>
      <c r="B271" t="s">
        <v>2064</v>
      </c>
      <c r="C271" t="s">
        <v>2069</v>
      </c>
      <c r="D271">
        <v>0</v>
      </c>
      <c r="E271" t="s">
        <v>1447</v>
      </c>
      <c r="F271" t="s">
        <v>2069</v>
      </c>
      <c r="G271" t="s">
        <v>1759</v>
      </c>
      <c r="H271" t="s">
        <v>2279</v>
      </c>
      <c r="I271" t="s">
        <v>2279</v>
      </c>
      <c r="J271" t="s">
        <v>2279</v>
      </c>
      <c r="K271" t="s">
        <v>2279</v>
      </c>
      <c r="L271" t="s">
        <v>1447</v>
      </c>
      <c r="M271" t="s">
        <v>2279</v>
      </c>
      <c r="N271" t="s">
        <v>2279</v>
      </c>
      <c r="O271" s="190" t="str">
        <f>"["&amp;$C271&amp;"]["&amp;$D271&amp;"]["&amp;$F271&amp;"]"</f>
        <v>[SubInstallationBenchmark61Reject][0][SubInstallationBenchmark61Reject]</v>
      </c>
    </row>
    <row r="272" spans="1:15" x14ac:dyDescent="0.3">
      <c r="A272" t="s">
        <v>2277</v>
      </c>
      <c r="B272" t="s">
        <v>2064</v>
      </c>
      <c r="C272" t="s">
        <v>2071</v>
      </c>
      <c r="D272">
        <v>0</v>
      </c>
      <c r="E272" t="s">
        <v>1447</v>
      </c>
      <c r="F272" t="s">
        <v>2071</v>
      </c>
      <c r="G272" t="s">
        <v>1759</v>
      </c>
      <c r="H272" t="s">
        <v>2279</v>
      </c>
      <c r="I272" t="s">
        <v>2279</v>
      </c>
      <c r="J272" t="s">
        <v>2279</v>
      </c>
      <c r="K272" t="s">
        <v>2279</v>
      </c>
      <c r="L272" t="s">
        <v>1447</v>
      </c>
      <c r="M272" t="s">
        <v>2279</v>
      </c>
      <c r="N272" t="s">
        <v>2279</v>
      </c>
      <c r="O272" s="190" t="str">
        <f>"["&amp;$C272&amp;"]["&amp;$D272&amp;"]["&amp;$F272&amp;"]"</f>
        <v>[SubInstallationBenchmark62][0][SubInstallationBenchmark62]</v>
      </c>
    </row>
    <row r="273" spans="1:15" x14ac:dyDescent="0.3">
      <c r="A273" t="s">
        <v>2277</v>
      </c>
      <c r="B273" t="s">
        <v>2076</v>
      </c>
      <c r="C273" t="s">
        <v>2077</v>
      </c>
      <c r="D273">
        <v>0</v>
      </c>
      <c r="E273" t="s">
        <v>1447</v>
      </c>
      <c r="F273" t="s">
        <v>2077</v>
      </c>
      <c r="G273" t="s">
        <v>1759</v>
      </c>
      <c r="H273" t="s">
        <v>2279</v>
      </c>
      <c r="I273" t="s">
        <v>2279</v>
      </c>
      <c r="J273" t="s">
        <v>2279</v>
      </c>
      <c r="K273" t="s">
        <v>2279</v>
      </c>
      <c r="L273" t="s">
        <v>1447</v>
      </c>
      <c r="M273" t="s">
        <v>2279</v>
      </c>
      <c r="N273" t="s">
        <v>2279</v>
      </c>
      <c r="O273" s="190" t="str">
        <f>"["&amp;$C273&amp;"]["&amp;$D273&amp;"]["&amp;$F273&amp;"]"</f>
        <v>[Article10cApplied][0][Article10cApplied]</v>
      </c>
    </row>
    <row r="274" spans="1:15" x14ac:dyDescent="0.3">
      <c r="A274" t="s">
        <v>2277</v>
      </c>
      <c r="B274" t="s">
        <v>2082</v>
      </c>
      <c r="C274" t="s">
        <v>2083</v>
      </c>
      <c r="D274">
        <v>0</v>
      </c>
      <c r="E274" t="s">
        <v>1447</v>
      </c>
      <c r="F274" t="s">
        <v>2083</v>
      </c>
      <c r="G274" t="s">
        <v>1759</v>
      </c>
      <c r="H274" t="s">
        <v>2279</v>
      </c>
      <c r="I274" t="s">
        <v>2279</v>
      </c>
      <c r="J274" t="s">
        <v>2279</v>
      </c>
      <c r="K274" t="s">
        <v>2279</v>
      </c>
      <c r="L274" t="s">
        <v>1447</v>
      </c>
      <c r="M274" t="s">
        <v>2279</v>
      </c>
      <c r="N274" t="s">
        <v>2279</v>
      </c>
      <c r="O274" s="190" t="str">
        <f>"["&amp;$C274&amp;"]["&amp;$D274&amp;"]["&amp;$F274&amp;"]"</f>
        <v>[BaselineDataIssues][0][BaselineDataIssues]</v>
      </c>
    </row>
    <row r="275" spans="1:15" x14ac:dyDescent="0.3">
      <c r="A275" t="s">
        <v>2277</v>
      </c>
      <c r="B275" t="s">
        <v>2086</v>
      </c>
      <c r="C275" t="s">
        <v>2087</v>
      </c>
      <c r="D275">
        <v>0</v>
      </c>
      <c r="E275" t="s">
        <v>1447</v>
      </c>
      <c r="F275" t="s">
        <v>2087</v>
      </c>
      <c r="G275" t="s">
        <v>1759</v>
      </c>
      <c r="H275" t="s">
        <v>2279</v>
      </c>
      <c r="I275" t="s">
        <v>2279</v>
      </c>
      <c r="J275" t="s">
        <v>2279</v>
      </c>
      <c r="K275" t="s">
        <v>2279</v>
      </c>
      <c r="L275" t="s">
        <v>1447</v>
      </c>
      <c r="M275" t="s">
        <v>2279</v>
      </c>
      <c r="N275" t="s">
        <v>2279</v>
      </c>
      <c r="O275" s="190" t="str">
        <f>"["&amp;$C275&amp;"]["&amp;$D275&amp;"]["&amp;$F275&amp;"]"</f>
        <v>[AdditionalParametersRequired][0][AdditionalParametersRequired]</v>
      </c>
    </row>
    <row r="276" spans="1:15" x14ac:dyDescent="0.3">
      <c r="A276" t="s">
        <v>2277</v>
      </c>
      <c r="B276" t="s">
        <v>2089</v>
      </c>
      <c r="C276" t="s">
        <v>2090</v>
      </c>
      <c r="D276">
        <v>0</v>
      </c>
      <c r="E276" t="s">
        <v>1447</v>
      </c>
      <c r="F276" t="s">
        <v>2090</v>
      </c>
      <c r="G276" t="s">
        <v>1759</v>
      </c>
      <c r="H276" t="s">
        <v>2279</v>
      </c>
      <c r="I276" t="s">
        <v>2279</v>
      </c>
      <c r="J276" t="s">
        <v>2279</v>
      </c>
      <c r="K276" t="s">
        <v>2279</v>
      </c>
      <c r="L276" t="s">
        <v>1419</v>
      </c>
      <c r="M276" t="s">
        <v>2279</v>
      </c>
      <c r="N276" t="s">
        <v>2279</v>
      </c>
      <c r="O276" s="190" t="str">
        <f>"["&amp;$C276&amp;"]["&amp;$D276&amp;"]["&amp;$F276&amp;"]"</f>
        <v>[PreliminaryActivityRequired][0][PreliminaryActivityRequired]</v>
      </c>
    </row>
    <row r="277" spans="1:15" x14ac:dyDescent="0.3">
      <c r="A277" t="s">
        <v>2277</v>
      </c>
      <c r="B277" t="s">
        <v>2092</v>
      </c>
      <c r="C277" t="s">
        <v>2095</v>
      </c>
      <c r="D277">
        <v>0</v>
      </c>
      <c r="E277" t="s">
        <v>1447</v>
      </c>
      <c r="F277" t="s">
        <v>2095</v>
      </c>
      <c r="G277" t="s">
        <v>1759</v>
      </c>
      <c r="H277" t="s">
        <v>2279</v>
      </c>
      <c r="I277" t="s">
        <v>2279</v>
      </c>
      <c r="J277" t="s">
        <v>2279</v>
      </c>
      <c r="K277" t="s">
        <v>2279</v>
      </c>
      <c r="L277" t="s">
        <v>1447</v>
      </c>
      <c r="M277" t="s">
        <v>2279</v>
      </c>
      <c r="N277" t="s">
        <v>2279</v>
      </c>
      <c r="O277" s="190" t="str">
        <f>"["&amp;$C277&amp;"]["&amp;$D277&amp;"]["&amp;$F277&amp;"]"</f>
        <v>[ActivityDataIssues][0][ActivityDataIssues]</v>
      </c>
    </row>
    <row r="278" spans="1:15" x14ac:dyDescent="0.3">
      <c r="A278" t="s">
        <v>2277</v>
      </c>
      <c r="B278" t="s">
        <v>2098</v>
      </c>
      <c r="C278" t="s">
        <v>2099</v>
      </c>
      <c r="D278">
        <v>0</v>
      </c>
      <c r="E278" t="s">
        <v>1447</v>
      </c>
      <c r="F278" t="s">
        <v>2099</v>
      </c>
      <c r="G278" t="s">
        <v>1759</v>
      </c>
      <c r="H278" t="s">
        <v>2279</v>
      </c>
      <c r="I278" t="s">
        <v>2279</v>
      </c>
      <c r="J278" t="s">
        <v>2279</v>
      </c>
      <c r="K278" t="s">
        <v>2279</v>
      </c>
      <c r="L278" t="s">
        <v>1447</v>
      </c>
      <c r="M278" t="s">
        <v>2279</v>
      </c>
      <c r="N278" t="s">
        <v>2279</v>
      </c>
      <c r="O278" s="190" t="str">
        <f>"["&amp;$C278&amp;"]["&amp;$D278&amp;"]["&amp;$F278&amp;"]"</f>
        <v>[ActivityReportRejected][0][ActivityReportRejected]</v>
      </c>
    </row>
    <row r="279" spans="1:15" x14ac:dyDescent="0.3">
      <c r="A279" t="s">
        <v>2277</v>
      </c>
      <c r="B279" t="s">
        <v>2103</v>
      </c>
      <c r="C279" t="s">
        <v>2104</v>
      </c>
      <c r="D279">
        <v>0</v>
      </c>
      <c r="E279" t="s">
        <v>1447</v>
      </c>
      <c r="F279" t="s">
        <v>2104</v>
      </c>
      <c r="G279" t="s">
        <v>1759</v>
      </c>
      <c r="H279" t="s">
        <v>2279</v>
      </c>
      <c r="I279" t="s">
        <v>2279</v>
      </c>
      <c r="J279" t="s">
        <v>2279</v>
      </c>
      <c r="K279" t="s">
        <v>2279</v>
      </c>
      <c r="L279" t="s">
        <v>1447</v>
      </c>
      <c r="M279" t="s">
        <v>2279</v>
      </c>
      <c r="N279" t="s">
        <v>2279</v>
      </c>
      <c r="O279" s="190" t="str">
        <f>"["&amp;$C279&amp;"]["&amp;$D279&amp;"]["&amp;$F279&amp;"]"</f>
        <v>[ActivityLevelVisitsWaived][0][ActivityLevelVisitsWaived]</v>
      </c>
    </row>
    <row r="280" spans="1:15" x14ac:dyDescent="0.3">
      <c r="A280" t="s">
        <v>2277</v>
      </c>
      <c r="B280" t="s">
        <v>2106</v>
      </c>
      <c r="C280" t="s">
        <v>2107</v>
      </c>
      <c r="D280">
        <v>0</v>
      </c>
      <c r="E280" t="s">
        <v>1447</v>
      </c>
      <c r="F280" t="s">
        <v>2107</v>
      </c>
      <c r="G280" t="s">
        <v>1759</v>
      </c>
      <c r="H280" t="s">
        <v>2279</v>
      </c>
      <c r="I280" t="s">
        <v>2279</v>
      </c>
      <c r="J280" t="s">
        <v>2279</v>
      </c>
      <c r="K280" t="s">
        <v>2279</v>
      </c>
      <c r="L280" t="s">
        <v>1447</v>
      </c>
      <c r="M280" t="s">
        <v>2279</v>
      </c>
      <c r="N280" t="s">
        <v>2279</v>
      </c>
      <c r="O280" s="190" t="str">
        <f>"["&amp;$C280&amp;"]["&amp;$D280&amp;"]["&amp;$F280&amp;"]"</f>
        <v>[VirtualVisitsActivityLevel][0][VirtualVisitsActivityLevel]</v>
      </c>
    </row>
    <row r="281" spans="1:15" x14ac:dyDescent="0.3">
      <c r="A281" t="s">
        <v>2277</v>
      </c>
      <c r="B281" t="s">
        <v>2109</v>
      </c>
      <c r="C281" t="s">
        <v>2110</v>
      </c>
      <c r="D281">
        <v>1</v>
      </c>
      <c r="E281" t="s">
        <v>1447</v>
      </c>
      <c r="F281" t="s">
        <v>2111</v>
      </c>
      <c r="G281" t="s">
        <v>1806</v>
      </c>
      <c r="H281" t="s">
        <v>2279</v>
      </c>
      <c r="I281" t="s">
        <v>2279</v>
      </c>
      <c r="J281">
        <v>70</v>
      </c>
      <c r="K281" t="s">
        <v>2279</v>
      </c>
      <c r="L281" t="s">
        <v>2279</v>
      </c>
      <c r="M281" t="s">
        <v>2279</v>
      </c>
      <c r="N281" t="s">
        <v>2279</v>
      </c>
      <c r="O281" s="190" t="str">
        <f>"["&amp;$C281&amp;"]["&amp;$D281&amp;"]["&amp;$F281&amp;"]"</f>
        <v>[S08_PenaltiesAllocation][1][MinFine]</v>
      </c>
    </row>
    <row r="282" spans="1:15" x14ac:dyDescent="0.3">
      <c r="A282" t="s">
        <v>2277</v>
      </c>
      <c r="B282" t="s">
        <v>2109</v>
      </c>
      <c r="C282" t="s">
        <v>2110</v>
      </c>
      <c r="D282">
        <v>2</v>
      </c>
      <c r="E282" t="s">
        <v>1447</v>
      </c>
      <c r="F282" t="s">
        <v>2111</v>
      </c>
      <c r="G282" t="s">
        <v>1806</v>
      </c>
      <c r="H282" t="s">
        <v>2279</v>
      </c>
      <c r="I282" t="s">
        <v>2279</v>
      </c>
      <c r="J282">
        <v>70</v>
      </c>
      <c r="K282" t="s">
        <v>2279</v>
      </c>
      <c r="L282" t="s">
        <v>2279</v>
      </c>
      <c r="M282" t="s">
        <v>2279</v>
      </c>
      <c r="N282" t="s">
        <v>2279</v>
      </c>
      <c r="O282" s="190" t="str">
        <f>"["&amp;$C282&amp;"]["&amp;$D282&amp;"]["&amp;$F282&amp;"]"</f>
        <v>[S08_PenaltiesAllocation][2][MinFine]</v>
      </c>
    </row>
    <row r="283" spans="1:15" x14ac:dyDescent="0.3">
      <c r="A283" t="s">
        <v>2277</v>
      </c>
      <c r="B283" t="s">
        <v>2109</v>
      </c>
      <c r="C283" t="s">
        <v>2110</v>
      </c>
      <c r="D283">
        <v>3</v>
      </c>
      <c r="E283" t="s">
        <v>1447</v>
      </c>
      <c r="F283" t="s">
        <v>2111</v>
      </c>
      <c r="G283" t="s">
        <v>1806</v>
      </c>
      <c r="H283" t="s">
        <v>2279</v>
      </c>
      <c r="I283" t="s">
        <v>2279</v>
      </c>
      <c r="J283">
        <v>70</v>
      </c>
      <c r="K283" t="s">
        <v>2279</v>
      </c>
      <c r="L283" t="s">
        <v>2279</v>
      </c>
      <c r="M283" t="s">
        <v>2279</v>
      </c>
      <c r="N283" t="s">
        <v>2279</v>
      </c>
      <c r="O283" s="190" t="str">
        <f>"["&amp;$C283&amp;"]["&amp;$D283&amp;"]["&amp;$F283&amp;"]"</f>
        <v>[S08_PenaltiesAllocation][3][MinFine]</v>
      </c>
    </row>
    <row r="284" spans="1:15" x14ac:dyDescent="0.3">
      <c r="A284" t="s">
        <v>2277</v>
      </c>
      <c r="B284" t="s">
        <v>2109</v>
      </c>
      <c r="C284" t="s">
        <v>2110</v>
      </c>
      <c r="D284">
        <v>4</v>
      </c>
      <c r="E284" t="s">
        <v>1447</v>
      </c>
      <c r="F284" t="s">
        <v>2111</v>
      </c>
      <c r="G284" t="s">
        <v>1806</v>
      </c>
      <c r="H284" t="s">
        <v>2279</v>
      </c>
      <c r="I284" t="s">
        <v>2279</v>
      </c>
      <c r="J284">
        <v>70</v>
      </c>
      <c r="K284" t="s">
        <v>2279</v>
      </c>
      <c r="L284" t="s">
        <v>2279</v>
      </c>
      <c r="M284" t="s">
        <v>2279</v>
      </c>
      <c r="N284" t="s">
        <v>2279</v>
      </c>
      <c r="O284" s="190" t="str">
        <f>"["&amp;$C284&amp;"]["&amp;$D284&amp;"]["&amp;$F284&amp;"]"</f>
        <v>[S08_PenaltiesAllocation][4][MinFine]</v>
      </c>
    </row>
    <row r="285" spans="1:15" x14ac:dyDescent="0.3">
      <c r="A285" t="s">
        <v>2277</v>
      </c>
      <c r="B285" t="s">
        <v>2109</v>
      </c>
      <c r="C285" t="s">
        <v>2110</v>
      </c>
      <c r="D285">
        <v>5</v>
      </c>
      <c r="E285" t="s">
        <v>1419</v>
      </c>
      <c r="F285" t="s">
        <v>2111</v>
      </c>
      <c r="G285" t="s">
        <v>1806</v>
      </c>
      <c r="H285" t="s">
        <v>2279</v>
      </c>
      <c r="I285" t="s">
        <v>2279</v>
      </c>
      <c r="J285">
        <v>140</v>
      </c>
      <c r="K285" t="s">
        <v>2279</v>
      </c>
      <c r="L285" t="s">
        <v>2279</v>
      </c>
      <c r="M285" t="s">
        <v>2279</v>
      </c>
      <c r="N285" t="s">
        <v>2279</v>
      </c>
      <c r="O285" s="190" t="str">
        <f>"["&amp;$C285&amp;"]["&amp;$D285&amp;"]["&amp;$F285&amp;"]"</f>
        <v>[S08_PenaltiesAllocation][5][MinFine]</v>
      </c>
    </row>
    <row r="286" spans="1:15" x14ac:dyDescent="0.3">
      <c r="A286" t="s">
        <v>2277</v>
      </c>
      <c r="B286" t="s">
        <v>2109</v>
      </c>
      <c r="C286" t="s">
        <v>2110</v>
      </c>
      <c r="D286">
        <v>1</v>
      </c>
      <c r="E286" t="s">
        <v>1447</v>
      </c>
      <c r="F286" t="s">
        <v>2112</v>
      </c>
      <c r="G286" t="s">
        <v>1806</v>
      </c>
      <c r="H286" t="s">
        <v>2279</v>
      </c>
      <c r="I286" t="s">
        <v>2279</v>
      </c>
      <c r="J286">
        <v>1400</v>
      </c>
      <c r="K286" t="s">
        <v>2279</v>
      </c>
      <c r="L286" t="s">
        <v>2279</v>
      </c>
      <c r="M286" t="s">
        <v>2279</v>
      </c>
      <c r="N286" t="s">
        <v>2279</v>
      </c>
      <c r="O286" s="190" t="str">
        <f>"["&amp;$C286&amp;"]["&amp;$D286&amp;"]["&amp;$F286&amp;"]"</f>
        <v>[S08_PenaltiesAllocation][1][MaxFine]</v>
      </c>
    </row>
    <row r="287" spans="1:15" x14ac:dyDescent="0.3">
      <c r="A287" t="s">
        <v>2277</v>
      </c>
      <c r="B287" t="s">
        <v>2109</v>
      </c>
      <c r="C287" t="s">
        <v>2110</v>
      </c>
      <c r="D287">
        <v>2</v>
      </c>
      <c r="E287" t="s">
        <v>1447</v>
      </c>
      <c r="F287" t="s">
        <v>2112</v>
      </c>
      <c r="G287" t="s">
        <v>1806</v>
      </c>
      <c r="H287" t="s">
        <v>2279</v>
      </c>
      <c r="I287" t="s">
        <v>2279</v>
      </c>
      <c r="J287">
        <v>1400</v>
      </c>
      <c r="K287" t="s">
        <v>2279</v>
      </c>
      <c r="L287" t="s">
        <v>2279</v>
      </c>
      <c r="M287" t="s">
        <v>2279</v>
      </c>
      <c r="N287" t="s">
        <v>2279</v>
      </c>
      <c r="O287" s="190" t="str">
        <f>"["&amp;$C287&amp;"]["&amp;$D287&amp;"]["&amp;$F287&amp;"]"</f>
        <v>[S08_PenaltiesAllocation][2][MaxFine]</v>
      </c>
    </row>
    <row r="288" spans="1:15" x14ac:dyDescent="0.3">
      <c r="A288" t="s">
        <v>2277</v>
      </c>
      <c r="B288" t="s">
        <v>2109</v>
      </c>
      <c r="C288" t="s">
        <v>2110</v>
      </c>
      <c r="D288">
        <v>3</v>
      </c>
      <c r="E288" t="s">
        <v>1447</v>
      </c>
      <c r="F288" t="s">
        <v>2112</v>
      </c>
      <c r="G288" t="s">
        <v>1806</v>
      </c>
      <c r="H288" t="s">
        <v>2279</v>
      </c>
      <c r="I288" t="s">
        <v>2279</v>
      </c>
      <c r="J288">
        <v>1400</v>
      </c>
      <c r="K288" t="s">
        <v>2279</v>
      </c>
      <c r="L288" t="s">
        <v>2279</v>
      </c>
      <c r="M288" t="s">
        <v>2279</v>
      </c>
      <c r="N288" t="s">
        <v>2279</v>
      </c>
      <c r="O288" s="190" t="str">
        <f>"["&amp;$C288&amp;"]["&amp;$D288&amp;"]["&amp;$F288&amp;"]"</f>
        <v>[S08_PenaltiesAllocation][3][MaxFine]</v>
      </c>
    </row>
    <row r="289" spans="1:15" x14ac:dyDescent="0.3">
      <c r="A289" t="s">
        <v>2277</v>
      </c>
      <c r="B289" t="s">
        <v>2109</v>
      </c>
      <c r="C289" t="s">
        <v>2110</v>
      </c>
      <c r="D289">
        <v>4</v>
      </c>
      <c r="E289" t="s">
        <v>1447</v>
      </c>
      <c r="F289" t="s">
        <v>2112</v>
      </c>
      <c r="G289" t="s">
        <v>1806</v>
      </c>
      <c r="H289" t="s">
        <v>2279</v>
      </c>
      <c r="I289" t="s">
        <v>2279</v>
      </c>
      <c r="J289">
        <v>1400</v>
      </c>
      <c r="K289" t="s">
        <v>2279</v>
      </c>
      <c r="L289" t="s">
        <v>2279</v>
      </c>
      <c r="M289" t="s">
        <v>2279</v>
      </c>
      <c r="N289" t="s">
        <v>2279</v>
      </c>
      <c r="O289" s="190" t="str">
        <f>"["&amp;$C289&amp;"]["&amp;$D289&amp;"]["&amp;$F289&amp;"]"</f>
        <v>[S08_PenaltiesAllocation][4][MaxFine]</v>
      </c>
    </row>
    <row r="290" spans="1:15" x14ac:dyDescent="0.3">
      <c r="A290" t="s">
        <v>2277</v>
      </c>
      <c r="B290" t="s">
        <v>2109</v>
      </c>
      <c r="C290" t="s">
        <v>2110</v>
      </c>
      <c r="D290">
        <v>5</v>
      </c>
      <c r="E290" t="s">
        <v>1419</v>
      </c>
      <c r="F290" t="s">
        <v>2112</v>
      </c>
      <c r="G290" t="s">
        <v>1806</v>
      </c>
      <c r="H290" t="s">
        <v>2279</v>
      </c>
      <c r="I290" t="s">
        <v>2279</v>
      </c>
      <c r="J290">
        <v>2900</v>
      </c>
      <c r="K290" t="s">
        <v>2279</v>
      </c>
      <c r="L290" t="s">
        <v>2279</v>
      </c>
      <c r="M290" t="s">
        <v>2279</v>
      </c>
      <c r="N290" t="s">
        <v>2279</v>
      </c>
      <c r="O290" s="190" t="str">
        <f>"["&amp;$C290&amp;"]["&amp;$D290&amp;"]["&amp;$F290&amp;"]"</f>
        <v>[S08_PenaltiesAllocation][5][MaxFine]</v>
      </c>
    </row>
    <row r="291" spans="1:15" x14ac:dyDescent="0.3">
      <c r="A291" t="s">
        <v>2277</v>
      </c>
      <c r="B291" t="s">
        <v>2109</v>
      </c>
      <c r="C291" t="s">
        <v>2110</v>
      </c>
      <c r="D291">
        <v>1</v>
      </c>
      <c r="E291" t="s">
        <v>1447</v>
      </c>
      <c r="F291" t="s">
        <v>2113</v>
      </c>
      <c r="G291" t="s">
        <v>1806</v>
      </c>
      <c r="H291" t="s">
        <v>2279</v>
      </c>
      <c r="I291" t="s">
        <v>2279</v>
      </c>
      <c r="J291">
        <v>0</v>
      </c>
      <c r="K291" t="s">
        <v>2279</v>
      </c>
      <c r="L291" t="s">
        <v>2279</v>
      </c>
      <c r="M291" t="s">
        <v>2279</v>
      </c>
      <c r="N291" t="s">
        <v>2279</v>
      </c>
      <c r="O291" s="190" t="str">
        <f>"["&amp;$C291&amp;"]["&amp;$D291&amp;"]["&amp;$F291&amp;"]"</f>
        <v>[S08_PenaltiesAllocation][1][PrisonMin]</v>
      </c>
    </row>
    <row r="292" spans="1:15" x14ac:dyDescent="0.3">
      <c r="A292" t="s">
        <v>2277</v>
      </c>
      <c r="B292" t="s">
        <v>2109</v>
      </c>
      <c r="C292" t="s">
        <v>2110</v>
      </c>
      <c r="D292">
        <v>2</v>
      </c>
      <c r="E292" t="s">
        <v>1447</v>
      </c>
      <c r="F292" t="s">
        <v>2113</v>
      </c>
      <c r="G292" t="s">
        <v>1806</v>
      </c>
      <c r="H292" t="s">
        <v>2279</v>
      </c>
      <c r="I292" t="s">
        <v>2279</v>
      </c>
      <c r="J292">
        <v>0</v>
      </c>
      <c r="K292" t="s">
        <v>2279</v>
      </c>
      <c r="L292" t="s">
        <v>2279</v>
      </c>
      <c r="M292" t="s">
        <v>2279</v>
      </c>
      <c r="N292" t="s">
        <v>2279</v>
      </c>
      <c r="O292" s="190" t="str">
        <f>"["&amp;$C292&amp;"]["&amp;$D292&amp;"]["&amp;$F292&amp;"]"</f>
        <v>[S08_PenaltiesAllocation][2][PrisonMin]</v>
      </c>
    </row>
    <row r="293" spans="1:15" x14ac:dyDescent="0.3">
      <c r="A293" t="s">
        <v>2277</v>
      </c>
      <c r="B293" t="s">
        <v>2109</v>
      </c>
      <c r="C293" t="s">
        <v>2110</v>
      </c>
      <c r="D293">
        <v>3</v>
      </c>
      <c r="E293" t="s">
        <v>1447</v>
      </c>
      <c r="F293" t="s">
        <v>2113</v>
      </c>
      <c r="G293" t="s">
        <v>1806</v>
      </c>
      <c r="H293" t="s">
        <v>2279</v>
      </c>
      <c r="I293" t="s">
        <v>2279</v>
      </c>
      <c r="J293">
        <v>0</v>
      </c>
      <c r="K293" t="s">
        <v>2279</v>
      </c>
      <c r="L293" t="s">
        <v>2279</v>
      </c>
      <c r="M293" t="s">
        <v>2279</v>
      </c>
      <c r="N293" t="s">
        <v>2279</v>
      </c>
      <c r="O293" s="190" t="str">
        <f>"["&amp;$C293&amp;"]["&amp;$D293&amp;"]["&amp;$F293&amp;"]"</f>
        <v>[S08_PenaltiesAllocation][3][PrisonMin]</v>
      </c>
    </row>
    <row r="294" spans="1:15" x14ac:dyDescent="0.3">
      <c r="A294" t="s">
        <v>2277</v>
      </c>
      <c r="B294" t="s">
        <v>2109</v>
      </c>
      <c r="C294" t="s">
        <v>2110</v>
      </c>
      <c r="D294">
        <v>4</v>
      </c>
      <c r="E294" t="s">
        <v>1447</v>
      </c>
      <c r="F294" t="s">
        <v>2113</v>
      </c>
      <c r="G294" t="s">
        <v>1806</v>
      </c>
      <c r="H294" t="s">
        <v>2279</v>
      </c>
      <c r="I294" t="s">
        <v>2279</v>
      </c>
      <c r="J294">
        <v>0</v>
      </c>
      <c r="K294" t="s">
        <v>2279</v>
      </c>
      <c r="L294" t="s">
        <v>2279</v>
      </c>
      <c r="M294" t="s">
        <v>2279</v>
      </c>
      <c r="N294" t="s">
        <v>2279</v>
      </c>
      <c r="O294" s="190" t="str">
        <f>"["&amp;$C294&amp;"]["&amp;$D294&amp;"]["&amp;$F294&amp;"]"</f>
        <v>[S08_PenaltiesAllocation][4][PrisonMin]</v>
      </c>
    </row>
    <row r="295" spans="1:15" x14ac:dyDescent="0.3">
      <c r="A295" t="s">
        <v>2277</v>
      </c>
      <c r="B295" t="s">
        <v>2109</v>
      </c>
      <c r="C295" t="s">
        <v>2110</v>
      </c>
      <c r="D295">
        <v>5</v>
      </c>
      <c r="E295" t="s">
        <v>1419</v>
      </c>
      <c r="F295" t="s">
        <v>2113</v>
      </c>
      <c r="G295" t="s">
        <v>1806</v>
      </c>
      <c r="H295" t="s">
        <v>2279</v>
      </c>
      <c r="I295" t="s">
        <v>2279</v>
      </c>
      <c r="J295">
        <v>0</v>
      </c>
      <c r="K295" t="s">
        <v>2279</v>
      </c>
      <c r="L295" t="s">
        <v>2279</v>
      </c>
      <c r="M295" t="s">
        <v>2279</v>
      </c>
      <c r="N295" t="s">
        <v>2279</v>
      </c>
      <c r="O295" s="190" t="str">
        <f>"["&amp;$C295&amp;"]["&amp;$D295&amp;"]["&amp;$F295&amp;"]"</f>
        <v>[S08_PenaltiesAllocation][5][PrisonMin]</v>
      </c>
    </row>
    <row r="296" spans="1:15" x14ac:dyDescent="0.3">
      <c r="A296" t="s">
        <v>2277</v>
      </c>
      <c r="B296" t="s">
        <v>2109</v>
      </c>
      <c r="C296" t="s">
        <v>2110</v>
      </c>
      <c r="D296">
        <v>1</v>
      </c>
      <c r="E296" t="s">
        <v>1447</v>
      </c>
      <c r="F296" t="s">
        <v>2114</v>
      </c>
      <c r="G296" t="s">
        <v>1806</v>
      </c>
      <c r="H296" t="s">
        <v>2279</v>
      </c>
      <c r="I296" t="s">
        <v>2279</v>
      </c>
      <c r="J296">
        <v>0</v>
      </c>
      <c r="K296" t="s">
        <v>2279</v>
      </c>
      <c r="L296" t="s">
        <v>2279</v>
      </c>
      <c r="M296" t="s">
        <v>2279</v>
      </c>
      <c r="N296" t="s">
        <v>2279</v>
      </c>
      <c r="O296" s="190" t="str">
        <f>"["&amp;$C296&amp;"]["&amp;$D296&amp;"]["&amp;$F296&amp;"]"</f>
        <v>[S08_PenaltiesAllocation][1][PrisonMax]</v>
      </c>
    </row>
    <row r="297" spans="1:15" x14ac:dyDescent="0.3">
      <c r="A297" t="s">
        <v>2277</v>
      </c>
      <c r="B297" t="s">
        <v>2109</v>
      </c>
      <c r="C297" t="s">
        <v>2110</v>
      </c>
      <c r="D297">
        <v>2</v>
      </c>
      <c r="E297" t="s">
        <v>1447</v>
      </c>
      <c r="F297" t="s">
        <v>2114</v>
      </c>
      <c r="G297" t="s">
        <v>1806</v>
      </c>
      <c r="H297" t="s">
        <v>2279</v>
      </c>
      <c r="I297" t="s">
        <v>2279</v>
      </c>
      <c r="J297">
        <v>0</v>
      </c>
      <c r="K297" t="s">
        <v>2279</v>
      </c>
      <c r="L297" t="s">
        <v>2279</v>
      </c>
      <c r="M297" t="s">
        <v>2279</v>
      </c>
      <c r="N297" t="s">
        <v>2279</v>
      </c>
      <c r="O297" s="190" t="str">
        <f>"["&amp;$C297&amp;"]["&amp;$D297&amp;"]["&amp;$F297&amp;"]"</f>
        <v>[S08_PenaltiesAllocation][2][PrisonMax]</v>
      </c>
    </row>
    <row r="298" spans="1:15" x14ac:dyDescent="0.3">
      <c r="A298" t="s">
        <v>2277</v>
      </c>
      <c r="B298" t="s">
        <v>2109</v>
      </c>
      <c r="C298" t="s">
        <v>2110</v>
      </c>
      <c r="D298">
        <v>3</v>
      </c>
      <c r="E298" t="s">
        <v>1447</v>
      </c>
      <c r="F298" t="s">
        <v>2114</v>
      </c>
      <c r="G298" t="s">
        <v>1806</v>
      </c>
      <c r="H298" t="s">
        <v>2279</v>
      </c>
      <c r="I298" t="s">
        <v>2279</v>
      </c>
      <c r="J298">
        <v>0</v>
      </c>
      <c r="K298" t="s">
        <v>2279</v>
      </c>
      <c r="L298" t="s">
        <v>2279</v>
      </c>
      <c r="M298" t="s">
        <v>2279</v>
      </c>
      <c r="N298" t="s">
        <v>2279</v>
      </c>
      <c r="O298" s="190" t="str">
        <f>"["&amp;$C298&amp;"]["&amp;$D298&amp;"]["&amp;$F298&amp;"]"</f>
        <v>[S08_PenaltiesAllocation][3][PrisonMax]</v>
      </c>
    </row>
    <row r="299" spans="1:15" x14ac:dyDescent="0.3">
      <c r="A299" t="s">
        <v>2277</v>
      </c>
      <c r="B299" t="s">
        <v>2109</v>
      </c>
      <c r="C299" t="s">
        <v>2110</v>
      </c>
      <c r="D299">
        <v>4</v>
      </c>
      <c r="E299" t="s">
        <v>1447</v>
      </c>
      <c r="F299" t="s">
        <v>2114</v>
      </c>
      <c r="G299" t="s">
        <v>1806</v>
      </c>
      <c r="H299" t="s">
        <v>2279</v>
      </c>
      <c r="I299" t="s">
        <v>2279</v>
      </c>
      <c r="J299">
        <v>0</v>
      </c>
      <c r="K299" t="s">
        <v>2279</v>
      </c>
      <c r="L299" t="s">
        <v>2279</v>
      </c>
      <c r="M299" t="s">
        <v>2279</v>
      </c>
      <c r="N299" t="s">
        <v>2279</v>
      </c>
      <c r="O299" s="190" t="str">
        <f>"["&amp;$C299&amp;"]["&amp;$D299&amp;"]["&amp;$F299&amp;"]"</f>
        <v>[S08_PenaltiesAllocation][4][PrisonMax]</v>
      </c>
    </row>
    <row r="300" spans="1:15" x14ac:dyDescent="0.3">
      <c r="A300" t="s">
        <v>2277</v>
      </c>
      <c r="B300" t="s">
        <v>2109</v>
      </c>
      <c r="C300" t="s">
        <v>2110</v>
      </c>
      <c r="D300">
        <v>5</v>
      </c>
      <c r="E300" t="s">
        <v>1419</v>
      </c>
      <c r="F300" t="s">
        <v>2114</v>
      </c>
      <c r="G300" t="s">
        <v>1806</v>
      </c>
      <c r="H300" t="s">
        <v>2279</v>
      </c>
      <c r="I300" t="s">
        <v>2279</v>
      </c>
      <c r="J300">
        <v>0</v>
      </c>
      <c r="K300" t="s">
        <v>2279</v>
      </c>
      <c r="L300" t="s">
        <v>2279</v>
      </c>
      <c r="M300" t="s">
        <v>2279</v>
      </c>
      <c r="N300" t="s">
        <v>2279</v>
      </c>
      <c r="O300" s="190" t="str">
        <f>"["&amp;$C300&amp;"]["&amp;$D300&amp;"]["&amp;$F300&amp;"]"</f>
        <v>[S08_PenaltiesAllocation][5][PrisonMax]</v>
      </c>
    </row>
    <row r="301" spans="1:15" x14ac:dyDescent="0.3">
      <c r="A301" t="s">
        <v>2277</v>
      </c>
      <c r="B301" t="s">
        <v>2109</v>
      </c>
      <c r="C301" t="s">
        <v>2110</v>
      </c>
      <c r="D301">
        <v>1</v>
      </c>
      <c r="E301" t="s">
        <v>1447</v>
      </c>
      <c r="F301" t="s">
        <v>2115</v>
      </c>
      <c r="G301" t="s">
        <v>1741</v>
      </c>
      <c r="H301" t="s">
        <v>2337</v>
      </c>
      <c r="I301" t="s">
        <v>2279</v>
      </c>
      <c r="J301" t="s">
        <v>2279</v>
      </c>
      <c r="K301" t="s">
        <v>2279</v>
      </c>
      <c r="L301" t="s">
        <v>2279</v>
      </c>
      <c r="M301" t="s">
        <v>2279</v>
      </c>
      <c r="N301" t="s">
        <v>2279</v>
      </c>
      <c r="O301" s="190" t="str">
        <f>"["&amp;$C301&amp;"]["&amp;$D301&amp;"]["&amp;$F301&amp;"]"</f>
        <v>[S08_PenaltiesAllocation][1][OtherPenalty]</v>
      </c>
    </row>
    <row r="302" spans="1:15" x14ac:dyDescent="0.3">
      <c r="A302" t="s">
        <v>2277</v>
      </c>
      <c r="B302" t="s">
        <v>2109</v>
      </c>
      <c r="C302" t="s">
        <v>2110</v>
      </c>
      <c r="D302">
        <v>2</v>
      </c>
      <c r="E302" t="s">
        <v>1447</v>
      </c>
      <c r="F302" t="s">
        <v>2115</v>
      </c>
      <c r="G302" t="s">
        <v>1741</v>
      </c>
      <c r="H302" t="s">
        <v>2337</v>
      </c>
      <c r="I302" t="s">
        <v>2279</v>
      </c>
      <c r="J302" t="s">
        <v>2279</v>
      </c>
      <c r="K302" t="s">
        <v>2279</v>
      </c>
      <c r="L302" t="s">
        <v>2279</v>
      </c>
      <c r="M302" t="s">
        <v>2279</v>
      </c>
      <c r="N302" t="s">
        <v>2279</v>
      </c>
      <c r="O302" s="190" t="str">
        <f>"["&amp;$C302&amp;"]["&amp;$D302&amp;"]["&amp;$F302&amp;"]"</f>
        <v>[S08_PenaltiesAllocation][2][OtherPenalty]</v>
      </c>
    </row>
    <row r="303" spans="1:15" x14ac:dyDescent="0.3">
      <c r="A303" t="s">
        <v>2277</v>
      </c>
      <c r="B303" t="s">
        <v>2109</v>
      </c>
      <c r="C303" t="s">
        <v>2110</v>
      </c>
      <c r="D303">
        <v>3</v>
      </c>
      <c r="E303" t="s">
        <v>1447</v>
      </c>
      <c r="F303" t="s">
        <v>2115</v>
      </c>
      <c r="G303" t="s">
        <v>1741</v>
      </c>
      <c r="H303" t="s">
        <v>2337</v>
      </c>
      <c r="I303" t="s">
        <v>2279</v>
      </c>
      <c r="J303" t="s">
        <v>2279</v>
      </c>
      <c r="K303" t="s">
        <v>2279</v>
      </c>
      <c r="L303" t="s">
        <v>2279</v>
      </c>
      <c r="M303" t="s">
        <v>2279</v>
      </c>
      <c r="N303" t="s">
        <v>2279</v>
      </c>
      <c r="O303" s="190" t="str">
        <f>"["&amp;$C303&amp;"]["&amp;$D303&amp;"]["&amp;$F303&amp;"]"</f>
        <v>[S08_PenaltiesAllocation][3][OtherPenalty]</v>
      </c>
    </row>
    <row r="304" spans="1:15" x14ac:dyDescent="0.3">
      <c r="A304" t="s">
        <v>2277</v>
      </c>
      <c r="B304" t="s">
        <v>2109</v>
      </c>
      <c r="C304" t="s">
        <v>2110</v>
      </c>
      <c r="D304">
        <v>4</v>
      </c>
      <c r="E304" t="s">
        <v>1447</v>
      </c>
      <c r="F304" t="s">
        <v>2115</v>
      </c>
      <c r="G304" t="s">
        <v>1741</v>
      </c>
      <c r="H304" t="s">
        <v>2337</v>
      </c>
      <c r="I304" t="s">
        <v>2279</v>
      </c>
      <c r="J304" t="s">
        <v>2279</v>
      </c>
      <c r="K304" t="s">
        <v>2279</v>
      </c>
      <c r="L304" t="s">
        <v>2279</v>
      </c>
      <c r="M304" t="s">
        <v>2279</v>
      </c>
      <c r="N304" t="s">
        <v>2279</v>
      </c>
      <c r="O304" s="190" t="str">
        <f>"["&amp;$C304&amp;"]["&amp;$D304&amp;"]["&amp;$F304&amp;"]"</f>
        <v>[S08_PenaltiesAllocation][4][OtherPenalty]</v>
      </c>
    </row>
    <row r="305" spans="1:15" x14ac:dyDescent="0.3">
      <c r="A305" t="s">
        <v>2277</v>
      </c>
      <c r="B305" t="s">
        <v>2109</v>
      </c>
      <c r="C305" t="s">
        <v>2110</v>
      </c>
      <c r="D305">
        <v>5</v>
      </c>
      <c r="E305" t="s">
        <v>1419</v>
      </c>
      <c r="F305" t="s">
        <v>2115</v>
      </c>
      <c r="G305" t="s">
        <v>1741</v>
      </c>
      <c r="H305" t="s">
        <v>2337</v>
      </c>
      <c r="I305" t="s">
        <v>2279</v>
      </c>
      <c r="J305" t="s">
        <v>2279</v>
      </c>
      <c r="K305" t="s">
        <v>2279</v>
      </c>
      <c r="L305" t="s">
        <v>2279</v>
      </c>
      <c r="M305" t="s">
        <v>2279</v>
      </c>
      <c r="N305" t="s">
        <v>2279</v>
      </c>
      <c r="O305" s="190" t="str">
        <f>"["&amp;$C305&amp;"]["&amp;$D305&amp;"]["&amp;$F305&amp;"]"</f>
        <v>[S08_PenaltiesAllocation][5][OtherPenalty]</v>
      </c>
    </row>
    <row r="306" spans="1:15" x14ac:dyDescent="0.3">
      <c r="A306" t="s">
        <v>2277</v>
      </c>
      <c r="B306" t="s">
        <v>2117</v>
      </c>
      <c r="C306" t="s">
        <v>2125</v>
      </c>
      <c r="D306">
        <v>0</v>
      </c>
      <c r="E306" t="s">
        <v>1447</v>
      </c>
      <c r="F306" t="s">
        <v>2125</v>
      </c>
      <c r="G306" t="s">
        <v>1759</v>
      </c>
      <c r="H306" t="s">
        <v>2279</v>
      </c>
      <c r="I306" t="s">
        <v>2279</v>
      </c>
      <c r="J306" t="s">
        <v>2279</v>
      </c>
      <c r="K306" t="s">
        <v>2279</v>
      </c>
      <c r="L306" t="s">
        <v>1447</v>
      </c>
      <c r="M306" t="s">
        <v>2279</v>
      </c>
      <c r="N306" t="s">
        <v>2279</v>
      </c>
      <c r="O306" s="190" t="str">
        <f>"["&amp;$C306&amp;"]["&amp;$D306&amp;"]["&amp;$F306&amp;"]"</f>
        <v>[PriorPenaltiesEnforced][0][PriorPenaltiesEnforced]</v>
      </c>
    </row>
    <row r="307" spans="1:15" x14ac:dyDescent="0.3">
      <c r="A307" t="s">
        <v>2277</v>
      </c>
      <c r="B307" t="s">
        <v>2130</v>
      </c>
      <c r="C307" t="s">
        <v>2131</v>
      </c>
      <c r="D307">
        <v>0</v>
      </c>
      <c r="E307" t="s">
        <v>1447</v>
      </c>
      <c r="F307" t="s">
        <v>2131</v>
      </c>
      <c r="G307" t="s">
        <v>1759</v>
      </c>
      <c r="H307" t="s">
        <v>2279</v>
      </c>
      <c r="I307" t="s">
        <v>2279</v>
      </c>
      <c r="J307" t="s">
        <v>2279</v>
      </c>
      <c r="K307" t="s">
        <v>2279</v>
      </c>
      <c r="L307" t="s">
        <v>1447</v>
      </c>
      <c r="M307" t="s">
        <v>2279</v>
      </c>
      <c r="N307" t="s">
        <v>2279</v>
      </c>
      <c r="O307" s="190" t="str">
        <f>"["&amp;$C307&amp;"]["&amp;$D307&amp;"]["&amp;$F307&amp;"]"</f>
        <v>[InstallationOperatorFees][0][InstallationOperatorFees]</v>
      </c>
    </row>
    <row r="308" spans="1:15" x14ac:dyDescent="0.3">
      <c r="A308" t="s">
        <v>2277</v>
      </c>
      <c r="B308" t="s">
        <v>2136</v>
      </c>
      <c r="C308" t="s">
        <v>2137</v>
      </c>
      <c r="D308">
        <v>0</v>
      </c>
      <c r="E308" t="s">
        <v>1447</v>
      </c>
      <c r="F308" t="s">
        <v>2137</v>
      </c>
      <c r="G308" t="s">
        <v>1759</v>
      </c>
      <c r="H308" t="s">
        <v>2279</v>
      </c>
      <c r="I308" t="s">
        <v>2279</v>
      </c>
      <c r="J308" t="s">
        <v>2279</v>
      </c>
      <c r="K308" t="s">
        <v>2279</v>
      </c>
      <c r="L308" t="s">
        <v>1447</v>
      </c>
      <c r="M308" t="s">
        <v>2279</v>
      </c>
      <c r="N308" t="s">
        <v>2279</v>
      </c>
      <c r="O308" s="190" t="str">
        <f>"["&amp;$C308&amp;"]["&amp;$D308&amp;"]["&amp;$F308&amp;"]"</f>
        <v>[AircraftOperatorFees][0][AircraftOperatorFees]</v>
      </c>
    </row>
    <row r="309" spans="1:15" x14ac:dyDescent="0.3">
      <c r="A309" t="s">
        <v>2277</v>
      </c>
      <c r="B309" t="s">
        <v>2136</v>
      </c>
      <c r="C309" t="s">
        <v>2140</v>
      </c>
      <c r="D309">
        <v>1</v>
      </c>
      <c r="E309" t="s">
        <v>1447</v>
      </c>
      <c r="F309" t="s">
        <v>2141</v>
      </c>
      <c r="G309" t="s">
        <v>1741</v>
      </c>
      <c r="H309" t="s">
        <v>2338</v>
      </c>
      <c r="I309" t="s">
        <v>2279</v>
      </c>
      <c r="J309" t="s">
        <v>2279</v>
      </c>
      <c r="K309" t="s">
        <v>2279</v>
      </c>
      <c r="L309" t="s">
        <v>2279</v>
      </c>
      <c r="M309" t="s">
        <v>2279</v>
      </c>
      <c r="N309" t="s">
        <v>2279</v>
      </c>
      <c r="O309" s="190" t="str">
        <f>"["&amp;$C309&amp;"]["&amp;$D309&amp;"]["&amp;$F309&amp;"]"</f>
        <v>[S09_RegistryAccountOneOffFees][1][OneOffFeeReason]</v>
      </c>
    </row>
    <row r="310" spans="1:15" x14ac:dyDescent="0.3">
      <c r="A310" t="s">
        <v>2277</v>
      </c>
      <c r="B310" t="s">
        <v>2136</v>
      </c>
      <c r="C310" t="s">
        <v>2140</v>
      </c>
      <c r="D310">
        <v>1</v>
      </c>
      <c r="E310" t="s">
        <v>1447</v>
      </c>
      <c r="F310" t="s">
        <v>2142</v>
      </c>
      <c r="G310" t="s">
        <v>1806</v>
      </c>
      <c r="H310" t="s">
        <v>2279</v>
      </c>
      <c r="I310" t="s">
        <v>2279</v>
      </c>
      <c r="J310">
        <v>31.9</v>
      </c>
      <c r="K310" t="s">
        <v>2279</v>
      </c>
      <c r="L310" t="s">
        <v>2279</v>
      </c>
      <c r="M310" t="s">
        <v>2279</v>
      </c>
      <c r="N310" t="s">
        <v>2279</v>
      </c>
      <c r="O310" s="190" t="str">
        <f>"["&amp;$C310&amp;"]["&amp;$D310&amp;"]["&amp;$F310&amp;"]"</f>
        <v>[S09_RegistryAccountOneOffFees][1][OneOffFeeAmount]</v>
      </c>
    </row>
    <row r="311" spans="1:15" x14ac:dyDescent="0.3">
      <c r="A311" t="s">
        <v>2277</v>
      </c>
      <c r="B311" t="s">
        <v>2136</v>
      </c>
      <c r="C311" t="s">
        <v>2143</v>
      </c>
      <c r="D311">
        <v>1</v>
      </c>
      <c r="E311" t="s">
        <v>1447</v>
      </c>
      <c r="F311" t="s">
        <v>2144</v>
      </c>
      <c r="G311" t="s">
        <v>1741</v>
      </c>
      <c r="H311" t="s">
        <v>2339</v>
      </c>
      <c r="I311" t="s">
        <v>2279</v>
      </c>
      <c r="J311" t="s">
        <v>2279</v>
      </c>
      <c r="K311" t="s">
        <v>2279</v>
      </c>
      <c r="L311" t="s">
        <v>2279</v>
      </c>
      <c r="M311" t="s">
        <v>2279</v>
      </c>
      <c r="N311" t="s">
        <v>2279</v>
      </c>
      <c r="O311" s="190" t="str">
        <f>"["&amp;$C311&amp;"]["&amp;$D311&amp;"]["&amp;$F311&amp;"]"</f>
        <v>[S09_RegistryAccountAnnualFees][1][AnnualFeeReason]</v>
      </c>
    </row>
    <row r="312" spans="1:15" x14ac:dyDescent="0.3">
      <c r="A312" t="s">
        <v>2277</v>
      </c>
      <c r="B312" t="s">
        <v>2136</v>
      </c>
      <c r="C312" t="s">
        <v>2143</v>
      </c>
      <c r="D312">
        <v>2</v>
      </c>
      <c r="E312" t="s">
        <v>1447</v>
      </c>
      <c r="F312" t="s">
        <v>2144</v>
      </c>
      <c r="G312" t="s">
        <v>1741</v>
      </c>
      <c r="H312" t="s">
        <v>2340</v>
      </c>
      <c r="I312" t="s">
        <v>2279</v>
      </c>
      <c r="J312" t="s">
        <v>2279</v>
      </c>
      <c r="K312" t="s">
        <v>2279</v>
      </c>
      <c r="L312" t="s">
        <v>2279</v>
      </c>
      <c r="M312" t="s">
        <v>2279</v>
      </c>
      <c r="N312" t="s">
        <v>2279</v>
      </c>
      <c r="O312" s="190" t="str">
        <f>"["&amp;$C312&amp;"]["&amp;$D312&amp;"]["&amp;$F312&amp;"]"</f>
        <v>[S09_RegistryAccountAnnualFees][2][AnnualFeeReason]</v>
      </c>
    </row>
    <row r="313" spans="1:15" x14ac:dyDescent="0.3">
      <c r="A313" t="s">
        <v>2277</v>
      </c>
      <c r="B313" t="s">
        <v>2136</v>
      </c>
      <c r="C313" t="s">
        <v>2143</v>
      </c>
      <c r="D313">
        <v>1</v>
      </c>
      <c r="E313" t="s">
        <v>1447</v>
      </c>
      <c r="F313" t="s">
        <v>2145</v>
      </c>
      <c r="G313" t="s">
        <v>1806</v>
      </c>
      <c r="H313" t="s">
        <v>2279</v>
      </c>
      <c r="I313" t="s">
        <v>2279</v>
      </c>
      <c r="J313">
        <v>638</v>
      </c>
      <c r="K313" t="s">
        <v>2279</v>
      </c>
      <c r="L313" t="s">
        <v>2279</v>
      </c>
      <c r="M313" t="s">
        <v>2279</v>
      </c>
      <c r="N313" t="s">
        <v>2279</v>
      </c>
      <c r="O313" s="190" t="str">
        <f>"["&amp;$C313&amp;"]["&amp;$D313&amp;"]["&amp;$F313&amp;"]"</f>
        <v>[S09_RegistryAccountAnnualFees][1][AnnualFeeAmount]</v>
      </c>
    </row>
    <row r="314" spans="1:15" x14ac:dyDescent="0.3">
      <c r="A314" t="s">
        <v>2277</v>
      </c>
      <c r="B314" t="s">
        <v>2136</v>
      </c>
      <c r="C314" t="s">
        <v>2143</v>
      </c>
      <c r="D314">
        <v>2</v>
      </c>
      <c r="E314" t="s">
        <v>1447</v>
      </c>
      <c r="F314" t="s">
        <v>2145</v>
      </c>
      <c r="G314" t="s">
        <v>1806</v>
      </c>
      <c r="H314" t="s">
        <v>2279</v>
      </c>
      <c r="I314" t="s">
        <v>2279</v>
      </c>
      <c r="J314">
        <v>95.7</v>
      </c>
      <c r="K314" t="s">
        <v>2279</v>
      </c>
      <c r="L314" t="s">
        <v>2279</v>
      </c>
      <c r="M314" t="s">
        <v>2279</v>
      </c>
      <c r="N314" t="s">
        <v>2279</v>
      </c>
      <c r="O314" s="190" t="str">
        <f>"["&amp;$C314&amp;"]["&amp;$D314&amp;"]["&amp;$F314&amp;"]"</f>
        <v>[S09_RegistryAccountAnnualFees][2][AnnualFeeAmount]</v>
      </c>
    </row>
    <row r="315" spans="1:15" x14ac:dyDescent="0.3">
      <c r="A315" t="s">
        <v>2277</v>
      </c>
      <c r="B315" t="s">
        <v>2146</v>
      </c>
      <c r="C315" t="s">
        <v>2147</v>
      </c>
      <c r="D315">
        <v>1</v>
      </c>
      <c r="E315" t="s">
        <v>1447</v>
      </c>
      <c r="F315" t="s">
        <v>2148</v>
      </c>
      <c r="G315" t="s">
        <v>1759</v>
      </c>
      <c r="H315" t="s">
        <v>2279</v>
      </c>
      <c r="I315" t="s">
        <v>2279</v>
      </c>
      <c r="J315" t="s">
        <v>2279</v>
      </c>
      <c r="K315" t="s">
        <v>2279</v>
      </c>
      <c r="L315" t="s">
        <v>1447</v>
      </c>
      <c r="M315" t="s">
        <v>2279</v>
      </c>
      <c r="N315" t="s">
        <v>2279</v>
      </c>
      <c r="O315" s="190" t="str">
        <f>"["&amp;$C315&amp;"]["&amp;$D315&amp;"]["&amp;$F315&amp;"]"</f>
        <v>[S10_InstallationsComplianceMeasures][1][ComplianceMeasuresYesNo]</v>
      </c>
    </row>
    <row r="316" spans="1:15" x14ac:dyDescent="0.3">
      <c r="A316" t="s">
        <v>2277</v>
      </c>
      <c r="B316" t="s">
        <v>2146</v>
      </c>
      <c r="C316" t="s">
        <v>2147</v>
      </c>
      <c r="D316">
        <v>2</v>
      </c>
      <c r="E316" t="s">
        <v>1447</v>
      </c>
      <c r="F316" t="s">
        <v>2148</v>
      </c>
      <c r="G316" t="s">
        <v>1759</v>
      </c>
      <c r="H316" t="s">
        <v>2279</v>
      </c>
      <c r="I316" t="s">
        <v>2279</v>
      </c>
      <c r="J316" t="s">
        <v>2279</v>
      </c>
      <c r="K316" t="s">
        <v>2279</v>
      </c>
      <c r="L316" t="s">
        <v>1447</v>
      </c>
      <c r="M316" t="s">
        <v>2279</v>
      </c>
      <c r="N316" t="s">
        <v>2279</v>
      </c>
      <c r="O316" s="190" t="str">
        <f>"["&amp;$C316&amp;"]["&amp;$D316&amp;"]["&amp;$F316&amp;"]"</f>
        <v>[S10_InstallationsComplianceMeasures][2][ComplianceMeasuresYesNo]</v>
      </c>
    </row>
    <row r="317" spans="1:15" x14ac:dyDescent="0.3">
      <c r="A317" t="s">
        <v>2277</v>
      </c>
      <c r="B317" t="s">
        <v>2146</v>
      </c>
      <c r="C317" t="s">
        <v>2147</v>
      </c>
      <c r="D317">
        <v>3</v>
      </c>
      <c r="E317" t="s">
        <v>1447</v>
      </c>
      <c r="F317" t="s">
        <v>2148</v>
      </c>
      <c r="G317" t="s">
        <v>1759</v>
      </c>
      <c r="H317" t="s">
        <v>2279</v>
      </c>
      <c r="I317" t="s">
        <v>2279</v>
      </c>
      <c r="J317" t="s">
        <v>2279</v>
      </c>
      <c r="K317" t="s">
        <v>2279</v>
      </c>
      <c r="L317" t="s">
        <v>1447</v>
      </c>
      <c r="M317" t="s">
        <v>2279</v>
      </c>
      <c r="N317" t="s">
        <v>2279</v>
      </c>
      <c r="O317" s="190" t="str">
        <f>"["&amp;$C317&amp;"]["&amp;$D317&amp;"]["&amp;$F317&amp;"]"</f>
        <v>[S10_InstallationsComplianceMeasures][3][ComplianceMeasuresYesNo]</v>
      </c>
    </row>
    <row r="318" spans="1:15" x14ac:dyDescent="0.3">
      <c r="A318" t="s">
        <v>2277</v>
      </c>
      <c r="B318" t="s">
        <v>2146</v>
      </c>
      <c r="C318" t="s">
        <v>2147</v>
      </c>
      <c r="D318">
        <v>4</v>
      </c>
      <c r="E318" t="s">
        <v>1447</v>
      </c>
      <c r="F318" t="s">
        <v>2148</v>
      </c>
      <c r="G318" t="s">
        <v>1759</v>
      </c>
      <c r="H318" t="s">
        <v>2279</v>
      </c>
      <c r="I318" t="s">
        <v>2279</v>
      </c>
      <c r="J318" t="s">
        <v>2279</v>
      </c>
      <c r="K318" t="s">
        <v>2279</v>
      </c>
      <c r="L318" t="s">
        <v>1447</v>
      </c>
      <c r="M318" t="s">
        <v>2279</v>
      </c>
      <c r="N318" t="s">
        <v>2279</v>
      </c>
      <c r="O318" s="190" t="str">
        <f>"["&amp;$C318&amp;"]["&amp;$D318&amp;"]["&amp;$F318&amp;"]"</f>
        <v>[S10_InstallationsComplianceMeasures][4][ComplianceMeasuresYesNo]</v>
      </c>
    </row>
    <row r="319" spans="1:15" x14ac:dyDescent="0.3">
      <c r="A319" t="s">
        <v>2277</v>
      </c>
      <c r="B319" t="s">
        <v>2146</v>
      </c>
      <c r="C319" t="s">
        <v>2147</v>
      </c>
      <c r="D319">
        <v>5</v>
      </c>
      <c r="E319" t="s">
        <v>1447</v>
      </c>
      <c r="F319" t="s">
        <v>2148</v>
      </c>
      <c r="G319" t="s">
        <v>1759</v>
      </c>
      <c r="H319" t="s">
        <v>2279</v>
      </c>
      <c r="I319" t="s">
        <v>2279</v>
      </c>
      <c r="J319" t="s">
        <v>2279</v>
      </c>
      <c r="K319" t="s">
        <v>2279</v>
      </c>
      <c r="L319" t="s">
        <v>1447</v>
      </c>
      <c r="M319" t="s">
        <v>2279</v>
      </c>
      <c r="N319" t="s">
        <v>2279</v>
      </c>
      <c r="O319" s="190" t="str">
        <f>"["&amp;$C319&amp;"]["&amp;$D319&amp;"]["&amp;$F319&amp;"]"</f>
        <v>[S10_InstallationsComplianceMeasures][5][ComplianceMeasuresYesNo]</v>
      </c>
    </row>
    <row r="320" spans="1:15" x14ac:dyDescent="0.3">
      <c r="A320" t="s">
        <v>2277</v>
      </c>
      <c r="B320" t="s">
        <v>2154</v>
      </c>
      <c r="C320" t="s">
        <v>2156</v>
      </c>
      <c r="D320">
        <v>0</v>
      </c>
      <c r="E320" t="s">
        <v>1447</v>
      </c>
      <c r="F320" t="s">
        <v>2156</v>
      </c>
      <c r="G320" t="s">
        <v>1759</v>
      </c>
      <c r="H320" t="s">
        <v>2279</v>
      </c>
      <c r="I320" t="s">
        <v>2279</v>
      </c>
      <c r="J320" t="s">
        <v>2279</v>
      </c>
      <c r="K320" t="s">
        <v>2279</v>
      </c>
      <c r="L320" t="s">
        <v>1447</v>
      </c>
      <c r="M320" t="s">
        <v>2279</v>
      </c>
      <c r="N320" t="s">
        <v>2279</v>
      </c>
      <c r="O320" s="190" t="str">
        <f>"["&amp;$C320&amp;"]["&amp;$D320&amp;"]["&amp;$F320&amp;"]"</f>
        <v>[InstallationsPriorPenaltiesEnforced][0][InstallationsPriorPenaltiesEnforced]</v>
      </c>
    </row>
    <row r="321" spans="1:15" x14ac:dyDescent="0.3">
      <c r="A321" t="s">
        <v>2277</v>
      </c>
      <c r="B321" t="s">
        <v>2160</v>
      </c>
      <c r="C321" t="s">
        <v>2161</v>
      </c>
      <c r="D321">
        <v>1</v>
      </c>
      <c r="E321" t="s">
        <v>1447</v>
      </c>
      <c r="F321" t="s">
        <v>2148</v>
      </c>
      <c r="G321" t="s">
        <v>1759</v>
      </c>
      <c r="H321" t="s">
        <v>2279</v>
      </c>
      <c r="I321" t="s">
        <v>2279</v>
      </c>
      <c r="J321" t="s">
        <v>2279</v>
      </c>
      <c r="K321" t="s">
        <v>2279</v>
      </c>
      <c r="L321" t="s">
        <v>1447</v>
      </c>
      <c r="M321" t="s">
        <v>2279</v>
      </c>
      <c r="N321" t="s">
        <v>2279</v>
      </c>
      <c r="O321" s="190" t="str">
        <f>"["&amp;$C321&amp;"]["&amp;$D321&amp;"]["&amp;$F321&amp;"]"</f>
        <v>[S10_AircraftComplianceMeasures][1][ComplianceMeasuresYesNo]</v>
      </c>
    </row>
    <row r="322" spans="1:15" x14ac:dyDescent="0.3">
      <c r="A322" t="s">
        <v>2277</v>
      </c>
      <c r="B322" t="s">
        <v>2160</v>
      </c>
      <c r="C322" t="s">
        <v>2161</v>
      </c>
      <c r="D322">
        <v>2</v>
      </c>
      <c r="E322" t="s">
        <v>1447</v>
      </c>
      <c r="F322" t="s">
        <v>2148</v>
      </c>
      <c r="G322" t="s">
        <v>1759</v>
      </c>
      <c r="H322" t="s">
        <v>2279</v>
      </c>
      <c r="I322" t="s">
        <v>2279</v>
      </c>
      <c r="J322" t="s">
        <v>2279</v>
      </c>
      <c r="K322" t="s">
        <v>2279</v>
      </c>
      <c r="L322" t="s">
        <v>1447</v>
      </c>
      <c r="M322" t="s">
        <v>2279</v>
      </c>
      <c r="N322" t="s">
        <v>2279</v>
      </c>
      <c r="O322" s="190" t="str">
        <f>"["&amp;$C322&amp;"]["&amp;$D322&amp;"]["&amp;$F322&amp;"]"</f>
        <v>[S10_AircraftComplianceMeasures][2][ComplianceMeasuresYesNo]</v>
      </c>
    </row>
    <row r="323" spans="1:15" x14ac:dyDescent="0.3">
      <c r="A323" t="s">
        <v>2277</v>
      </c>
      <c r="B323" t="s">
        <v>2160</v>
      </c>
      <c r="C323" t="s">
        <v>2161</v>
      </c>
      <c r="D323">
        <v>3</v>
      </c>
      <c r="E323" t="s">
        <v>1447</v>
      </c>
      <c r="F323" t="s">
        <v>2148</v>
      </c>
      <c r="G323" t="s">
        <v>1759</v>
      </c>
      <c r="H323" t="s">
        <v>2279</v>
      </c>
      <c r="I323" t="s">
        <v>2279</v>
      </c>
      <c r="J323" t="s">
        <v>2279</v>
      </c>
      <c r="K323" t="s">
        <v>2279</v>
      </c>
      <c r="L323" t="s">
        <v>1447</v>
      </c>
      <c r="M323" t="s">
        <v>2279</v>
      </c>
      <c r="N323" t="s">
        <v>2279</v>
      </c>
      <c r="O323" s="190" t="str">
        <f>"["&amp;$C323&amp;"]["&amp;$D323&amp;"]["&amp;$F323&amp;"]"</f>
        <v>[S10_AircraftComplianceMeasures][3][ComplianceMeasuresYesNo]</v>
      </c>
    </row>
    <row r="324" spans="1:15" x14ac:dyDescent="0.3">
      <c r="A324" t="s">
        <v>2277</v>
      </c>
      <c r="B324" t="s">
        <v>2160</v>
      </c>
      <c r="C324" t="s">
        <v>2161</v>
      </c>
      <c r="D324">
        <v>4</v>
      </c>
      <c r="E324" t="s">
        <v>1447</v>
      </c>
      <c r="F324" t="s">
        <v>2148</v>
      </c>
      <c r="G324" t="s">
        <v>1759</v>
      </c>
      <c r="H324" t="s">
        <v>2279</v>
      </c>
      <c r="I324" t="s">
        <v>2279</v>
      </c>
      <c r="J324" t="s">
        <v>2279</v>
      </c>
      <c r="K324" t="s">
        <v>2279</v>
      </c>
      <c r="L324" t="s">
        <v>1447</v>
      </c>
      <c r="M324" t="s">
        <v>2279</v>
      </c>
      <c r="N324" t="s">
        <v>2279</v>
      </c>
      <c r="O324" s="190" t="str">
        <f>"["&amp;$C324&amp;"]["&amp;$D324&amp;"]["&amp;$F324&amp;"]"</f>
        <v>[S10_AircraftComplianceMeasures][4][ComplianceMeasuresYesNo]</v>
      </c>
    </row>
    <row r="325" spans="1:15" x14ac:dyDescent="0.3">
      <c r="A325" t="s">
        <v>2277</v>
      </c>
      <c r="B325" t="s">
        <v>2160</v>
      </c>
      <c r="C325" t="s">
        <v>2161</v>
      </c>
      <c r="D325">
        <v>5</v>
      </c>
      <c r="E325" t="s">
        <v>1447</v>
      </c>
      <c r="F325" t="s">
        <v>2148</v>
      </c>
      <c r="G325" t="s">
        <v>1759</v>
      </c>
      <c r="H325" t="s">
        <v>2279</v>
      </c>
      <c r="I325" t="s">
        <v>2279</v>
      </c>
      <c r="J325" t="s">
        <v>2279</v>
      </c>
      <c r="K325" t="s">
        <v>2279</v>
      </c>
      <c r="L325" t="s">
        <v>1447</v>
      </c>
      <c r="M325" t="s">
        <v>2279</v>
      </c>
      <c r="N325" t="s">
        <v>2279</v>
      </c>
      <c r="O325" s="190" t="str">
        <f>"["&amp;$C325&amp;"]["&amp;$D325&amp;"]["&amp;$F325&amp;"]"</f>
        <v>[S10_AircraftComplianceMeasures][5][ComplianceMeasuresYesNo]</v>
      </c>
    </row>
    <row r="326" spans="1:15" x14ac:dyDescent="0.3">
      <c r="A326" t="s">
        <v>2277</v>
      </c>
      <c r="B326" t="s">
        <v>2162</v>
      </c>
      <c r="C326" t="s">
        <v>2163</v>
      </c>
      <c r="D326">
        <v>1</v>
      </c>
      <c r="E326" t="s">
        <v>1447</v>
      </c>
      <c r="F326" t="s">
        <v>2111</v>
      </c>
      <c r="G326" t="s">
        <v>1806</v>
      </c>
      <c r="H326" t="s">
        <v>2279</v>
      </c>
      <c r="I326" t="s">
        <v>2279</v>
      </c>
      <c r="J326">
        <v>60</v>
      </c>
      <c r="K326" t="s">
        <v>2279</v>
      </c>
      <c r="L326" t="s">
        <v>2279</v>
      </c>
      <c r="M326" t="s">
        <v>2279</v>
      </c>
      <c r="N326" t="s">
        <v>2279</v>
      </c>
      <c r="O326" s="190" t="str">
        <f>"["&amp;$C326&amp;"]["&amp;$D326&amp;"]["&amp;$F326&amp;"]"</f>
        <v>[S10_AircraftInfringementPenalties][1][MinFine]</v>
      </c>
    </row>
    <row r="327" spans="1:15" x14ac:dyDescent="0.3">
      <c r="A327" t="s">
        <v>2277</v>
      </c>
      <c r="B327" t="s">
        <v>2162</v>
      </c>
      <c r="C327" t="s">
        <v>2163</v>
      </c>
      <c r="D327">
        <v>2</v>
      </c>
      <c r="E327" t="s">
        <v>1447</v>
      </c>
      <c r="F327" t="s">
        <v>2111</v>
      </c>
      <c r="G327" t="s">
        <v>1806</v>
      </c>
      <c r="H327" t="s">
        <v>2279</v>
      </c>
      <c r="I327" t="s">
        <v>2279</v>
      </c>
      <c r="J327">
        <v>60</v>
      </c>
      <c r="K327" t="s">
        <v>2279</v>
      </c>
      <c r="L327" t="s">
        <v>2279</v>
      </c>
      <c r="M327" t="s">
        <v>2279</v>
      </c>
      <c r="N327" t="s">
        <v>2279</v>
      </c>
      <c r="O327" s="190" t="str">
        <f>"["&amp;$C327&amp;"]["&amp;$D327&amp;"]["&amp;$F327&amp;"]"</f>
        <v>[S10_AircraftInfringementPenalties][2][MinFine]</v>
      </c>
    </row>
    <row r="328" spans="1:15" x14ac:dyDescent="0.3">
      <c r="A328" t="s">
        <v>2277</v>
      </c>
      <c r="B328" t="s">
        <v>2162</v>
      </c>
      <c r="C328" t="s">
        <v>2163</v>
      </c>
      <c r="D328">
        <v>3</v>
      </c>
      <c r="E328" t="s">
        <v>1447</v>
      </c>
      <c r="F328" t="s">
        <v>2111</v>
      </c>
      <c r="G328" t="s">
        <v>1806</v>
      </c>
      <c r="H328" t="s">
        <v>2279</v>
      </c>
      <c r="I328" t="s">
        <v>2279</v>
      </c>
      <c r="J328">
        <v>60</v>
      </c>
      <c r="K328" t="s">
        <v>2279</v>
      </c>
      <c r="L328" t="s">
        <v>2279</v>
      </c>
      <c r="M328" t="s">
        <v>2279</v>
      </c>
      <c r="N328" t="s">
        <v>2279</v>
      </c>
      <c r="O328" s="190" t="str">
        <f>"["&amp;$C328&amp;"]["&amp;$D328&amp;"]["&amp;$F328&amp;"]"</f>
        <v>[S10_AircraftInfringementPenalties][3][MinFine]</v>
      </c>
    </row>
    <row r="329" spans="1:15" x14ac:dyDescent="0.3">
      <c r="A329" t="s">
        <v>2277</v>
      </c>
      <c r="B329" t="s">
        <v>2162</v>
      </c>
      <c r="C329" t="s">
        <v>2163</v>
      </c>
      <c r="D329">
        <v>4</v>
      </c>
      <c r="E329" t="s">
        <v>1447</v>
      </c>
      <c r="F329" t="s">
        <v>2111</v>
      </c>
      <c r="G329" t="s">
        <v>1806</v>
      </c>
      <c r="H329" t="s">
        <v>2279</v>
      </c>
      <c r="I329" t="s">
        <v>2279</v>
      </c>
      <c r="J329">
        <v>60</v>
      </c>
      <c r="K329" t="s">
        <v>2279</v>
      </c>
      <c r="L329" t="s">
        <v>2279</v>
      </c>
      <c r="M329" t="s">
        <v>2279</v>
      </c>
      <c r="N329" t="s">
        <v>2279</v>
      </c>
      <c r="O329" s="190" t="str">
        <f>"["&amp;$C329&amp;"]["&amp;$D329&amp;"]["&amp;$F329&amp;"]"</f>
        <v>[S10_AircraftInfringementPenalties][4][MinFine]</v>
      </c>
    </row>
    <row r="330" spans="1:15" x14ac:dyDescent="0.3">
      <c r="A330" t="s">
        <v>2277</v>
      </c>
      <c r="B330" t="s">
        <v>2162</v>
      </c>
      <c r="C330" t="s">
        <v>2163</v>
      </c>
      <c r="D330">
        <v>5</v>
      </c>
      <c r="E330" t="s">
        <v>1447</v>
      </c>
      <c r="F330" t="s">
        <v>2111</v>
      </c>
      <c r="G330" t="s">
        <v>1806</v>
      </c>
      <c r="H330" t="s">
        <v>2279</v>
      </c>
      <c r="I330" t="s">
        <v>2279</v>
      </c>
      <c r="J330">
        <v>60</v>
      </c>
      <c r="K330" t="s">
        <v>2279</v>
      </c>
      <c r="L330" t="s">
        <v>2279</v>
      </c>
      <c r="M330" t="s">
        <v>2279</v>
      </c>
      <c r="N330" t="s">
        <v>2279</v>
      </c>
      <c r="O330" s="190" t="str">
        <f>"["&amp;$C330&amp;"]["&amp;$D330&amp;"]["&amp;$F330&amp;"]"</f>
        <v>[S10_AircraftInfringementPenalties][5][MinFine]</v>
      </c>
    </row>
    <row r="331" spans="1:15" x14ac:dyDescent="0.3">
      <c r="A331" t="s">
        <v>2277</v>
      </c>
      <c r="B331" t="s">
        <v>2162</v>
      </c>
      <c r="C331" t="s">
        <v>2163</v>
      </c>
      <c r="D331">
        <v>6</v>
      </c>
      <c r="E331" t="s">
        <v>1447</v>
      </c>
      <c r="F331" t="s">
        <v>2111</v>
      </c>
      <c r="G331" t="s">
        <v>1806</v>
      </c>
      <c r="H331" t="s">
        <v>2279</v>
      </c>
      <c r="I331" t="s">
        <v>2279</v>
      </c>
      <c r="J331">
        <v>60</v>
      </c>
      <c r="K331" t="s">
        <v>2279</v>
      </c>
      <c r="L331" t="s">
        <v>2279</v>
      </c>
      <c r="M331" t="s">
        <v>2279</v>
      </c>
      <c r="N331" t="s">
        <v>2279</v>
      </c>
      <c r="O331" s="190" t="str">
        <f>"["&amp;$C331&amp;"]["&amp;$D331&amp;"]["&amp;$F331&amp;"]"</f>
        <v>[S10_AircraftInfringementPenalties][6][MinFine]</v>
      </c>
    </row>
    <row r="332" spans="1:15" x14ac:dyDescent="0.3">
      <c r="A332" t="s">
        <v>2277</v>
      </c>
      <c r="B332" t="s">
        <v>2162</v>
      </c>
      <c r="C332" t="s">
        <v>2163</v>
      </c>
      <c r="D332">
        <v>1</v>
      </c>
      <c r="E332" t="s">
        <v>1447</v>
      </c>
      <c r="F332" t="s">
        <v>2112</v>
      </c>
      <c r="G332" t="s">
        <v>1806</v>
      </c>
      <c r="H332" t="s">
        <v>2279</v>
      </c>
      <c r="I332" t="s">
        <v>2279</v>
      </c>
      <c r="J332">
        <v>140</v>
      </c>
      <c r="K332" t="s">
        <v>2279</v>
      </c>
      <c r="L332" t="s">
        <v>2279</v>
      </c>
      <c r="M332" t="s">
        <v>2279</v>
      </c>
      <c r="N332" t="s">
        <v>2279</v>
      </c>
      <c r="O332" s="190" t="str">
        <f>"["&amp;$C332&amp;"]["&amp;$D332&amp;"]["&amp;$F332&amp;"]"</f>
        <v>[S10_AircraftInfringementPenalties][1][MaxFine]</v>
      </c>
    </row>
    <row r="333" spans="1:15" x14ac:dyDescent="0.3">
      <c r="A333" t="s">
        <v>2277</v>
      </c>
      <c r="B333" t="s">
        <v>2162</v>
      </c>
      <c r="C333" t="s">
        <v>2163</v>
      </c>
      <c r="D333">
        <v>2</v>
      </c>
      <c r="E333" t="s">
        <v>1447</v>
      </c>
      <c r="F333" t="s">
        <v>2112</v>
      </c>
      <c r="G333" t="s">
        <v>1806</v>
      </c>
      <c r="H333" t="s">
        <v>2279</v>
      </c>
      <c r="I333" t="s">
        <v>2279</v>
      </c>
      <c r="J333">
        <v>140</v>
      </c>
      <c r="K333" t="s">
        <v>2279</v>
      </c>
      <c r="L333" t="s">
        <v>2279</v>
      </c>
      <c r="M333" t="s">
        <v>2279</v>
      </c>
      <c r="N333" t="s">
        <v>2279</v>
      </c>
      <c r="O333" s="190" t="str">
        <f>"["&amp;$C333&amp;"]["&amp;$D333&amp;"]["&amp;$F333&amp;"]"</f>
        <v>[S10_AircraftInfringementPenalties][2][MaxFine]</v>
      </c>
    </row>
    <row r="334" spans="1:15" x14ac:dyDescent="0.3">
      <c r="A334" t="s">
        <v>2277</v>
      </c>
      <c r="B334" t="s">
        <v>2162</v>
      </c>
      <c r="C334" t="s">
        <v>2163</v>
      </c>
      <c r="D334">
        <v>3</v>
      </c>
      <c r="E334" t="s">
        <v>1447</v>
      </c>
      <c r="F334" t="s">
        <v>2112</v>
      </c>
      <c r="G334" t="s">
        <v>1806</v>
      </c>
      <c r="H334" t="s">
        <v>2279</v>
      </c>
      <c r="I334" t="s">
        <v>2279</v>
      </c>
      <c r="J334">
        <v>140</v>
      </c>
      <c r="K334" t="s">
        <v>2279</v>
      </c>
      <c r="L334" t="s">
        <v>2279</v>
      </c>
      <c r="M334" t="s">
        <v>2279</v>
      </c>
      <c r="N334" t="s">
        <v>2279</v>
      </c>
      <c r="O334" s="190" t="str">
        <f>"["&amp;$C334&amp;"]["&amp;$D334&amp;"]["&amp;$F334&amp;"]"</f>
        <v>[S10_AircraftInfringementPenalties][3][MaxFine]</v>
      </c>
    </row>
    <row r="335" spans="1:15" x14ac:dyDescent="0.3">
      <c r="A335" t="s">
        <v>2277</v>
      </c>
      <c r="B335" t="s">
        <v>2162</v>
      </c>
      <c r="C335" t="s">
        <v>2163</v>
      </c>
      <c r="D335">
        <v>4</v>
      </c>
      <c r="E335" t="s">
        <v>1447</v>
      </c>
      <c r="F335" t="s">
        <v>2112</v>
      </c>
      <c r="G335" t="s">
        <v>1806</v>
      </c>
      <c r="H335" t="s">
        <v>2279</v>
      </c>
      <c r="I335" t="s">
        <v>2279</v>
      </c>
      <c r="J335">
        <v>140</v>
      </c>
      <c r="K335" t="s">
        <v>2279</v>
      </c>
      <c r="L335" t="s">
        <v>2279</v>
      </c>
      <c r="M335" t="s">
        <v>2279</v>
      </c>
      <c r="N335" t="s">
        <v>2279</v>
      </c>
      <c r="O335" s="190" t="str">
        <f>"["&amp;$C335&amp;"]["&amp;$D335&amp;"]["&amp;$F335&amp;"]"</f>
        <v>[S10_AircraftInfringementPenalties][4][MaxFine]</v>
      </c>
    </row>
    <row r="336" spans="1:15" x14ac:dyDescent="0.3">
      <c r="A336" t="s">
        <v>2277</v>
      </c>
      <c r="B336" t="s">
        <v>2162</v>
      </c>
      <c r="C336" t="s">
        <v>2163</v>
      </c>
      <c r="D336">
        <v>5</v>
      </c>
      <c r="E336" t="s">
        <v>1447</v>
      </c>
      <c r="F336" t="s">
        <v>2112</v>
      </c>
      <c r="G336" t="s">
        <v>1806</v>
      </c>
      <c r="H336" t="s">
        <v>2279</v>
      </c>
      <c r="I336" t="s">
        <v>2279</v>
      </c>
      <c r="J336">
        <v>140</v>
      </c>
      <c r="K336" t="s">
        <v>2279</v>
      </c>
      <c r="L336" t="s">
        <v>2279</v>
      </c>
      <c r="M336" t="s">
        <v>2279</v>
      </c>
      <c r="N336" t="s">
        <v>2279</v>
      </c>
      <c r="O336" s="190" t="str">
        <f>"["&amp;$C336&amp;"]["&amp;$D336&amp;"]["&amp;$F336&amp;"]"</f>
        <v>[S10_AircraftInfringementPenalties][5][MaxFine]</v>
      </c>
    </row>
    <row r="337" spans="1:15" x14ac:dyDescent="0.3">
      <c r="A337" t="s">
        <v>2277</v>
      </c>
      <c r="B337" t="s">
        <v>2162</v>
      </c>
      <c r="C337" t="s">
        <v>2163</v>
      </c>
      <c r="D337">
        <v>6</v>
      </c>
      <c r="E337" t="s">
        <v>1447</v>
      </c>
      <c r="F337" t="s">
        <v>2112</v>
      </c>
      <c r="G337" t="s">
        <v>1806</v>
      </c>
      <c r="H337" t="s">
        <v>2279</v>
      </c>
      <c r="I337" t="s">
        <v>2279</v>
      </c>
      <c r="J337">
        <v>140</v>
      </c>
      <c r="K337" t="s">
        <v>2279</v>
      </c>
      <c r="L337" t="s">
        <v>2279</v>
      </c>
      <c r="M337" t="s">
        <v>2279</v>
      </c>
      <c r="N337" t="s">
        <v>2279</v>
      </c>
      <c r="O337" s="190" t="str">
        <f>"["&amp;$C337&amp;"]["&amp;$D337&amp;"]["&amp;$F337&amp;"]"</f>
        <v>[S10_AircraftInfringementPenalties][6][MaxFine]</v>
      </c>
    </row>
    <row r="338" spans="1:15" x14ac:dyDescent="0.3">
      <c r="A338" t="s">
        <v>2277</v>
      </c>
      <c r="B338" t="s">
        <v>2165</v>
      </c>
      <c r="C338" t="s">
        <v>2167</v>
      </c>
      <c r="D338">
        <v>0</v>
      </c>
      <c r="E338" t="s">
        <v>1447</v>
      </c>
      <c r="F338" t="s">
        <v>2167</v>
      </c>
      <c r="G338" t="s">
        <v>1759</v>
      </c>
      <c r="H338" t="s">
        <v>2279</v>
      </c>
      <c r="I338" t="s">
        <v>2279</v>
      </c>
      <c r="J338" t="s">
        <v>2279</v>
      </c>
      <c r="K338" t="s">
        <v>2279</v>
      </c>
      <c r="L338" t="s">
        <v>1447</v>
      </c>
      <c r="M338" t="s">
        <v>2279</v>
      </c>
      <c r="N338" t="s">
        <v>2279</v>
      </c>
      <c r="O338" s="190" t="str">
        <f>"["&amp;$C338&amp;"]["&amp;$D338&amp;"]["&amp;$F338&amp;"]"</f>
        <v>[AircraftPriorPenaltiesEnforced][0][AircraftPriorPenaltiesEnforced]</v>
      </c>
    </row>
    <row r="339" spans="1:15" x14ac:dyDescent="0.3">
      <c r="A339" t="s">
        <v>2277</v>
      </c>
      <c r="B339" t="s">
        <v>2174</v>
      </c>
      <c r="C339" t="s">
        <v>2175</v>
      </c>
      <c r="D339">
        <v>0</v>
      </c>
      <c r="E339" t="s">
        <v>1447</v>
      </c>
      <c r="F339" t="s">
        <v>2175</v>
      </c>
      <c r="G339" t="s">
        <v>1741</v>
      </c>
      <c r="H339" t="s">
        <v>2341</v>
      </c>
      <c r="I339" t="s">
        <v>2279</v>
      </c>
      <c r="J339" t="s">
        <v>2279</v>
      </c>
      <c r="K339" t="s">
        <v>2279</v>
      </c>
      <c r="L339" t="s">
        <v>2279</v>
      </c>
      <c r="M339" t="s">
        <v>2279</v>
      </c>
      <c r="N339" t="s">
        <v>2279</v>
      </c>
      <c r="O339" s="190" t="str">
        <f>"["&amp;$C339&amp;"]["&amp;$D339&amp;"]["&amp;$F339&amp;"]"</f>
        <v>[LegalNatureOfEmissionAllowance][0][LegalNatureOfEmissionAllowance]</v>
      </c>
    </row>
    <row r="340" spans="1:15" x14ac:dyDescent="0.3">
      <c r="A340" t="s">
        <v>2277</v>
      </c>
      <c r="B340" t="s">
        <v>2176</v>
      </c>
      <c r="C340" t="s">
        <v>2177</v>
      </c>
      <c r="D340">
        <v>0</v>
      </c>
      <c r="E340" t="s">
        <v>1447</v>
      </c>
      <c r="F340" t="s">
        <v>2177</v>
      </c>
      <c r="G340" t="s">
        <v>1741</v>
      </c>
      <c r="H340" t="s">
        <v>2342</v>
      </c>
      <c r="I340" t="s">
        <v>2279</v>
      </c>
      <c r="J340" t="s">
        <v>2279</v>
      </c>
      <c r="K340" t="s">
        <v>2279</v>
      </c>
      <c r="L340" t="s">
        <v>2279</v>
      </c>
      <c r="M340" t="s">
        <v>2279</v>
      </c>
      <c r="N340" t="s">
        <v>2279</v>
      </c>
      <c r="O340" s="190" t="str">
        <f>"["&amp;$C340&amp;"]["&amp;$D340&amp;"]["&amp;$F340&amp;"]"</f>
        <v>[AccountingTreatmentOfEmissionAllowances][0][AccountingTreatmentOfEmissionAllowances]</v>
      </c>
    </row>
    <row r="341" spans="1:15" x14ac:dyDescent="0.3">
      <c r="A341" t="s">
        <v>2277</v>
      </c>
      <c r="B341" t="s">
        <v>2178</v>
      </c>
      <c r="C341" t="s">
        <v>2179</v>
      </c>
      <c r="D341">
        <v>0</v>
      </c>
      <c r="E341" t="s">
        <v>1447</v>
      </c>
      <c r="F341" t="s">
        <v>2179</v>
      </c>
      <c r="G341" t="s">
        <v>1759</v>
      </c>
      <c r="H341" t="s">
        <v>2279</v>
      </c>
      <c r="I341" t="s">
        <v>2279</v>
      </c>
      <c r="J341" t="s">
        <v>2279</v>
      </c>
      <c r="K341" t="s">
        <v>2279</v>
      </c>
      <c r="L341" t="s">
        <v>1419</v>
      </c>
      <c r="M341" t="s">
        <v>2279</v>
      </c>
      <c r="N341" t="s">
        <v>2279</v>
      </c>
      <c r="O341" s="190" t="str">
        <f>"["&amp;$C341&amp;"]["&amp;$D341&amp;"]["&amp;$F341&amp;"]"</f>
        <v>[VATdueEmissionAllowancesIssuance][0][VATdueEmissionAllowancesIssuance]</v>
      </c>
    </row>
    <row r="342" spans="1:15" x14ac:dyDescent="0.3">
      <c r="A342" t="s">
        <v>2277</v>
      </c>
      <c r="B342" t="s">
        <v>2178</v>
      </c>
      <c r="C342" t="s">
        <v>2180</v>
      </c>
      <c r="D342">
        <v>0</v>
      </c>
      <c r="E342" t="s">
        <v>1447</v>
      </c>
      <c r="F342" t="s">
        <v>2180</v>
      </c>
      <c r="G342" t="s">
        <v>1759</v>
      </c>
      <c r="H342" t="s">
        <v>2279</v>
      </c>
      <c r="I342" t="s">
        <v>2279</v>
      </c>
      <c r="J342" t="s">
        <v>2279</v>
      </c>
      <c r="K342" t="s">
        <v>2279</v>
      </c>
      <c r="L342" t="s">
        <v>1447</v>
      </c>
      <c r="M342" t="s">
        <v>2279</v>
      </c>
      <c r="N342" t="s">
        <v>2279</v>
      </c>
      <c r="O342" s="190" t="str">
        <f>"["&amp;$C342&amp;"]["&amp;$D342&amp;"]["&amp;$F342&amp;"]"</f>
        <v>[ReverseChargeMechanismEmissionAllowances][0][ReverseChargeMechanismEmissionAllowances]</v>
      </c>
    </row>
    <row r="343" spans="1:15" x14ac:dyDescent="0.3">
      <c r="A343" t="s">
        <v>2277</v>
      </c>
      <c r="B343" t="s">
        <v>2181</v>
      </c>
      <c r="C343" t="s">
        <v>2182</v>
      </c>
      <c r="D343">
        <v>0</v>
      </c>
      <c r="E343" t="s">
        <v>1447</v>
      </c>
      <c r="F343" t="s">
        <v>2182</v>
      </c>
      <c r="G343" t="s">
        <v>1759</v>
      </c>
      <c r="H343" t="s">
        <v>2279</v>
      </c>
      <c r="I343" t="s">
        <v>2279</v>
      </c>
      <c r="J343" t="s">
        <v>2279</v>
      </c>
      <c r="K343" t="s">
        <v>2279</v>
      </c>
      <c r="L343" t="s">
        <v>1447</v>
      </c>
      <c r="M343" t="s">
        <v>2279</v>
      </c>
      <c r="N343" t="s">
        <v>2279</v>
      </c>
      <c r="O343" s="190" t="str">
        <f>"["&amp;$C343&amp;"]["&amp;$D343&amp;"]["&amp;$F343&amp;"]"</f>
        <v>[EmissionAllowancesTaxed][0][EmissionAllowancesTaxed]</v>
      </c>
    </row>
    <row r="344" spans="1:15" x14ac:dyDescent="0.3">
      <c r="A344" t="s">
        <v>2277</v>
      </c>
      <c r="B344" t="s">
        <v>2186</v>
      </c>
      <c r="C344" t="s">
        <v>2187</v>
      </c>
      <c r="D344">
        <v>1</v>
      </c>
      <c r="E344" t="s">
        <v>1447</v>
      </c>
      <c r="F344" t="s">
        <v>2188</v>
      </c>
      <c r="G344" t="s">
        <v>1741</v>
      </c>
      <c r="H344" t="s">
        <v>2343</v>
      </c>
      <c r="I344" t="s">
        <v>2279</v>
      </c>
      <c r="J344" t="s">
        <v>2279</v>
      </c>
      <c r="K344" t="s">
        <v>2279</v>
      </c>
      <c r="L344" t="s">
        <v>2279</v>
      </c>
      <c r="M344" t="s">
        <v>2279</v>
      </c>
      <c r="N344" t="s">
        <v>2279</v>
      </c>
      <c r="O344" s="190" t="str">
        <f>"["&amp;$C344&amp;"]["&amp;$D344&amp;"]["&amp;$F344&amp;"]"</f>
        <v>[S12_FraudFreeAllocationOfAllowances][1][DetailsOfProceduresInNationalLaw]</v>
      </c>
    </row>
    <row r="345" spans="1:15" x14ac:dyDescent="0.3">
      <c r="A345" t="s">
        <v>2277</v>
      </c>
      <c r="B345" t="s">
        <v>2186</v>
      </c>
      <c r="C345" t="s">
        <v>2187</v>
      </c>
      <c r="D345">
        <v>2</v>
      </c>
      <c r="E345" t="s">
        <v>1447</v>
      </c>
      <c r="F345" t="s">
        <v>2188</v>
      </c>
      <c r="G345" t="s">
        <v>1741</v>
      </c>
      <c r="H345" t="s">
        <v>2344</v>
      </c>
      <c r="I345" t="s">
        <v>2279</v>
      </c>
      <c r="J345" t="s">
        <v>2279</v>
      </c>
      <c r="K345" t="s">
        <v>2279</v>
      </c>
      <c r="L345" t="s">
        <v>2279</v>
      </c>
      <c r="M345" t="s">
        <v>2279</v>
      </c>
      <c r="N345" t="s">
        <v>2279</v>
      </c>
      <c r="O345" s="190" t="str">
        <f>"["&amp;$C345&amp;"]["&amp;$D345&amp;"]["&amp;$F345&amp;"]"</f>
        <v>[S12_FraudFreeAllocationOfAllowances][2][DetailsOfProceduresInNationalLaw]</v>
      </c>
    </row>
    <row r="346" spans="1:15" x14ac:dyDescent="0.3">
      <c r="A346" t="s">
        <v>2277</v>
      </c>
      <c r="B346" t="s">
        <v>2186</v>
      </c>
      <c r="C346" t="s">
        <v>2187</v>
      </c>
      <c r="D346">
        <v>3</v>
      </c>
      <c r="E346" t="s">
        <v>1447</v>
      </c>
      <c r="F346" t="s">
        <v>2188</v>
      </c>
      <c r="G346" t="s">
        <v>1741</v>
      </c>
      <c r="H346" t="s">
        <v>2345</v>
      </c>
      <c r="I346" t="s">
        <v>2279</v>
      </c>
      <c r="J346" t="s">
        <v>2279</v>
      </c>
      <c r="K346" t="s">
        <v>2279</v>
      </c>
      <c r="L346" t="s">
        <v>2279</v>
      </c>
      <c r="M346" t="s">
        <v>2279</v>
      </c>
      <c r="N346" t="s">
        <v>2279</v>
      </c>
      <c r="O346" s="190" t="str">
        <f>"["&amp;$C346&amp;"]["&amp;$D346&amp;"]["&amp;$F346&amp;"]"</f>
        <v>[S12_FraudFreeAllocationOfAllowances][3][DetailsOfProceduresInNationalLaw]</v>
      </c>
    </row>
    <row r="347" spans="1:15" x14ac:dyDescent="0.3">
      <c r="A347" t="s">
        <v>2277</v>
      </c>
      <c r="B347" t="s">
        <v>2186</v>
      </c>
      <c r="C347" t="s">
        <v>2187</v>
      </c>
      <c r="D347">
        <v>4</v>
      </c>
      <c r="E347" t="s">
        <v>1447</v>
      </c>
      <c r="F347" t="s">
        <v>2188</v>
      </c>
      <c r="G347" t="s">
        <v>1741</v>
      </c>
      <c r="H347" t="s">
        <v>2346</v>
      </c>
      <c r="I347" t="s">
        <v>2279</v>
      </c>
      <c r="J347" t="s">
        <v>2279</v>
      </c>
      <c r="K347" t="s">
        <v>2279</v>
      </c>
      <c r="L347" t="s">
        <v>2279</v>
      </c>
      <c r="M347" t="s">
        <v>2279</v>
      </c>
      <c r="N347" t="s">
        <v>2279</v>
      </c>
      <c r="O347" s="190" t="str">
        <f>"["&amp;$C347&amp;"]["&amp;$D347&amp;"]["&amp;$F347&amp;"]"</f>
        <v>[S12_FraudFreeAllocationOfAllowances][4][DetailsOfProceduresInNationalLaw]</v>
      </c>
    </row>
    <row r="348" spans="1:15" x14ac:dyDescent="0.3">
      <c r="A348" t="s">
        <v>2277</v>
      </c>
      <c r="B348" t="s">
        <v>2186</v>
      </c>
      <c r="C348" t="s">
        <v>2187</v>
      </c>
      <c r="D348">
        <v>5</v>
      </c>
      <c r="E348" t="s">
        <v>1447</v>
      </c>
      <c r="F348" t="s">
        <v>2188</v>
      </c>
      <c r="G348" t="s">
        <v>1741</v>
      </c>
      <c r="H348" t="s">
        <v>2346</v>
      </c>
      <c r="I348" t="s">
        <v>2279</v>
      </c>
      <c r="J348" t="s">
        <v>2279</v>
      </c>
      <c r="K348" t="s">
        <v>2279</v>
      </c>
      <c r="L348" t="s">
        <v>2279</v>
      </c>
      <c r="M348" t="s">
        <v>2279</v>
      </c>
      <c r="N348" t="s">
        <v>2279</v>
      </c>
      <c r="O348" s="190" t="str">
        <f>"["&amp;$C348&amp;"]["&amp;$D348&amp;"]["&amp;$F348&amp;"]"</f>
        <v>[S12_FraudFreeAllocationOfAllowances][5][DetailsOfProceduresInNationalLaw]</v>
      </c>
    </row>
    <row r="349" spans="1:15" x14ac:dyDescent="0.3">
      <c r="A349" t="s">
        <v>2277</v>
      </c>
      <c r="B349" t="s">
        <v>2186</v>
      </c>
      <c r="C349" t="s">
        <v>2187</v>
      </c>
      <c r="D349">
        <v>6</v>
      </c>
      <c r="E349" t="s">
        <v>1447</v>
      </c>
      <c r="F349" t="s">
        <v>2188</v>
      </c>
      <c r="G349" t="s">
        <v>1741</v>
      </c>
      <c r="H349" t="s">
        <v>2347</v>
      </c>
      <c r="I349" t="s">
        <v>2279</v>
      </c>
      <c r="J349" t="s">
        <v>2279</v>
      </c>
      <c r="K349" t="s">
        <v>2279</v>
      </c>
      <c r="L349" t="s">
        <v>2279</v>
      </c>
      <c r="M349" t="s">
        <v>2279</v>
      </c>
      <c r="N349" t="s">
        <v>2279</v>
      </c>
      <c r="O349" s="190" t="str">
        <f>"["&amp;$C349&amp;"]["&amp;$D349&amp;"]["&amp;$F349&amp;"]"</f>
        <v>[S12_FraudFreeAllocationOfAllowances][6][DetailsOfProceduresInNationalLaw]</v>
      </c>
    </row>
    <row r="350" spans="1:15" x14ac:dyDescent="0.3">
      <c r="A350" t="s">
        <v>2277</v>
      </c>
      <c r="B350" t="s">
        <v>2189</v>
      </c>
      <c r="C350" t="s">
        <v>2190</v>
      </c>
      <c r="D350">
        <v>1</v>
      </c>
      <c r="E350" t="s">
        <v>1447</v>
      </c>
      <c r="F350" t="s">
        <v>2191</v>
      </c>
      <c r="G350" t="s">
        <v>1741</v>
      </c>
      <c r="H350" t="s">
        <v>2348</v>
      </c>
      <c r="I350" t="s">
        <v>2279</v>
      </c>
      <c r="J350" t="s">
        <v>2279</v>
      </c>
      <c r="K350" t="s">
        <v>2279</v>
      </c>
      <c r="L350" t="s">
        <v>2279</v>
      </c>
      <c r="M350" t="s">
        <v>2279</v>
      </c>
      <c r="N350" t="s">
        <v>2279</v>
      </c>
      <c r="O350" s="190" t="str">
        <f>"["&amp;$C350&amp;"]["&amp;$D350&amp;"]["&amp;$F350&amp;"]"</f>
        <v>[S12_CompetentAuthoritiesAwareOfFraud][1][DetailsOfArrangementsAndProcedures]</v>
      </c>
    </row>
    <row r="351" spans="1:15" x14ac:dyDescent="0.3">
      <c r="A351" t="s">
        <v>2277</v>
      </c>
      <c r="B351" t="s">
        <v>2189</v>
      </c>
      <c r="C351" t="s">
        <v>2190</v>
      </c>
      <c r="D351">
        <v>2</v>
      </c>
      <c r="E351" t="s">
        <v>1447</v>
      </c>
      <c r="F351" t="s">
        <v>2191</v>
      </c>
      <c r="G351" t="s">
        <v>1741</v>
      </c>
      <c r="H351" t="s">
        <v>2348</v>
      </c>
      <c r="I351" t="s">
        <v>2279</v>
      </c>
      <c r="J351" t="s">
        <v>2279</v>
      </c>
      <c r="K351" t="s">
        <v>2279</v>
      </c>
      <c r="L351" t="s">
        <v>2279</v>
      </c>
      <c r="M351" t="s">
        <v>2279</v>
      </c>
      <c r="N351" t="s">
        <v>2279</v>
      </c>
      <c r="O351" s="190" t="str">
        <f>"["&amp;$C351&amp;"]["&amp;$D351&amp;"]["&amp;$F351&amp;"]"</f>
        <v>[S12_CompetentAuthoritiesAwareOfFraud][2][DetailsOfArrangementsAndProcedures]</v>
      </c>
    </row>
    <row r="352" spans="1:15" x14ac:dyDescent="0.3">
      <c r="A352" t="s">
        <v>2277</v>
      </c>
      <c r="B352" t="s">
        <v>2189</v>
      </c>
      <c r="C352" t="s">
        <v>2190</v>
      </c>
      <c r="D352">
        <v>3</v>
      </c>
      <c r="E352" t="s">
        <v>1447</v>
      </c>
      <c r="F352" t="s">
        <v>2191</v>
      </c>
      <c r="G352" t="s">
        <v>1741</v>
      </c>
      <c r="H352" t="s">
        <v>2348</v>
      </c>
      <c r="I352" t="s">
        <v>2279</v>
      </c>
      <c r="J352" t="s">
        <v>2279</v>
      </c>
      <c r="K352" t="s">
        <v>2279</v>
      </c>
      <c r="L352" t="s">
        <v>2279</v>
      </c>
      <c r="M352" t="s">
        <v>2279</v>
      </c>
      <c r="N352" t="s">
        <v>2279</v>
      </c>
      <c r="O352" s="190" t="str">
        <f>"["&amp;$C352&amp;"]["&amp;$D352&amp;"]["&amp;$F352&amp;"]"</f>
        <v>[S12_CompetentAuthoritiesAwareOfFraud][3][DetailsOfArrangementsAndProcedures]</v>
      </c>
    </row>
    <row r="353" spans="1:15" x14ac:dyDescent="0.3">
      <c r="A353" t="s">
        <v>2277</v>
      </c>
      <c r="B353" t="s">
        <v>2189</v>
      </c>
      <c r="C353" t="s">
        <v>2190</v>
      </c>
      <c r="D353">
        <v>4</v>
      </c>
      <c r="E353" t="s">
        <v>1447</v>
      </c>
      <c r="F353" t="s">
        <v>2191</v>
      </c>
      <c r="G353" t="s">
        <v>1741</v>
      </c>
      <c r="H353" t="s">
        <v>2348</v>
      </c>
      <c r="I353" t="s">
        <v>2279</v>
      </c>
      <c r="J353" t="s">
        <v>2279</v>
      </c>
      <c r="K353" t="s">
        <v>2279</v>
      </c>
      <c r="L353" t="s">
        <v>2279</v>
      </c>
      <c r="M353" t="s">
        <v>2279</v>
      </c>
      <c r="N353" t="s">
        <v>2279</v>
      </c>
      <c r="O353" s="190" t="str">
        <f>"["&amp;$C353&amp;"]["&amp;$D353&amp;"]["&amp;$F353&amp;"]"</f>
        <v>[S12_CompetentAuthoritiesAwareOfFraud][4][DetailsOfArrangementsAndProcedures]</v>
      </c>
    </row>
    <row r="354" spans="1:15" x14ac:dyDescent="0.3">
      <c r="A354" t="s">
        <v>2277</v>
      </c>
      <c r="B354" t="s">
        <v>2192</v>
      </c>
      <c r="C354" t="s">
        <v>2193</v>
      </c>
      <c r="D354">
        <v>1</v>
      </c>
      <c r="E354" t="s">
        <v>1447</v>
      </c>
      <c r="F354" t="s">
        <v>2194</v>
      </c>
      <c r="G354" t="s">
        <v>1748</v>
      </c>
      <c r="H354" t="s">
        <v>2279</v>
      </c>
      <c r="I354">
        <v>0</v>
      </c>
      <c r="J354" t="s">
        <v>2279</v>
      </c>
      <c r="K354" t="s">
        <v>2279</v>
      </c>
      <c r="L354" t="s">
        <v>2279</v>
      </c>
      <c r="M354" t="s">
        <v>2279</v>
      </c>
      <c r="N354" t="s">
        <v>2279</v>
      </c>
      <c r="O354" s="190" t="str">
        <f>"["&amp;$C354&amp;"]["&amp;$D354&amp;"]["&amp;$F354&amp;"]"</f>
        <v>[S12_InformationOnFraudActivities][1][NumberOfActivities]</v>
      </c>
    </row>
    <row r="355" spans="1:15" x14ac:dyDescent="0.3">
      <c r="A355" t="s">
        <v>2277</v>
      </c>
      <c r="B355" t="s">
        <v>2192</v>
      </c>
      <c r="C355" t="s">
        <v>2193</v>
      </c>
      <c r="D355">
        <v>2</v>
      </c>
      <c r="E355" t="s">
        <v>1447</v>
      </c>
      <c r="F355" t="s">
        <v>2194</v>
      </c>
      <c r="G355" t="s">
        <v>1748</v>
      </c>
      <c r="H355" t="s">
        <v>2279</v>
      </c>
      <c r="I355">
        <v>0</v>
      </c>
      <c r="J355" t="s">
        <v>2279</v>
      </c>
      <c r="K355" t="s">
        <v>2279</v>
      </c>
      <c r="L355" t="s">
        <v>2279</v>
      </c>
      <c r="M355" t="s">
        <v>2279</v>
      </c>
      <c r="N355" t="s">
        <v>2279</v>
      </c>
      <c r="O355" s="190" t="str">
        <f>"["&amp;$C355&amp;"]["&amp;$D355&amp;"]["&amp;$F355&amp;"]"</f>
        <v>[S12_InformationOnFraudActivities][2][NumberOfActivities]</v>
      </c>
    </row>
    <row r="356" spans="1:15" x14ac:dyDescent="0.3">
      <c r="A356" t="s">
        <v>2277</v>
      </c>
      <c r="B356" t="s">
        <v>2192</v>
      </c>
      <c r="C356" t="s">
        <v>2193</v>
      </c>
      <c r="D356">
        <v>3</v>
      </c>
      <c r="E356" t="s">
        <v>1447</v>
      </c>
      <c r="F356" t="s">
        <v>2194</v>
      </c>
      <c r="G356" t="s">
        <v>1748</v>
      </c>
      <c r="H356" t="s">
        <v>2279</v>
      </c>
      <c r="I356">
        <v>0</v>
      </c>
      <c r="J356" t="s">
        <v>2279</v>
      </c>
      <c r="K356" t="s">
        <v>2279</v>
      </c>
      <c r="L356" t="s">
        <v>2279</v>
      </c>
      <c r="M356" t="s">
        <v>2279</v>
      </c>
      <c r="N356" t="s">
        <v>2279</v>
      </c>
      <c r="O356" s="190" t="str">
        <f>"["&amp;$C356&amp;"]["&amp;$D356&amp;"]["&amp;$F356&amp;"]"</f>
        <v>[S12_InformationOnFraudActivities][3][NumberOfActivities]</v>
      </c>
    </row>
    <row r="357" spans="1:15" x14ac:dyDescent="0.3">
      <c r="A357" t="s">
        <v>2277</v>
      </c>
      <c r="B357" t="s">
        <v>2192</v>
      </c>
      <c r="C357" t="s">
        <v>2193</v>
      </c>
      <c r="D357">
        <v>4</v>
      </c>
      <c r="E357" t="s">
        <v>1447</v>
      </c>
      <c r="F357" t="s">
        <v>2194</v>
      </c>
      <c r="G357" t="s">
        <v>1748</v>
      </c>
      <c r="H357" t="s">
        <v>2279</v>
      </c>
      <c r="I357">
        <v>0</v>
      </c>
      <c r="J357" t="s">
        <v>2279</v>
      </c>
      <c r="K357" t="s">
        <v>2279</v>
      </c>
      <c r="L357" t="s">
        <v>2279</v>
      </c>
      <c r="M357" t="s">
        <v>2279</v>
      </c>
      <c r="N357" t="s">
        <v>2279</v>
      </c>
      <c r="O357" s="190" t="str">
        <f>"["&amp;$C357&amp;"]["&amp;$D357&amp;"]["&amp;$F357&amp;"]"</f>
        <v>[S12_InformationOnFraudActivities][4][NumberOfActivities]</v>
      </c>
    </row>
    <row r="358" spans="1:15" x14ac:dyDescent="0.3">
      <c r="A358" t="s">
        <v>2277</v>
      </c>
      <c r="B358" t="s">
        <v>2199</v>
      </c>
      <c r="C358" t="s">
        <v>2200</v>
      </c>
      <c r="D358">
        <v>0</v>
      </c>
      <c r="E358" t="s">
        <v>1447</v>
      </c>
      <c r="F358" t="s">
        <v>2200</v>
      </c>
      <c r="G358" t="s">
        <v>1759</v>
      </c>
      <c r="H358" t="s">
        <v>2279</v>
      </c>
      <c r="I358" t="s">
        <v>2279</v>
      </c>
      <c r="J358" t="s">
        <v>2279</v>
      </c>
      <c r="K358" t="s">
        <v>2279</v>
      </c>
      <c r="L358" t="s">
        <v>1419</v>
      </c>
      <c r="M358" t="s">
        <v>2279</v>
      </c>
      <c r="N358" t="s">
        <v>2279</v>
      </c>
      <c r="O358" s="190" t="str">
        <f>"["&amp;$C358&amp;"]["&amp;$D358&amp;"]["&amp;$F358&amp;"]"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06" t="s">
        <v>3</v>
      </c>
      <c r="B2" s="206"/>
      <c r="C2" s="206"/>
      <c r="D2" s="206"/>
      <c r="E2" s="206"/>
      <c r="F2" s="206"/>
      <c r="G2" s="206"/>
      <c r="H2" s="206"/>
      <c r="I2" s="206"/>
    </row>
    <row r="3" spans="1:9" ht="18.899999999999999" customHeight="1" x14ac:dyDescent="0.35">
      <c r="A3" s="180" t="s">
        <v>4</v>
      </c>
      <c r="B3" s="201" t="s">
        <v>5</v>
      </c>
      <c r="C3" s="202"/>
      <c r="D3" s="202"/>
      <c r="E3" s="202"/>
      <c r="F3" s="202"/>
      <c r="G3" s="202"/>
      <c r="H3" s="202"/>
      <c r="I3" s="202"/>
    </row>
    <row r="4" spans="1:9" ht="15" customHeight="1" x14ac:dyDescent="0.3">
      <c r="A4" s="56"/>
      <c r="B4" s="207" t="s">
        <v>6</v>
      </c>
      <c r="C4" s="208"/>
      <c r="D4" s="208"/>
      <c r="E4" s="208"/>
      <c r="F4" s="208"/>
      <c r="G4" s="208"/>
      <c r="H4" s="208"/>
      <c r="I4" s="208"/>
    </row>
    <row r="5" spans="1:9" ht="15" customHeight="1" x14ac:dyDescent="0.3">
      <c r="A5" s="60"/>
      <c r="B5" s="209" t="s">
        <v>7</v>
      </c>
      <c r="C5" s="208"/>
      <c r="D5" s="208"/>
      <c r="E5" s="208"/>
      <c r="F5" s="208"/>
      <c r="G5" s="208"/>
      <c r="H5" s="208"/>
      <c r="I5" s="208"/>
    </row>
    <row r="6" spans="1:9" ht="15" customHeight="1" x14ac:dyDescent="0.3">
      <c r="A6" s="175"/>
      <c r="B6" s="210"/>
      <c r="C6" s="211"/>
      <c r="D6" s="211"/>
      <c r="E6" s="211"/>
      <c r="F6" s="211"/>
      <c r="G6" s="211"/>
      <c r="H6" s="211"/>
      <c r="I6" s="211"/>
    </row>
    <row r="7" spans="1:9" ht="15" customHeight="1" x14ac:dyDescent="0.3">
      <c r="A7" s="60"/>
      <c r="B7" s="207" t="s">
        <v>0</v>
      </c>
      <c r="C7" s="208"/>
      <c r="D7" s="208"/>
      <c r="E7" s="208"/>
      <c r="F7" s="208"/>
      <c r="G7" s="208"/>
      <c r="H7" s="208"/>
      <c r="I7" s="208"/>
    </row>
    <row r="8" spans="1:9" ht="15" customHeight="1" x14ac:dyDescent="0.3">
      <c r="A8" s="2"/>
      <c r="B8" s="171" t="s">
        <v>8</v>
      </c>
      <c r="C8" s="209" t="s">
        <v>9</v>
      </c>
      <c r="D8" s="208"/>
      <c r="E8" s="208"/>
      <c r="F8" s="208"/>
      <c r="G8" s="208"/>
      <c r="H8" s="208"/>
      <c r="I8" s="208"/>
    </row>
    <row r="9" spans="1:9" ht="15" customHeight="1" x14ac:dyDescent="0.3">
      <c r="A9" s="175"/>
      <c r="B9" s="210"/>
      <c r="C9" s="211"/>
      <c r="D9" s="211"/>
      <c r="E9" s="211"/>
      <c r="F9" s="211"/>
      <c r="G9" s="211"/>
      <c r="H9" s="211"/>
      <c r="I9" s="21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14" t="s">
        <v>13</v>
      </c>
      <c r="C11" s="204"/>
      <c r="D11" s="204"/>
      <c r="E11" s="204"/>
      <c r="F11" s="204"/>
      <c r="G11" s="204"/>
      <c r="H11" s="204"/>
      <c r="I11" s="204"/>
    </row>
    <row r="12" spans="1:9" ht="15" customHeight="1" x14ac:dyDescent="0.3">
      <c r="A12" s="60"/>
      <c r="B12" s="213" t="s">
        <v>6</v>
      </c>
      <c r="C12" s="204"/>
      <c r="D12" s="204"/>
      <c r="E12" s="204"/>
      <c r="F12" s="204"/>
      <c r="G12" s="204"/>
      <c r="H12" s="204"/>
      <c r="I12" s="204"/>
    </row>
    <row r="13" spans="1:9" ht="26.1" customHeight="1" x14ac:dyDescent="0.3">
      <c r="A13" s="60"/>
      <c r="B13" s="212"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3" t="s">
        <v>0</v>
      </c>
      <c r="C15" s="204"/>
      <c r="D15" s="204"/>
      <c r="E15" s="204"/>
      <c r="F15" s="204"/>
      <c r="G15" s="204"/>
      <c r="H15" s="204"/>
      <c r="I15" s="204"/>
    </row>
    <row r="16" spans="1:9" ht="15" customHeight="1" x14ac:dyDescent="0.3">
      <c r="B16" s="171" t="s">
        <v>8</v>
      </c>
      <c r="C16" s="212" t="s">
        <v>15</v>
      </c>
      <c r="D16" s="204"/>
      <c r="E16" s="204"/>
      <c r="F16" s="204"/>
      <c r="G16" s="204"/>
      <c r="H16" s="204"/>
      <c r="I16" s="204"/>
    </row>
    <row r="17" spans="1:9" ht="15.6" customHeight="1" x14ac:dyDescent="0.3">
      <c r="B17" s="171" t="s">
        <v>8</v>
      </c>
      <c r="C17" s="212" t="s">
        <v>16</v>
      </c>
      <c r="D17" s="204"/>
      <c r="E17" s="204"/>
      <c r="F17" s="204"/>
      <c r="G17" s="204"/>
      <c r="H17" s="204"/>
      <c r="I17" s="204"/>
    </row>
    <row r="18" spans="1:9" ht="38.4" customHeight="1" x14ac:dyDescent="0.3">
      <c r="A18" s="175"/>
      <c r="B18" s="171" t="s">
        <v>8</v>
      </c>
      <c r="C18" s="212" t="s">
        <v>17</v>
      </c>
      <c r="D18" s="204"/>
      <c r="E18" s="204"/>
      <c r="F18" s="204"/>
      <c r="G18" s="204"/>
      <c r="H18" s="204"/>
      <c r="I18" s="204"/>
    </row>
    <row r="19" spans="1:9" ht="15" customHeight="1" x14ac:dyDescent="0.3">
      <c r="A19" s="3" t="s">
        <v>18</v>
      </c>
      <c r="B19" s="214" t="s">
        <v>19</v>
      </c>
      <c r="C19" s="204"/>
      <c r="D19" s="204"/>
      <c r="E19" s="204"/>
      <c r="F19" s="204"/>
      <c r="G19" s="204"/>
      <c r="H19" s="204"/>
      <c r="I19" s="204"/>
    </row>
    <row r="20" spans="1:9" ht="15" customHeight="1" x14ac:dyDescent="0.3">
      <c r="A20" s="60"/>
      <c r="B20" s="213" t="s">
        <v>6</v>
      </c>
      <c r="C20" s="204"/>
      <c r="D20" s="204"/>
      <c r="E20" s="204"/>
      <c r="F20" s="204"/>
      <c r="G20" s="204"/>
      <c r="H20" s="204"/>
      <c r="I20" s="204"/>
    </row>
    <row r="21" spans="1:9" ht="51.6" customHeight="1" x14ac:dyDescent="0.3">
      <c r="A21" s="60"/>
      <c r="B21" s="212" t="s">
        <v>20</v>
      </c>
      <c r="C21" s="204"/>
      <c r="D21" s="204"/>
      <c r="E21" s="204"/>
      <c r="F21" s="204"/>
      <c r="G21" s="204"/>
      <c r="H21" s="204"/>
      <c r="I21" s="204"/>
    </row>
    <row r="22" spans="1:9" ht="31.5" customHeight="1" x14ac:dyDescent="0.3">
      <c r="B22" s="171" t="s">
        <v>21</v>
      </c>
      <c r="C22" s="215" t="s">
        <v>22</v>
      </c>
      <c r="D22" s="216"/>
      <c r="E22" s="216"/>
      <c r="F22" s="216"/>
      <c r="G22" s="216"/>
      <c r="H22" s="216"/>
      <c r="I22" s="216"/>
    </row>
    <row r="23" spans="1:9" ht="29.1" customHeight="1" x14ac:dyDescent="0.3">
      <c r="B23" s="171" t="s">
        <v>23</v>
      </c>
      <c r="C23" s="215" t="s">
        <v>24</v>
      </c>
      <c r="D23" s="216"/>
      <c r="E23" s="216"/>
      <c r="F23" s="216"/>
      <c r="G23" s="216"/>
      <c r="H23" s="216"/>
      <c r="I23" s="216"/>
    </row>
    <row r="24" spans="1:9" ht="31.5" customHeight="1" x14ac:dyDescent="0.3">
      <c r="B24" s="171" t="s">
        <v>25</v>
      </c>
      <c r="C24" s="215" t="s">
        <v>26</v>
      </c>
      <c r="D24" s="216"/>
      <c r="E24" s="216"/>
      <c r="F24" s="216"/>
      <c r="G24" s="216"/>
      <c r="H24" s="216"/>
      <c r="I24" s="216"/>
    </row>
    <row r="25" spans="1:9" ht="30" customHeight="1" x14ac:dyDescent="0.3">
      <c r="B25" s="171" t="s">
        <v>27</v>
      </c>
      <c r="C25" s="215" t="s">
        <v>28</v>
      </c>
      <c r="D25" s="216"/>
      <c r="E25" s="216"/>
      <c r="F25" s="216"/>
      <c r="G25" s="216"/>
      <c r="H25" s="216"/>
      <c r="I25" s="216"/>
    </row>
    <row r="26" spans="1:9" ht="29.1" customHeight="1" x14ac:dyDescent="0.3">
      <c r="B26" s="171" t="s">
        <v>29</v>
      </c>
      <c r="C26" s="215" t="s">
        <v>30</v>
      </c>
      <c r="D26" s="216"/>
      <c r="E26" s="216"/>
      <c r="F26" s="216"/>
      <c r="G26" s="216"/>
      <c r="H26" s="216"/>
      <c r="I26" s="216"/>
    </row>
    <row r="27" spans="1:9" ht="33" customHeight="1" x14ac:dyDescent="0.3">
      <c r="A27" s="175"/>
      <c r="B27" s="188" t="s">
        <v>31</v>
      </c>
      <c r="C27" s="215" t="s">
        <v>32</v>
      </c>
      <c r="D27" s="216"/>
      <c r="E27" s="216"/>
      <c r="F27" s="216"/>
      <c r="G27" s="216"/>
      <c r="H27" s="216"/>
      <c r="I27" s="216"/>
    </row>
    <row r="28" spans="1:9" ht="15" customHeight="1" x14ac:dyDescent="0.3">
      <c r="A28" s="60"/>
      <c r="B28" s="213" t="s">
        <v>0</v>
      </c>
      <c r="C28" s="204"/>
      <c r="D28" s="204"/>
      <c r="E28" s="204"/>
      <c r="F28" s="204"/>
      <c r="G28" s="204"/>
      <c r="H28" s="204"/>
      <c r="I28" s="204"/>
    </row>
    <row r="29" spans="1:9" ht="15" customHeight="1" x14ac:dyDescent="0.3">
      <c r="B29" s="171" t="s">
        <v>8</v>
      </c>
      <c r="C29" s="212" t="s">
        <v>33</v>
      </c>
      <c r="D29" s="204"/>
      <c r="E29" s="204"/>
      <c r="F29" s="204"/>
      <c r="G29" s="204"/>
      <c r="H29" s="204"/>
      <c r="I29" s="204"/>
    </row>
    <row r="30" spans="1:9" ht="14.4" customHeight="1" x14ac:dyDescent="0.3">
      <c r="B30" s="171" t="s">
        <v>8</v>
      </c>
      <c r="C30" s="212" t="s">
        <v>34</v>
      </c>
      <c r="D30" s="204"/>
      <c r="E30" s="204"/>
      <c r="F30" s="204"/>
      <c r="G30" s="204"/>
      <c r="H30" s="204"/>
      <c r="I30" s="204"/>
    </row>
    <row r="31" spans="1:9" ht="15" customHeight="1" x14ac:dyDescent="0.3">
      <c r="B31" s="171" t="s">
        <v>8</v>
      </c>
      <c r="C31" s="212" t="s">
        <v>35</v>
      </c>
      <c r="D31" s="204"/>
      <c r="E31" s="204"/>
      <c r="F31" s="204"/>
      <c r="G31" s="204"/>
      <c r="H31" s="204"/>
      <c r="I31" s="204"/>
    </row>
    <row r="32" spans="1:9" ht="15" customHeight="1" x14ac:dyDescent="0.3">
      <c r="B32" s="171" t="s">
        <v>8</v>
      </c>
      <c r="C32" s="212" t="s">
        <v>36</v>
      </c>
      <c r="D32" s="204"/>
      <c r="E32" s="204"/>
      <c r="F32" s="204"/>
      <c r="G32" s="204"/>
      <c r="H32" s="204"/>
      <c r="I32" s="204"/>
    </row>
    <row r="33" spans="1:9" ht="15" customHeight="1" x14ac:dyDescent="0.3">
      <c r="A33" s="175"/>
      <c r="B33" s="220"/>
      <c r="C33" s="221"/>
      <c r="D33" s="221"/>
      <c r="E33" s="221"/>
      <c r="F33" s="221"/>
      <c r="G33" s="221"/>
      <c r="H33" s="221"/>
      <c r="I33" s="221"/>
    </row>
    <row r="34" spans="1:9" ht="15" customHeight="1" x14ac:dyDescent="0.3">
      <c r="A34" s="60"/>
      <c r="B34" s="212" t="s">
        <v>37</v>
      </c>
      <c r="C34" s="204"/>
      <c r="D34" s="204"/>
      <c r="E34" s="204"/>
      <c r="F34" s="204"/>
      <c r="G34" s="204"/>
      <c r="H34" s="204"/>
      <c r="I34" s="204"/>
    </row>
    <row r="35" spans="1:9" ht="15" customHeight="1" x14ac:dyDescent="0.3">
      <c r="A35" s="175"/>
      <c r="B35" s="173"/>
      <c r="C35" s="217" t="s">
        <v>38</v>
      </c>
      <c r="D35" s="218"/>
      <c r="E35" s="219"/>
      <c r="F35" s="217" t="s">
        <v>39</v>
      </c>
      <c r="G35" s="218"/>
      <c r="H35" s="218"/>
      <c r="I35" s="219"/>
    </row>
    <row r="36" spans="1:9" ht="26.1" customHeight="1" x14ac:dyDescent="0.3">
      <c r="A36" s="175"/>
      <c r="B36" s="173"/>
      <c r="C36" s="217" t="s">
        <v>40</v>
      </c>
      <c r="D36" s="218"/>
      <c r="E36" s="219"/>
      <c r="F36" s="217" t="s">
        <v>41</v>
      </c>
      <c r="G36" s="218"/>
      <c r="H36" s="218"/>
      <c r="I36" s="219"/>
    </row>
    <row r="37" spans="1:9" ht="26.1" customHeight="1" x14ac:dyDescent="0.3">
      <c r="A37" s="175"/>
      <c r="B37" s="173"/>
      <c r="C37" s="217" t="s">
        <v>42</v>
      </c>
      <c r="D37" s="218"/>
      <c r="E37" s="219"/>
      <c r="F37" s="217" t="s">
        <v>43</v>
      </c>
      <c r="G37" s="218"/>
      <c r="H37" s="218"/>
      <c r="I37" s="219"/>
    </row>
    <row r="38" spans="1:9" ht="15" customHeight="1" x14ac:dyDescent="0.3">
      <c r="A38" s="175"/>
      <c r="B38" s="173"/>
      <c r="C38" s="217" t="s">
        <v>44</v>
      </c>
      <c r="D38" s="218"/>
      <c r="E38" s="219"/>
      <c r="F38" s="217" t="s">
        <v>45</v>
      </c>
      <c r="G38" s="218"/>
      <c r="H38" s="218"/>
      <c r="I38" s="219"/>
    </row>
    <row r="39" spans="1:9" ht="51" customHeight="1" x14ac:dyDescent="0.3">
      <c r="A39" s="175"/>
      <c r="B39" s="173"/>
      <c r="C39" s="217" t="s">
        <v>46</v>
      </c>
      <c r="D39" s="218"/>
      <c r="E39" s="219"/>
      <c r="F39" s="217" t="s">
        <v>47</v>
      </c>
      <c r="G39" s="218"/>
      <c r="H39" s="218"/>
      <c r="I39" s="219"/>
    </row>
    <row r="40" spans="1:9" ht="12.9" customHeight="1" x14ac:dyDescent="0.3">
      <c r="A40" s="175"/>
      <c r="B40" s="173"/>
      <c r="C40" s="173"/>
      <c r="D40" s="173"/>
      <c r="E40" s="173"/>
      <c r="F40" s="173"/>
      <c r="G40" s="173"/>
      <c r="H40" s="173"/>
      <c r="I40" s="173"/>
    </row>
    <row r="41" spans="1:9" ht="15" customHeight="1" x14ac:dyDescent="0.3">
      <c r="A41" s="3" t="s">
        <v>48</v>
      </c>
      <c r="B41" s="214" t="s">
        <v>49</v>
      </c>
      <c r="C41" s="204"/>
      <c r="D41" s="204"/>
      <c r="E41" s="204"/>
      <c r="F41" s="204"/>
      <c r="G41" s="204"/>
      <c r="H41" s="204"/>
      <c r="I41" s="204"/>
    </row>
    <row r="42" spans="1:9" ht="15" customHeight="1" x14ac:dyDescent="0.3">
      <c r="A42" s="60"/>
      <c r="B42" s="213" t="s">
        <v>6</v>
      </c>
      <c r="C42" s="204"/>
      <c r="D42" s="204"/>
      <c r="E42" s="204"/>
      <c r="F42" s="204"/>
      <c r="G42" s="204"/>
      <c r="H42" s="204"/>
      <c r="I42" s="204"/>
    </row>
    <row r="43" spans="1:9" ht="51" customHeight="1" x14ac:dyDescent="0.3">
      <c r="A43" s="60"/>
      <c r="B43" s="212" t="s">
        <v>50</v>
      </c>
      <c r="C43" s="204"/>
      <c r="D43" s="204"/>
      <c r="E43" s="204"/>
      <c r="F43" s="204"/>
      <c r="G43" s="204"/>
      <c r="H43" s="204"/>
      <c r="I43" s="204"/>
    </row>
    <row r="44" spans="1:9" ht="26.1" customHeight="1" x14ac:dyDescent="0.3">
      <c r="A44" s="60"/>
      <c r="B44" s="212" t="s">
        <v>51</v>
      </c>
      <c r="C44" s="204"/>
      <c r="D44" s="204"/>
      <c r="E44" s="204"/>
      <c r="F44" s="204"/>
      <c r="G44" s="204"/>
      <c r="H44" s="204"/>
      <c r="I44" s="204"/>
    </row>
    <row r="45" spans="1:9" ht="15" customHeight="1" x14ac:dyDescent="0.3">
      <c r="A45" s="175"/>
      <c r="B45" s="220"/>
      <c r="C45" s="221"/>
      <c r="D45" s="221"/>
      <c r="E45" s="221"/>
      <c r="F45" s="221"/>
      <c r="G45" s="221"/>
      <c r="H45" s="221"/>
      <c r="I45" s="221"/>
    </row>
    <row r="46" spans="1:9" ht="15" customHeight="1" x14ac:dyDescent="0.3">
      <c r="A46" s="60"/>
      <c r="B46" s="213" t="s">
        <v>0</v>
      </c>
      <c r="C46" s="204"/>
      <c r="D46" s="204"/>
      <c r="E46" s="204"/>
      <c r="F46" s="204"/>
      <c r="G46" s="204"/>
      <c r="H46" s="204"/>
      <c r="I46" s="204"/>
    </row>
    <row r="47" spans="1:9" ht="26.1" customHeight="1" x14ac:dyDescent="0.3">
      <c r="B47" s="171" t="s">
        <v>8</v>
      </c>
      <c r="C47" s="212" t="s">
        <v>52</v>
      </c>
      <c r="D47" s="204"/>
      <c r="E47" s="204"/>
      <c r="F47" s="204"/>
      <c r="G47" s="204"/>
      <c r="H47" s="204"/>
      <c r="I47" s="204"/>
    </row>
    <row r="48" spans="1:9" ht="15" customHeight="1" x14ac:dyDescent="0.3">
      <c r="B48" s="171" t="s">
        <v>8</v>
      </c>
      <c r="C48" s="212" t="s">
        <v>53</v>
      </c>
      <c r="D48" s="204"/>
      <c r="E48" s="204"/>
      <c r="F48" s="204"/>
      <c r="G48" s="204"/>
      <c r="H48" s="204"/>
      <c r="I48" s="204"/>
    </row>
    <row r="49" spans="1:9" ht="15" customHeight="1" x14ac:dyDescent="0.3">
      <c r="B49" s="171" t="s">
        <v>8</v>
      </c>
      <c r="C49" s="212" t="s">
        <v>54</v>
      </c>
      <c r="D49" s="204"/>
      <c r="E49" s="204"/>
      <c r="F49" s="204"/>
      <c r="G49" s="204"/>
      <c r="H49" s="204"/>
      <c r="I49" s="204"/>
    </row>
    <row r="50" spans="1:9" ht="15" customHeight="1" x14ac:dyDescent="0.3">
      <c r="A50" s="175"/>
      <c r="B50" s="220"/>
      <c r="C50" s="221"/>
      <c r="D50" s="221"/>
      <c r="E50" s="221"/>
      <c r="F50" s="221"/>
      <c r="G50" s="221"/>
      <c r="H50" s="221"/>
      <c r="I50" s="221"/>
    </row>
    <row r="51" spans="1:9" ht="15" customHeight="1" x14ac:dyDescent="0.3">
      <c r="A51" s="60"/>
      <c r="B51" s="212" t="s">
        <v>55</v>
      </c>
      <c r="C51" s="204"/>
      <c r="D51" s="204"/>
      <c r="E51" s="204"/>
      <c r="F51" s="204"/>
      <c r="G51" s="204"/>
      <c r="H51" s="204"/>
      <c r="I51" s="204"/>
    </row>
    <row r="52" spans="1:9" ht="15" customHeight="1" x14ac:dyDescent="0.3">
      <c r="A52" s="175"/>
      <c r="B52" s="173"/>
      <c r="C52" s="217" t="s">
        <v>38</v>
      </c>
      <c r="D52" s="218"/>
      <c r="E52" s="218"/>
      <c r="F52" s="219"/>
      <c r="G52" s="217" t="s">
        <v>39</v>
      </c>
      <c r="H52" s="218"/>
      <c r="I52" s="219"/>
    </row>
    <row r="53" spans="1:9" ht="66.599999999999994" customHeight="1" x14ac:dyDescent="0.3">
      <c r="A53" s="175"/>
      <c r="B53" s="173"/>
      <c r="C53" s="217" t="s">
        <v>56</v>
      </c>
      <c r="D53" s="218"/>
      <c r="E53" s="218"/>
      <c r="F53" s="219"/>
      <c r="G53" s="217" t="s">
        <v>57</v>
      </c>
      <c r="H53" s="218"/>
      <c r="I53" s="219"/>
    </row>
    <row r="54" spans="1:9" ht="90.6" customHeight="1" x14ac:dyDescent="0.3">
      <c r="A54" s="175"/>
      <c r="B54" s="173"/>
      <c r="C54" s="217" t="s">
        <v>58</v>
      </c>
      <c r="D54" s="218"/>
      <c r="E54" s="218"/>
      <c r="F54" s="219"/>
      <c r="G54" s="217" t="s">
        <v>59</v>
      </c>
      <c r="H54" s="218"/>
      <c r="I54" s="219"/>
    </row>
    <row r="55" spans="1:9" ht="42.6" customHeight="1" x14ac:dyDescent="0.3">
      <c r="A55" s="175"/>
      <c r="B55" s="173"/>
      <c r="C55" s="217" t="s">
        <v>60</v>
      </c>
      <c r="D55" s="218"/>
      <c r="E55" s="218"/>
      <c r="F55" s="219"/>
      <c r="G55" s="217" t="s">
        <v>61</v>
      </c>
      <c r="H55" s="218"/>
      <c r="I55" s="219"/>
    </row>
    <row r="56" spans="1:9" ht="39" customHeight="1" x14ac:dyDescent="0.3">
      <c r="A56" s="175"/>
      <c r="B56" s="173"/>
      <c r="C56" s="217" t="s">
        <v>62</v>
      </c>
      <c r="D56" s="218"/>
      <c r="E56" s="218"/>
      <c r="F56" s="219"/>
      <c r="G56" s="217" t="s">
        <v>63</v>
      </c>
      <c r="H56" s="218"/>
      <c r="I56" s="219"/>
    </row>
    <row r="57" spans="1:9" ht="40.5" customHeight="1" x14ac:dyDescent="0.3">
      <c r="A57" s="175"/>
      <c r="B57" s="173"/>
      <c r="C57" s="217" t="s">
        <v>64</v>
      </c>
      <c r="D57" s="218"/>
      <c r="E57" s="218"/>
      <c r="F57" s="219"/>
      <c r="G57" s="217" t="s">
        <v>65</v>
      </c>
      <c r="H57" s="218"/>
      <c r="I57" s="219"/>
    </row>
    <row r="58" spans="1:9" ht="12.9" customHeight="1" x14ac:dyDescent="0.3">
      <c r="A58" s="175"/>
      <c r="B58" s="173"/>
      <c r="D58" s="170"/>
      <c r="E58" s="170"/>
      <c r="F58" s="170"/>
      <c r="H58" s="170"/>
      <c r="I58" s="170"/>
    </row>
    <row r="59" spans="1:9" ht="15" customHeight="1" x14ac:dyDescent="0.3">
      <c r="A59" s="3" t="s">
        <v>66</v>
      </c>
      <c r="B59" s="214" t="s">
        <v>67</v>
      </c>
      <c r="C59" s="204"/>
      <c r="D59" s="204"/>
      <c r="E59" s="204"/>
      <c r="F59" s="204"/>
      <c r="G59" s="204"/>
      <c r="H59" s="204"/>
      <c r="I59" s="204"/>
    </row>
    <row r="60" spans="1:9" ht="15" customHeight="1" x14ac:dyDescent="0.3">
      <c r="A60" s="3"/>
      <c r="B60" s="213" t="s">
        <v>6</v>
      </c>
      <c r="C60" s="204"/>
      <c r="D60" s="204"/>
      <c r="E60" s="204"/>
      <c r="F60" s="204"/>
      <c r="G60" s="204"/>
      <c r="H60" s="204"/>
      <c r="I60" s="204"/>
    </row>
    <row r="61" spans="1:9" ht="26.1" customHeight="1" x14ac:dyDescent="0.3">
      <c r="A61" s="60"/>
      <c r="B61" s="212" t="s">
        <v>68</v>
      </c>
      <c r="C61" s="204"/>
      <c r="D61" s="204"/>
      <c r="E61" s="204"/>
      <c r="F61" s="204"/>
      <c r="G61" s="204"/>
      <c r="H61" s="204"/>
      <c r="I61" s="204"/>
    </row>
    <row r="62" spans="1:9" ht="15" customHeight="1" x14ac:dyDescent="0.3">
      <c r="A62" s="175"/>
      <c r="B62" s="220"/>
      <c r="C62" s="221"/>
      <c r="D62" s="221"/>
      <c r="E62" s="221"/>
      <c r="F62" s="221"/>
      <c r="G62" s="221"/>
      <c r="H62" s="221"/>
      <c r="I62" s="221"/>
    </row>
    <row r="63" spans="1:9" ht="15" customHeight="1" x14ac:dyDescent="0.3">
      <c r="A63" s="60"/>
      <c r="B63" s="213" t="s">
        <v>0</v>
      </c>
      <c r="C63" s="204"/>
      <c r="D63" s="204"/>
      <c r="E63" s="204"/>
      <c r="F63" s="204"/>
      <c r="G63" s="204"/>
      <c r="H63" s="204"/>
      <c r="I63" s="204"/>
    </row>
    <row r="64" spans="1:9" ht="15" customHeight="1" x14ac:dyDescent="0.3">
      <c r="B64" s="171" t="s">
        <v>8</v>
      </c>
      <c r="C64" s="212" t="s">
        <v>69</v>
      </c>
      <c r="D64" s="204"/>
      <c r="E64" s="204"/>
      <c r="F64" s="204"/>
      <c r="G64" s="204"/>
      <c r="H64" s="204"/>
      <c r="I64" s="204"/>
    </row>
    <row r="65" spans="1:9" ht="15" customHeight="1" x14ac:dyDescent="0.3">
      <c r="B65" s="171" t="s">
        <v>8</v>
      </c>
      <c r="C65" s="212"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14"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14" t="s">
        <v>76</v>
      </c>
      <c r="C71" s="204"/>
      <c r="D71" s="204"/>
      <c r="E71" s="204"/>
      <c r="F71" s="204"/>
      <c r="G71" s="204"/>
      <c r="H71" s="204"/>
      <c r="I71" s="204"/>
    </row>
    <row r="72" spans="1:9" ht="14.4" x14ac:dyDescent="0.3">
      <c r="A72" s="3"/>
      <c r="B72" s="213" t="s">
        <v>6</v>
      </c>
      <c r="C72" s="204"/>
      <c r="D72" s="204"/>
      <c r="E72" s="204"/>
      <c r="F72" s="204"/>
      <c r="G72" s="204"/>
      <c r="H72" s="204"/>
      <c r="I72" s="204"/>
    </row>
    <row r="73" spans="1:9" ht="30" customHeight="1" x14ac:dyDescent="0.3">
      <c r="A73" s="60"/>
      <c r="B73" s="212" t="s">
        <v>77</v>
      </c>
      <c r="C73" s="204"/>
      <c r="D73" s="204"/>
      <c r="E73" s="204"/>
      <c r="F73" s="204"/>
      <c r="G73" s="204"/>
      <c r="H73" s="204"/>
      <c r="I73" s="204"/>
    </row>
    <row r="74" spans="1:9" ht="14.4" x14ac:dyDescent="0.3">
      <c r="A74" s="175"/>
      <c r="B74" s="220"/>
      <c r="C74" s="221"/>
      <c r="D74" s="221"/>
      <c r="E74" s="221"/>
      <c r="F74" s="221"/>
      <c r="G74" s="221"/>
      <c r="H74" s="221"/>
      <c r="I74" s="221"/>
    </row>
    <row r="75" spans="1:9" ht="14.4" x14ac:dyDescent="0.3">
      <c r="A75" s="60"/>
      <c r="B75" s="213" t="s">
        <v>0</v>
      </c>
      <c r="C75" s="204"/>
      <c r="D75" s="204"/>
      <c r="E75" s="204"/>
      <c r="F75" s="204"/>
      <c r="G75" s="204"/>
      <c r="H75" s="204"/>
      <c r="I75" s="204"/>
    </row>
    <row r="76" spans="1:9" ht="27" customHeight="1" x14ac:dyDescent="0.3">
      <c r="B76" s="171" t="s">
        <v>8</v>
      </c>
      <c r="C76" s="212" t="s">
        <v>78</v>
      </c>
      <c r="D76" s="204"/>
      <c r="E76" s="204"/>
      <c r="F76" s="204"/>
      <c r="G76" s="204"/>
      <c r="H76" s="204"/>
      <c r="I76" s="204"/>
    </row>
    <row r="77" spans="1:9" ht="54" customHeight="1" x14ac:dyDescent="0.3">
      <c r="B77" s="171" t="s">
        <v>8</v>
      </c>
      <c r="C77" s="212" t="s">
        <v>79</v>
      </c>
      <c r="D77" s="204"/>
      <c r="E77" s="204"/>
      <c r="F77" s="204"/>
      <c r="G77" s="204"/>
      <c r="H77" s="204"/>
      <c r="I77" s="204"/>
    </row>
    <row r="79" spans="1:9" ht="14.4" x14ac:dyDescent="0.3">
      <c r="A79" s="183" t="s">
        <v>80</v>
      </c>
      <c r="B79" s="214" t="s">
        <v>81</v>
      </c>
      <c r="C79" s="204"/>
      <c r="D79" s="204"/>
      <c r="E79" s="204"/>
      <c r="F79" s="204"/>
      <c r="G79" s="204"/>
      <c r="H79" s="204"/>
      <c r="I79" s="204"/>
    </row>
    <row r="80" spans="1:9" ht="14.4" x14ac:dyDescent="0.3">
      <c r="A80" s="3"/>
      <c r="B80" s="213" t="s">
        <v>6</v>
      </c>
      <c r="C80" s="204"/>
      <c r="D80" s="204"/>
      <c r="E80" s="204"/>
      <c r="F80" s="204"/>
      <c r="G80" s="204"/>
      <c r="H80" s="204"/>
      <c r="I80" s="204"/>
    </row>
    <row r="81" spans="1:9" ht="12.6" customHeight="1" x14ac:dyDescent="0.3">
      <c r="A81" s="60"/>
      <c r="B81" s="212" t="s">
        <v>82</v>
      </c>
      <c r="C81" s="204"/>
      <c r="D81" s="204"/>
      <c r="E81" s="204"/>
      <c r="F81" s="204"/>
      <c r="G81" s="204"/>
      <c r="H81" s="204"/>
      <c r="I81" s="204"/>
    </row>
    <row r="82" spans="1:9" ht="45" customHeight="1" x14ac:dyDescent="0.3">
      <c r="A82" s="60"/>
      <c r="B82" s="222" t="s">
        <v>83</v>
      </c>
      <c r="C82" s="223"/>
      <c r="D82" s="223"/>
      <c r="E82" s="223"/>
      <c r="F82" s="223"/>
      <c r="G82" s="223"/>
      <c r="H82" s="223"/>
      <c r="I82" s="223"/>
    </row>
    <row r="83" spans="1:9" ht="12.9" customHeight="1" x14ac:dyDescent="0.3">
      <c r="A83" s="60"/>
      <c r="B83" s="212" t="s">
        <v>84</v>
      </c>
      <c r="C83" s="204"/>
      <c r="D83" s="204"/>
      <c r="E83" s="204"/>
      <c r="F83" s="204"/>
      <c r="G83" s="204"/>
      <c r="H83" s="204"/>
      <c r="I83" s="204"/>
    </row>
    <row r="84" spans="1:9" ht="12.9" customHeight="1" x14ac:dyDescent="0.3">
      <c r="A84" s="60"/>
      <c r="B84" s="212"/>
      <c r="C84" s="204"/>
      <c r="D84" s="204"/>
      <c r="E84" s="204"/>
      <c r="F84" s="204"/>
      <c r="G84" s="204"/>
      <c r="H84" s="204"/>
      <c r="I84" s="204"/>
    </row>
    <row r="85" spans="1:9" ht="15.6" customHeight="1" x14ac:dyDescent="0.3">
      <c r="A85" s="60"/>
      <c r="B85" s="212" t="s">
        <v>85</v>
      </c>
      <c r="C85" s="212"/>
      <c r="D85" s="212"/>
      <c r="E85" s="212"/>
      <c r="F85" s="212"/>
      <c r="G85" s="212"/>
      <c r="H85" s="212"/>
      <c r="I85" s="212"/>
    </row>
    <row r="86" spans="1:9" ht="36" customHeight="1" x14ac:dyDescent="0.3">
      <c r="A86" s="175"/>
      <c r="B86" s="222" t="s">
        <v>86</v>
      </c>
      <c r="C86" s="223"/>
      <c r="D86" s="223"/>
      <c r="E86" s="223"/>
      <c r="F86" s="223"/>
      <c r="G86" s="223"/>
      <c r="H86" s="223"/>
      <c r="I86" s="223"/>
    </row>
    <row r="87" spans="1:9" ht="27" customHeight="1" x14ac:dyDescent="0.3">
      <c r="A87" s="175"/>
      <c r="B87" s="220" t="s">
        <v>87</v>
      </c>
      <c r="C87" s="221"/>
      <c r="D87" s="221"/>
      <c r="E87" s="221"/>
      <c r="F87" s="221"/>
      <c r="G87" s="221"/>
      <c r="H87" s="221"/>
      <c r="I87" s="221"/>
    </row>
    <row r="88" spans="1:9" ht="12.9" customHeight="1" x14ac:dyDescent="0.3">
      <c r="A88" s="175"/>
      <c r="B88" s="173"/>
      <c r="C88" s="173"/>
      <c r="D88" s="173"/>
      <c r="E88" s="173"/>
      <c r="F88" s="173"/>
      <c r="G88" s="173"/>
      <c r="H88" s="173"/>
      <c r="I88" s="173"/>
    </row>
    <row r="89" spans="1:9" ht="12.9" customHeight="1" x14ac:dyDescent="0.3">
      <c r="A89" s="175"/>
      <c r="B89" s="212"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24" t="s">
        <v>90</v>
      </c>
      <c r="D91" s="224"/>
      <c r="E91" s="224"/>
      <c r="F91" s="174"/>
      <c r="G91" s="174"/>
      <c r="H91" s="174"/>
      <c r="I91" s="174"/>
    </row>
    <row r="92" spans="1:9" ht="12.9" customHeight="1" x14ac:dyDescent="0.3">
      <c r="A92" s="175"/>
      <c r="B92" s="173"/>
      <c r="C92" s="174"/>
      <c r="D92" s="174"/>
      <c r="E92" s="174"/>
      <c r="F92" s="174"/>
      <c r="G92" s="174"/>
      <c r="H92" s="174"/>
      <c r="I92" s="174"/>
    </row>
    <row r="93" spans="1:9" x14ac:dyDescent="0.3">
      <c r="A93" s="60"/>
      <c r="B93" s="213" t="s">
        <v>0</v>
      </c>
      <c r="C93" s="213"/>
      <c r="D93" s="213"/>
      <c r="E93" s="213"/>
      <c r="F93" s="213"/>
      <c r="G93" s="213"/>
      <c r="H93" s="213"/>
      <c r="I93" s="213"/>
    </row>
    <row r="94" spans="1:9" ht="14.4" x14ac:dyDescent="0.3">
      <c r="B94" s="171" t="s">
        <v>8</v>
      </c>
      <c r="C94" s="212" t="s">
        <v>91</v>
      </c>
      <c r="D94" s="204"/>
      <c r="E94" s="204"/>
      <c r="F94" s="204"/>
      <c r="G94" s="204"/>
      <c r="H94" s="204"/>
      <c r="I94" s="204"/>
    </row>
    <row r="95" spans="1:9" ht="26.4" customHeight="1" x14ac:dyDescent="0.3">
      <c r="B95" s="171" t="s">
        <v>8</v>
      </c>
      <c r="C95" s="212" t="s">
        <v>92</v>
      </c>
      <c r="D95" s="204"/>
      <c r="E95" s="204"/>
      <c r="F95" s="204"/>
      <c r="G95" s="204"/>
      <c r="H95" s="204"/>
      <c r="I95" s="204"/>
    </row>
    <row r="96" spans="1:9" ht="27.6" customHeight="1" x14ac:dyDescent="0.3">
      <c r="B96" s="171" t="s">
        <v>8</v>
      </c>
      <c r="C96" s="212" t="s">
        <v>93</v>
      </c>
      <c r="D96" s="204"/>
      <c r="E96" s="204"/>
      <c r="F96" s="204"/>
      <c r="G96" s="204"/>
      <c r="H96" s="204"/>
      <c r="I96" s="204"/>
    </row>
    <row r="97" spans="1:9" ht="14.4" x14ac:dyDescent="0.3">
      <c r="B97" s="171" t="s">
        <v>8</v>
      </c>
      <c r="C97" s="212" t="s">
        <v>94</v>
      </c>
      <c r="D97" s="204"/>
      <c r="E97" s="204"/>
      <c r="F97" s="204"/>
      <c r="G97" s="204"/>
      <c r="H97" s="204"/>
      <c r="I97" s="204"/>
    </row>
    <row r="98" spans="1:9" ht="14.4" x14ac:dyDescent="0.3">
      <c r="B98" s="171" t="s">
        <v>8</v>
      </c>
      <c r="C98" s="212" t="s">
        <v>95</v>
      </c>
      <c r="D98" s="204"/>
      <c r="E98" s="204"/>
      <c r="F98" s="204"/>
      <c r="G98" s="204"/>
      <c r="H98" s="204"/>
      <c r="I98" s="204"/>
    </row>
    <row r="100" spans="1:9" ht="14.4" x14ac:dyDescent="0.3">
      <c r="A100" s="182" t="s">
        <v>96</v>
      </c>
      <c r="B100" s="214" t="s">
        <v>97</v>
      </c>
      <c r="C100" s="204"/>
      <c r="D100" s="204"/>
      <c r="E100" s="204"/>
      <c r="F100" s="204"/>
      <c r="G100" s="204"/>
      <c r="H100" s="204"/>
      <c r="I100" s="204"/>
    </row>
    <row r="102" spans="1:9" ht="14.4" x14ac:dyDescent="0.3">
      <c r="A102" s="183" t="s">
        <v>98</v>
      </c>
      <c r="B102" s="214" t="s">
        <v>99</v>
      </c>
      <c r="C102" s="204"/>
      <c r="D102" s="204"/>
      <c r="E102" s="204"/>
      <c r="F102" s="204"/>
      <c r="G102" s="204"/>
      <c r="H102" s="204"/>
      <c r="I102" s="204"/>
    </row>
    <row r="103" spans="1:9" ht="14.4" x14ac:dyDescent="0.3">
      <c r="A103" s="3"/>
      <c r="B103" s="213" t="s">
        <v>6</v>
      </c>
      <c r="C103" s="204"/>
      <c r="D103" s="204"/>
      <c r="E103" s="204"/>
      <c r="F103" s="204"/>
      <c r="G103" s="204"/>
      <c r="H103" s="204"/>
      <c r="I103" s="204"/>
    </row>
    <row r="104" spans="1:9" ht="29.1" customHeight="1" x14ac:dyDescent="0.3">
      <c r="A104" s="60"/>
      <c r="B104" s="212"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3" t="s">
        <v>0</v>
      </c>
      <c r="C106" s="213"/>
      <c r="D106" s="213"/>
      <c r="E106" s="213"/>
      <c r="F106" s="213"/>
      <c r="G106" s="213"/>
      <c r="H106" s="213"/>
      <c r="I106" s="213"/>
    </row>
    <row r="107" spans="1:9" ht="24.9" customHeight="1" x14ac:dyDescent="0.3">
      <c r="B107" s="171" t="s">
        <v>8</v>
      </c>
      <c r="C107" s="212" t="s">
        <v>101</v>
      </c>
      <c r="D107" s="204"/>
      <c r="E107" s="204"/>
      <c r="F107" s="204"/>
      <c r="G107" s="204"/>
      <c r="H107" s="204"/>
      <c r="I107" s="204"/>
    </row>
    <row r="108" spans="1:9" ht="14.4" x14ac:dyDescent="0.3">
      <c r="B108" s="171" t="s">
        <v>8</v>
      </c>
      <c r="C108" s="212" t="s">
        <v>102</v>
      </c>
      <c r="D108" s="204"/>
      <c r="E108" s="204"/>
      <c r="F108" s="204"/>
      <c r="G108" s="204"/>
      <c r="H108" s="204"/>
      <c r="I108" s="204"/>
    </row>
    <row r="109" spans="1:9" ht="30.9" customHeight="1" x14ac:dyDescent="0.3">
      <c r="B109" s="171" t="s">
        <v>8</v>
      </c>
      <c r="C109" s="212"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14" t="s">
        <v>107</v>
      </c>
      <c r="C112" s="204"/>
      <c r="D112" s="204"/>
      <c r="E112" s="204"/>
      <c r="F112" s="204"/>
      <c r="G112" s="204"/>
      <c r="H112" s="204"/>
      <c r="I112" s="204"/>
    </row>
    <row r="113" spans="1:9" ht="14.4" x14ac:dyDescent="0.3">
      <c r="A113" s="3"/>
      <c r="B113" s="213" t="s">
        <v>6</v>
      </c>
      <c r="C113" s="204"/>
      <c r="D113" s="204"/>
      <c r="E113" s="204"/>
      <c r="F113" s="204"/>
      <c r="G113" s="204"/>
      <c r="H113" s="204"/>
      <c r="I113" s="204"/>
    </row>
    <row r="114" spans="1:9" ht="55.5" customHeight="1" x14ac:dyDescent="0.3">
      <c r="A114" s="60"/>
      <c r="B114" s="212" t="s">
        <v>108</v>
      </c>
      <c r="C114" s="204"/>
      <c r="D114" s="204"/>
      <c r="E114" s="204"/>
      <c r="F114" s="204"/>
      <c r="G114" s="204"/>
      <c r="H114" s="204"/>
      <c r="I114" s="204"/>
    </row>
    <row r="115" spans="1:9" ht="14.4" x14ac:dyDescent="0.3">
      <c r="A115" s="175"/>
      <c r="B115" s="220"/>
      <c r="C115" s="221"/>
      <c r="D115" s="221"/>
      <c r="E115" s="221"/>
      <c r="F115" s="221"/>
      <c r="G115" s="221"/>
      <c r="H115" s="221"/>
      <c r="I115" s="221"/>
    </row>
    <row r="116" spans="1:9" ht="14.4" x14ac:dyDescent="0.3">
      <c r="A116" s="60"/>
      <c r="B116" s="213" t="s">
        <v>0</v>
      </c>
      <c r="C116" s="204"/>
      <c r="D116" s="204"/>
      <c r="E116" s="204"/>
      <c r="F116" s="204"/>
      <c r="G116" s="204"/>
      <c r="H116" s="204"/>
      <c r="I116" s="204"/>
    </row>
    <row r="117" spans="1:9" ht="14.4" x14ac:dyDescent="0.3">
      <c r="B117" s="171" t="s">
        <v>8</v>
      </c>
      <c r="C117" s="212" t="s">
        <v>15</v>
      </c>
      <c r="D117" s="204"/>
      <c r="E117" s="204"/>
      <c r="F117" s="204"/>
      <c r="G117" s="204"/>
      <c r="H117" s="204"/>
      <c r="I117" s="204"/>
    </row>
    <row r="118" spans="1:9" ht="14.4" x14ac:dyDescent="0.3">
      <c r="B118" s="171" t="s">
        <v>8</v>
      </c>
      <c r="C118" s="212" t="s">
        <v>109</v>
      </c>
      <c r="D118" s="204"/>
      <c r="E118" s="204"/>
      <c r="F118" s="204"/>
      <c r="G118" s="204"/>
      <c r="H118" s="204"/>
      <c r="I118" s="204"/>
    </row>
    <row r="120" spans="1:9" ht="14.4" x14ac:dyDescent="0.3">
      <c r="A120" s="60"/>
      <c r="B120" s="212" t="s">
        <v>110</v>
      </c>
      <c r="C120" s="204"/>
      <c r="D120" s="204"/>
      <c r="E120" s="204"/>
      <c r="F120" s="204"/>
      <c r="G120" s="204"/>
      <c r="H120" s="204"/>
      <c r="I120" s="204"/>
    </row>
    <row r="121" spans="1:9" ht="14.4" x14ac:dyDescent="0.3">
      <c r="A121" s="175"/>
      <c r="B121" s="173"/>
      <c r="C121" s="217" t="s">
        <v>38</v>
      </c>
      <c r="D121" s="218"/>
      <c r="E121" s="218"/>
      <c r="F121" s="219"/>
      <c r="G121" s="217" t="s">
        <v>39</v>
      </c>
      <c r="H121" s="218"/>
      <c r="I121" s="219"/>
    </row>
    <row r="122" spans="1:9" ht="28.5" customHeight="1" x14ac:dyDescent="0.3">
      <c r="A122" s="175"/>
      <c r="B122" s="173"/>
      <c r="C122" s="217" t="s">
        <v>111</v>
      </c>
      <c r="D122" s="218"/>
      <c r="E122" s="218"/>
      <c r="F122" s="219"/>
      <c r="G122" s="217" t="s">
        <v>112</v>
      </c>
      <c r="H122" s="218"/>
      <c r="I122" s="219"/>
    </row>
    <row r="123" spans="1:9" ht="53.4" customHeight="1" x14ac:dyDescent="0.3">
      <c r="A123" s="175"/>
      <c r="B123" s="173"/>
      <c r="C123" s="217" t="s">
        <v>113</v>
      </c>
      <c r="D123" s="218"/>
      <c r="E123" s="218"/>
      <c r="F123" s="219"/>
      <c r="G123" s="217" t="s">
        <v>114</v>
      </c>
      <c r="H123" s="218"/>
      <c r="I123" s="219"/>
    </row>
    <row r="124" spans="1:9" ht="28.5" customHeight="1" x14ac:dyDescent="0.3">
      <c r="A124" s="175"/>
      <c r="B124" s="173"/>
      <c r="C124" s="217" t="s">
        <v>115</v>
      </c>
      <c r="D124" s="218"/>
      <c r="E124" s="218"/>
      <c r="F124" s="219"/>
      <c r="G124" s="217" t="s">
        <v>116</v>
      </c>
      <c r="H124" s="218"/>
      <c r="I124" s="219"/>
    </row>
    <row r="125" spans="1:9" ht="27.6" customHeight="1" x14ac:dyDescent="0.3">
      <c r="A125" s="175"/>
      <c r="B125" s="173"/>
      <c r="C125" s="217" t="s">
        <v>117</v>
      </c>
      <c r="D125" s="218"/>
      <c r="E125" s="218"/>
      <c r="F125" s="219"/>
      <c r="G125" s="217" t="s">
        <v>118</v>
      </c>
      <c r="H125" s="218"/>
      <c r="I125" s="219"/>
    </row>
    <row r="126" spans="1:9" ht="27.9" customHeight="1" x14ac:dyDescent="0.3">
      <c r="A126" s="175"/>
      <c r="B126" s="173"/>
      <c r="C126" s="217" t="s">
        <v>119</v>
      </c>
      <c r="D126" s="218"/>
      <c r="E126" s="218"/>
      <c r="F126" s="219"/>
      <c r="G126" s="217" t="s">
        <v>120</v>
      </c>
      <c r="H126" s="218"/>
      <c r="I126" s="219"/>
    </row>
    <row r="127" spans="1:9" ht="65.099999999999994" customHeight="1" x14ac:dyDescent="0.3">
      <c r="C127" s="217" t="s">
        <v>121</v>
      </c>
      <c r="D127" s="218"/>
      <c r="E127" s="218"/>
      <c r="F127" s="219"/>
      <c r="G127" s="217" t="s">
        <v>122</v>
      </c>
      <c r="H127" s="218"/>
      <c r="I127" s="219"/>
    </row>
    <row r="129" spans="1:9" ht="14.4" x14ac:dyDescent="0.3">
      <c r="A129" s="183" t="s">
        <v>123</v>
      </c>
      <c r="B129" s="214" t="s">
        <v>124</v>
      </c>
      <c r="C129" s="204"/>
      <c r="D129" s="204"/>
      <c r="E129" s="204"/>
      <c r="F129" s="204"/>
      <c r="G129" s="204"/>
      <c r="H129" s="204"/>
      <c r="I129" s="204"/>
    </row>
    <row r="130" spans="1:9" ht="14.4" x14ac:dyDescent="0.3">
      <c r="A130" s="3"/>
      <c r="B130" s="213" t="s">
        <v>6</v>
      </c>
      <c r="C130" s="204"/>
      <c r="D130" s="204"/>
      <c r="E130" s="204"/>
      <c r="F130" s="204"/>
      <c r="G130" s="204"/>
      <c r="H130" s="204"/>
      <c r="I130" s="204"/>
    </row>
    <row r="131" spans="1:9" ht="93.9" customHeight="1" x14ac:dyDescent="0.3">
      <c r="A131" s="60"/>
      <c r="B131" s="212" t="s">
        <v>125</v>
      </c>
      <c r="C131" s="204"/>
      <c r="D131" s="204"/>
      <c r="E131" s="204"/>
      <c r="F131" s="204"/>
      <c r="G131" s="204"/>
      <c r="H131" s="204"/>
      <c r="I131" s="204"/>
    </row>
    <row r="132" spans="1:9" ht="14.4" x14ac:dyDescent="0.3">
      <c r="A132" s="175"/>
      <c r="B132" s="220"/>
      <c r="C132" s="221"/>
      <c r="D132" s="221"/>
      <c r="E132" s="221"/>
      <c r="F132" s="221"/>
      <c r="G132" s="221"/>
      <c r="H132" s="221"/>
      <c r="I132" s="221"/>
    </row>
    <row r="133" spans="1:9" ht="14.4" x14ac:dyDescent="0.3">
      <c r="A133" s="60"/>
      <c r="B133" s="213" t="s">
        <v>0</v>
      </c>
      <c r="C133" s="204"/>
      <c r="D133" s="204"/>
      <c r="E133" s="204"/>
      <c r="F133" s="204"/>
      <c r="G133" s="204"/>
      <c r="H133" s="204"/>
      <c r="I133" s="204"/>
    </row>
    <row r="134" spans="1:9" ht="14.4" x14ac:dyDescent="0.3">
      <c r="B134" s="171" t="s">
        <v>8</v>
      </c>
      <c r="C134" s="212" t="s">
        <v>126</v>
      </c>
      <c r="D134" s="204"/>
      <c r="E134" s="204"/>
      <c r="F134" s="204"/>
      <c r="G134" s="204"/>
      <c r="H134" s="204"/>
      <c r="I134" s="204"/>
    </row>
    <row r="135" spans="1:9" ht="29.1" customHeight="1" x14ac:dyDescent="0.3">
      <c r="B135" s="171" t="s">
        <v>8</v>
      </c>
      <c r="C135" s="212" t="s">
        <v>127</v>
      </c>
      <c r="D135" s="204"/>
      <c r="E135" s="204"/>
      <c r="F135" s="204"/>
      <c r="G135" s="204"/>
      <c r="H135" s="204"/>
      <c r="I135" s="204"/>
    </row>
    <row r="137" spans="1:9" ht="14.4" x14ac:dyDescent="0.3">
      <c r="A137" s="60"/>
      <c r="B137" s="212" t="s">
        <v>128</v>
      </c>
      <c r="C137" s="204"/>
      <c r="D137" s="204"/>
      <c r="E137" s="204"/>
      <c r="F137" s="204"/>
      <c r="G137" s="204"/>
      <c r="H137" s="204"/>
      <c r="I137" s="204"/>
    </row>
    <row r="138" spans="1:9" ht="14.4" x14ac:dyDescent="0.3">
      <c r="A138" s="175"/>
      <c r="B138" s="173"/>
      <c r="C138" s="217" t="s">
        <v>129</v>
      </c>
      <c r="D138" s="218"/>
      <c r="E138" s="218"/>
      <c r="F138" s="219"/>
      <c r="G138" s="217" t="s">
        <v>39</v>
      </c>
      <c r="H138" s="218"/>
      <c r="I138" s="219"/>
    </row>
    <row r="139" spans="1:9" ht="27.9" customHeight="1" x14ac:dyDescent="0.3">
      <c r="A139" s="175"/>
      <c r="B139" s="173"/>
      <c r="C139" s="217" t="s">
        <v>130</v>
      </c>
      <c r="D139" s="218"/>
      <c r="E139" s="218"/>
      <c r="F139" s="219"/>
      <c r="G139" s="217" t="s">
        <v>131</v>
      </c>
      <c r="H139" s="218"/>
      <c r="I139" s="219"/>
    </row>
    <row r="140" spans="1:9" ht="39.9" customHeight="1" x14ac:dyDescent="0.3">
      <c r="A140" s="175"/>
      <c r="B140" s="173"/>
      <c r="C140" s="217" t="s">
        <v>132</v>
      </c>
      <c r="D140" s="218"/>
      <c r="E140" s="218"/>
      <c r="F140" s="219"/>
      <c r="G140" s="217" t="s">
        <v>133</v>
      </c>
      <c r="H140" s="218"/>
      <c r="I140" s="219"/>
    </row>
    <row r="141" spans="1:9" ht="14.4" x14ac:dyDescent="0.3">
      <c r="A141" s="175"/>
      <c r="B141" s="173"/>
      <c r="C141" s="217" t="s">
        <v>134</v>
      </c>
      <c r="D141" s="218"/>
      <c r="E141" s="218"/>
      <c r="F141" s="219"/>
      <c r="G141" s="217" t="s">
        <v>135</v>
      </c>
      <c r="H141" s="218"/>
      <c r="I141" s="219"/>
    </row>
    <row r="142" spans="1:9" ht="27.6" customHeight="1" x14ac:dyDescent="0.3">
      <c r="A142" s="175"/>
      <c r="B142" s="173"/>
      <c r="C142" s="217" t="s">
        <v>136</v>
      </c>
      <c r="D142" s="218"/>
      <c r="E142" s="218"/>
      <c r="F142" s="219"/>
      <c r="G142" s="217" t="s">
        <v>137</v>
      </c>
      <c r="H142" s="218"/>
      <c r="I142" s="219"/>
    </row>
    <row r="143" spans="1:9" ht="29.4" customHeight="1" x14ac:dyDescent="0.3">
      <c r="A143" s="175"/>
      <c r="B143" s="173"/>
      <c r="C143" s="217" t="s">
        <v>138</v>
      </c>
      <c r="D143" s="218"/>
      <c r="E143" s="218"/>
      <c r="F143" s="219"/>
      <c r="G143" s="217" t="s">
        <v>139</v>
      </c>
      <c r="H143" s="218"/>
      <c r="I143" s="219"/>
    </row>
    <row r="144" spans="1:9" ht="29.1" customHeight="1" x14ac:dyDescent="0.3">
      <c r="C144" s="217" t="s">
        <v>140</v>
      </c>
      <c r="D144" s="218"/>
      <c r="E144" s="218"/>
      <c r="F144" s="219"/>
      <c r="G144" s="217" t="s">
        <v>141</v>
      </c>
      <c r="H144" s="218"/>
      <c r="I144" s="219"/>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14"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14" t="s">
        <v>147</v>
      </c>
      <c r="C150" s="204"/>
      <c r="D150" s="204"/>
      <c r="E150" s="204"/>
      <c r="F150" s="204"/>
      <c r="G150" s="204"/>
      <c r="H150" s="204"/>
      <c r="I150" s="204"/>
    </row>
    <row r="151" spans="1:9" ht="14.4" x14ac:dyDescent="0.3">
      <c r="A151" s="3"/>
      <c r="B151" s="213" t="s">
        <v>6</v>
      </c>
      <c r="C151" s="204"/>
      <c r="D151" s="204"/>
      <c r="E151" s="204"/>
      <c r="F151" s="204"/>
      <c r="G151" s="204"/>
      <c r="H151" s="204"/>
      <c r="I151" s="204"/>
    </row>
    <row r="152" spans="1:9" ht="53.4" customHeight="1" x14ac:dyDescent="0.3">
      <c r="A152" s="60"/>
      <c r="B152" s="212" t="s">
        <v>148</v>
      </c>
      <c r="C152" s="204"/>
      <c r="D152" s="204"/>
      <c r="E152" s="204"/>
      <c r="F152" s="204"/>
      <c r="G152" s="204"/>
      <c r="H152" s="204"/>
      <c r="I152" s="204"/>
    </row>
    <row r="153" spans="1:9" ht="14.4" x14ac:dyDescent="0.3">
      <c r="A153" s="175"/>
      <c r="B153" s="220"/>
      <c r="C153" s="221"/>
      <c r="D153" s="221"/>
      <c r="E153" s="221"/>
      <c r="F153" s="221"/>
      <c r="G153" s="221"/>
      <c r="H153" s="221"/>
      <c r="I153" s="221"/>
    </row>
    <row r="154" spans="1:9" ht="14.4" x14ac:dyDescent="0.3">
      <c r="A154" s="60"/>
      <c r="B154" s="213" t="s">
        <v>0</v>
      </c>
      <c r="C154" s="204"/>
      <c r="D154" s="204"/>
      <c r="E154" s="204"/>
      <c r="F154" s="204"/>
      <c r="G154" s="204"/>
      <c r="H154" s="204"/>
      <c r="I154" s="204"/>
    </row>
    <row r="155" spans="1:9" ht="14.4" x14ac:dyDescent="0.3">
      <c r="B155" s="171" t="s">
        <v>8</v>
      </c>
      <c r="C155" s="212" t="s">
        <v>149</v>
      </c>
      <c r="D155" s="204"/>
      <c r="E155" s="204"/>
      <c r="F155" s="204"/>
      <c r="G155" s="204"/>
      <c r="H155" s="204"/>
      <c r="I155" s="204"/>
    </row>
    <row r="156" spans="1:9" ht="14.4" x14ac:dyDescent="0.3">
      <c r="B156" s="171" t="s">
        <v>8</v>
      </c>
      <c r="C156" s="212" t="s">
        <v>150</v>
      </c>
      <c r="D156" s="204"/>
      <c r="E156" s="204"/>
      <c r="F156" s="204"/>
      <c r="G156" s="204"/>
      <c r="H156" s="204"/>
      <c r="I156" s="204"/>
    </row>
    <row r="157" spans="1:9" ht="14.4" x14ac:dyDescent="0.3">
      <c r="B157" s="171" t="s">
        <v>8</v>
      </c>
      <c r="C157" s="212" t="s">
        <v>151</v>
      </c>
      <c r="D157" s="204"/>
      <c r="E157" s="204"/>
      <c r="F157" s="204"/>
      <c r="G157" s="204"/>
      <c r="H157" s="204"/>
      <c r="I157" s="204"/>
    </row>
    <row r="158" spans="1:9" ht="14.4" customHeight="1" x14ac:dyDescent="0.3"/>
    <row r="159" spans="1:9" ht="14.4" x14ac:dyDescent="0.3">
      <c r="A159" s="183" t="s">
        <v>152</v>
      </c>
      <c r="B159" s="214" t="s">
        <v>153</v>
      </c>
      <c r="C159" s="204"/>
      <c r="D159" s="204"/>
      <c r="E159" s="204"/>
      <c r="F159" s="204"/>
      <c r="G159" s="204"/>
      <c r="H159" s="204"/>
      <c r="I159" s="204"/>
    </row>
    <row r="160" spans="1:9" ht="14.4" x14ac:dyDescent="0.3">
      <c r="A160" s="3"/>
      <c r="B160" s="213" t="s">
        <v>6</v>
      </c>
      <c r="C160" s="204"/>
      <c r="D160" s="204"/>
      <c r="E160" s="204"/>
      <c r="F160" s="204"/>
      <c r="G160" s="204"/>
      <c r="H160" s="204"/>
      <c r="I160" s="204"/>
    </row>
    <row r="161" spans="1:9" ht="29.1" customHeight="1" x14ac:dyDescent="0.3">
      <c r="A161" s="60"/>
      <c r="B161" s="212" t="s">
        <v>154</v>
      </c>
      <c r="C161" s="204"/>
      <c r="D161" s="204"/>
      <c r="E161" s="204"/>
      <c r="F161" s="204"/>
      <c r="G161" s="204"/>
      <c r="H161" s="204"/>
      <c r="I161" s="204"/>
    </row>
    <row r="162" spans="1:9" ht="14.4" x14ac:dyDescent="0.3">
      <c r="A162" s="175"/>
      <c r="B162" s="220"/>
      <c r="C162" s="221"/>
      <c r="D162" s="221"/>
      <c r="E162" s="221"/>
      <c r="F162" s="221"/>
      <c r="G162" s="221"/>
      <c r="H162" s="221"/>
      <c r="I162" s="221"/>
    </row>
    <row r="163" spans="1:9" ht="14.4" x14ac:dyDescent="0.3">
      <c r="A163" s="60"/>
      <c r="B163" s="213" t="s">
        <v>0</v>
      </c>
      <c r="C163" s="204"/>
      <c r="D163" s="204"/>
      <c r="E163" s="204"/>
      <c r="F163" s="204"/>
      <c r="G163" s="204"/>
      <c r="H163" s="204"/>
      <c r="I163" s="204"/>
    </row>
    <row r="164" spans="1:9" ht="14.4" x14ac:dyDescent="0.3">
      <c r="B164" s="171" t="s">
        <v>8</v>
      </c>
      <c r="C164" s="212" t="s">
        <v>149</v>
      </c>
      <c r="D164" s="204"/>
      <c r="E164" s="204"/>
      <c r="F164" s="204"/>
      <c r="G164" s="204"/>
      <c r="H164" s="204"/>
      <c r="I164" s="204"/>
    </row>
    <row r="165" spans="1:9" ht="14.4" x14ac:dyDescent="0.3">
      <c r="B165" s="171" t="s">
        <v>8</v>
      </c>
      <c r="C165" s="212" t="s">
        <v>155</v>
      </c>
      <c r="D165" s="204"/>
      <c r="E165" s="204"/>
      <c r="F165" s="204"/>
      <c r="G165" s="204"/>
      <c r="H165" s="204"/>
      <c r="I165" s="204"/>
    </row>
    <row r="167" spans="1:9" ht="14.4" x14ac:dyDescent="0.3">
      <c r="A167" s="60"/>
      <c r="B167" s="212" t="s">
        <v>156</v>
      </c>
      <c r="C167" s="204"/>
      <c r="D167" s="204"/>
      <c r="E167" s="204"/>
      <c r="F167" s="204"/>
      <c r="G167" s="204"/>
      <c r="H167" s="204"/>
      <c r="I167" s="204"/>
    </row>
    <row r="168" spans="1:9" ht="14.4" x14ac:dyDescent="0.3">
      <c r="A168" s="175"/>
      <c r="B168" s="173"/>
      <c r="C168" s="217" t="s">
        <v>157</v>
      </c>
      <c r="D168" s="218"/>
      <c r="E168" s="218"/>
      <c r="F168" s="219"/>
      <c r="G168" s="217" t="s">
        <v>39</v>
      </c>
      <c r="H168" s="218"/>
      <c r="I168" s="219"/>
    </row>
    <row r="169" spans="1:9" ht="41.1" customHeight="1" x14ac:dyDescent="0.3">
      <c r="A169" s="175"/>
      <c r="B169" s="173"/>
      <c r="C169" s="217" t="s">
        <v>158</v>
      </c>
      <c r="D169" s="218"/>
      <c r="E169" s="218"/>
      <c r="F169" s="219"/>
      <c r="G169" s="217" t="s">
        <v>159</v>
      </c>
      <c r="H169" s="218"/>
      <c r="I169" s="219"/>
    </row>
    <row r="170" spans="1:9" ht="14.4" x14ac:dyDescent="0.3">
      <c r="A170" s="175"/>
      <c r="B170" s="173"/>
      <c r="C170" s="217" t="s">
        <v>160</v>
      </c>
      <c r="D170" s="218"/>
      <c r="E170" s="218"/>
      <c r="F170" s="219"/>
      <c r="G170" s="225" t="s">
        <v>161</v>
      </c>
      <c r="H170" s="226"/>
      <c r="I170" s="227"/>
    </row>
    <row r="171" spans="1:9" ht="14.4" x14ac:dyDescent="0.3">
      <c r="A171" s="175"/>
      <c r="B171" s="173"/>
      <c r="C171" s="217" t="s">
        <v>162</v>
      </c>
      <c r="D171" s="218"/>
      <c r="E171" s="218"/>
      <c r="F171" s="219"/>
      <c r="G171" s="228"/>
      <c r="H171" s="204"/>
      <c r="I171" s="229"/>
    </row>
    <row r="172" spans="1:9" ht="24.6" customHeight="1" x14ac:dyDescent="0.3">
      <c r="A172" s="175"/>
      <c r="B172" s="173"/>
      <c r="C172" s="217" t="s">
        <v>163</v>
      </c>
      <c r="D172" s="218"/>
      <c r="E172" s="218"/>
      <c r="F172" s="219"/>
      <c r="G172" s="230"/>
      <c r="H172" s="231"/>
      <c r="I172" s="232"/>
    </row>
    <row r="173" spans="1:9" ht="27.9" customHeight="1" x14ac:dyDescent="0.3">
      <c r="A173" s="175"/>
      <c r="B173" s="173"/>
      <c r="C173" s="217" t="s">
        <v>164</v>
      </c>
      <c r="D173" s="218"/>
      <c r="E173" s="218"/>
      <c r="F173" s="219"/>
      <c r="G173" s="217" t="s">
        <v>165</v>
      </c>
      <c r="H173" s="218"/>
      <c r="I173" s="219"/>
    </row>
    <row r="174" spans="1:9" ht="42.6" customHeight="1" x14ac:dyDescent="0.3">
      <c r="C174" s="217" t="s">
        <v>166</v>
      </c>
      <c r="D174" s="218"/>
      <c r="E174" s="218"/>
      <c r="F174" s="219"/>
      <c r="G174" s="217" t="s">
        <v>167</v>
      </c>
      <c r="H174" s="218"/>
      <c r="I174" s="219"/>
    </row>
    <row r="176" spans="1:9" ht="30" customHeight="1" x14ac:dyDescent="0.3">
      <c r="B176" s="171" t="s">
        <v>89</v>
      </c>
      <c r="C176" s="215" t="s">
        <v>168</v>
      </c>
      <c r="D176" s="215"/>
      <c r="E176" s="215"/>
      <c r="F176" s="215"/>
      <c r="G176" s="215"/>
      <c r="H176" s="215"/>
      <c r="I176" s="215"/>
    </row>
    <row r="177" spans="1:9" ht="15" customHeight="1" x14ac:dyDescent="0.3">
      <c r="C177" s="170"/>
      <c r="D177" s="170"/>
      <c r="E177" s="170"/>
      <c r="F177" s="170"/>
      <c r="G177" s="170"/>
      <c r="H177" s="170"/>
      <c r="I177" s="170"/>
    </row>
    <row r="178" spans="1:9" ht="14.4" x14ac:dyDescent="0.3">
      <c r="A178" s="183" t="s">
        <v>169</v>
      </c>
      <c r="B178" s="214" t="s">
        <v>170</v>
      </c>
      <c r="C178" s="204"/>
      <c r="D178" s="204"/>
      <c r="E178" s="204"/>
      <c r="F178" s="204"/>
      <c r="G178" s="204"/>
      <c r="H178" s="204"/>
      <c r="I178" s="204"/>
    </row>
    <row r="179" spans="1:9" ht="14.4" x14ac:dyDescent="0.3">
      <c r="A179" s="3"/>
      <c r="B179" s="213" t="s">
        <v>6</v>
      </c>
      <c r="C179" s="204"/>
      <c r="D179" s="204"/>
      <c r="E179" s="204"/>
      <c r="F179" s="204"/>
      <c r="G179" s="204"/>
      <c r="H179" s="204"/>
      <c r="I179" s="204"/>
    </row>
    <row r="180" spans="1:9" ht="79.5" customHeight="1" x14ac:dyDescent="0.3">
      <c r="A180" s="60"/>
      <c r="B180" s="212" t="s">
        <v>171</v>
      </c>
      <c r="C180" s="204"/>
      <c r="D180" s="204"/>
      <c r="E180" s="204"/>
      <c r="F180" s="204"/>
      <c r="G180" s="204"/>
      <c r="H180" s="204"/>
      <c r="I180" s="204"/>
    </row>
    <row r="181" spans="1:9" ht="14.4" x14ac:dyDescent="0.3">
      <c r="A181" s="175"/>
      <c r="B181" s="220"/>
      <c r="C181" s="221"/>
      <c r="D181" s="221"/>
      <c r="E181" s="221"/>
      <c r="F181" s="221"/>
      <c r="G181" s="221"/>
      <c r="H181" s="221"/>
      <c r="I181" s="221"/>
    </row>
    <row r="182" spans="1:9" ht="14.4" customHeight="1" x14ac:dyDescent="0.3">
      <c r="A182" s="60"/>
      <c r="B182" s="213" t="s">
        <v>0</v>
      </c>
      <c r="C182" s="204"/>
      <c r="D182" s="204"/>
      <c r="E182" s="204"/>
      <c r="F182" s="204"/>
      <c r="G182" s="204"/>
      <c r="H182" s="204"/>
      <c r="I182" s="204"/>
    </row>
    <row r="183" spans="1:9" ht="14.4" x14ac:dyDescent="0.3">
      <c r="B183" s="171" t="s">
        <v>8</v>
      </c>
      <c r="C183" s="212" t="s">
        <v>70</v>
      </c>
      <c r="D183" s="204"/>
      <c r="E183" s="204"/>
      <c r="F183" s="204"/>
      <c r="G183" s="204"/>
      <c r="H183" s="204"/>
      <c r="I183" s="204"/>
    </row>
    <row r="184" spans="1:9" ht="14.4" x14ac:dyDescent="0.3">
      <c r="B184" s="171" t="s">
        <v>8</v>
      </c>
      <c r="C184" s="212" t="s">
        <v>172</v>
      </c>
      <c r="D184" s="204"/>
      <c r="E184" s="204"/>
      <c r="F184" s="204"/>
      <c r="G184" s="204"/>
      <c r="H184" s="204"/>
      <c r="I184" s="204"/>
    </row>
    <row r="185" spans="1:9" ht="24" customHeight="1" x14ac:dyDescent="0.3">
      <c r="B185" s="171" t="s">
        <v>8</v>
      </c>
      <c r="C185" s="212" t="s">
        <v>173</v>
      </c>
      <c r="D185" s="204"/>
      <c r="E185" s="204"/>
      <c r="F185" s="204"/>
      <c r="G185" s="204"/>
      <c r="H185" s="204"/>
      <c r="I185" s="204"/>
    </row>
    <row r="186" spans="1:9" ht="26.4" customHeight="1" x14ac:dyDescent="0.3">
      <c r="B186" s="171" t="s">
        <v>8</v>
      </c>
      <c r="C186" s="212" t="s">
        <v>174</v>
      </c>
      <c r="D186" s="204"/>
      <c r="E186" s="204"/>
      <c r="F186" s="204"/>
      <c r="G186" s="204"/>
      <c r="H186" s="204"/>
      <c r="I186" s="204"/>
    </row>
    <row r="187" spans="1:9" ht="27.6" customHeight="1" x14ac:dyDescent="0.3">
      <c r="B187" s="171" t="s">
        <v>8</v>
      </c>
      <c r="C187" s="212" t="s">
        <v>175</v>
      </c>
      <c r="D187" s="204"/>
      <c r="E187" s="204"/>
      <c r="F187" s="204"/>
      <c r="G187" s="204"/>
      <c r="H187" s="204"/>
      <c r="I187" s="204"/>
    </row>
    <row r="189" spans="1:9" ht="14.4" x14ac:dyDescent="0.3">
      <c r="A189" s="183" t="s">
        <v>176</v>
      </c>
      <c r="B189" s="214" t="s">
        <v>177</v>
      </c>
      <c r="C189" s="204"/>
      <c r="D189" s="204"/>
      <c r="E189" s="204"/>
      <c r="F189" s="204"/>
      <c r="G189" s="204"/>
      <c r="H189" s="204"/>
      <c r="I189" s="204"/>
    </row>
    <row r="190" spans="1:9" ht="14.4" x14ac:dyDescent="0.3">
      <c r="A190" s="3"/>
      <c r="B190" s="213" t="s">
        <v>6</v>
      </c>
      <c r="C190" s="204"/>
      <c r="D190" s="204"/>
      <c r="E190" s="204"/>
      <c r="F190" s="204"/>
      <c r="G190" s="204"/>
      <c r="H190" s="204"/>
      <c r="I190" s="204"/>
    </row>
    <row r="191" spans="1:9" ht="26.4" customHeight="1" x14ac:dyDescent="0.3">
      <c r="A191" s="60"/>
      <c r="B191" s="212" t="s">
        <v>178</v>
      </c>
      <c r="C191" s="204"/>
      <c r="D191" s="204"/>
      <c r="E191" s="204"/>
      <c r="F191" s="204"/>
      <c r="G191" s="204"/>
      <c r="H191" s="204"/>
      <c r="I191" s="204"/>
    </row>
    <row r="192" spans="1:9" ht="14.4" x14ac:dyDescent="0.3">
      <c r="A192" s="175"/>
      <c r="B192" s="220"/>
      <c r="C192" s="221"/>
      <c r="D192" s="221"/>
      <c r="E192" s="221"/>
      <c r="F192" s="221"/>
      <c r="G192" s="221"/>
      <c r="H192" s="221"/>
      <c r="I192" s="221"/>
    </row>
    <row r="193" spans="1:9" ht="14.4" x14ac:dyDescent="0.3">
      <c r="A193" s="60"/>
      <c r="B193" s="213" t="s">
        <v>0</v>
      </c>
      <c r="C193" s="204"/>
      <c r="D193" s="204"/>
      <c r="E193" s="204"/>
      <c r="F193" s="204"/>
      <c r="G193" s="204"/>
      <c r="H193" s="204"/>
      <c r="I193" s="204"/>
    </row>
    <row r="194" spans="1:9" ht="14.4" x14ac:dyDescent="0.3">
      <c r="B194" s="171" t="s">
        <v>8</v>
      </c>
      <c r="C194" s="212" t="s">
        <v>179</v>
      </c>
      <c r="D194" s="204"/>
      <c r="E194" s="204"/>
      <c r="F194" s="204"/>
      <c r="G194" s="204"/>
      <c r="H194" s="204"/>
      <c r="I194" s="204"/>
    </row>
    <row r="195" spans="1:9" ht="14.4" x14ac:dyDescent="0.3">
      <c r="B195" s="171" t="s">
        <v>8</v>
      </c>
      <c r="C195" s="212" t="s">
        <v>70</v>
      </c>
      <c r="D195" s="204"/>
      <c r="E195" s="204"/>
      <c r="F195" s="204"/>
      <c r="G195" s="204"/>
      <c r="H195" s="204"/>
      <c r="I195" s="204"/>
    </row>
    <row r="196" spans="1:9" ht="14.4" x14ac:dyDescent="0.3">
      <c r="B196" s="171" t="s">
        <v>8</v>
      </c>
      <c r="C196" s="212" t="s">
        <v>180</v>
      </c>
      <c r="D196" s="204"/>
      <c r="E196" s="204"/>
      <c r="F196" s="204"/>
      <c r="G196" s="204"/>
      <c r="H196" s="204"/>
      <c r="I196" s="204"/>
    </row>
    <row r="197" spans="1:9" ht="14.4" x14ac:dyDescent="0.3">
      <c r="B197" s="171" t="s">
        <v>8</v>
      </c>
      <c r="C197" s="212" t="s">
        <v>181</v>
      </c>
      <c r="D197" s="204"/>
      <c r="E197" s="204"/>
      <c r="F197" s="204"/>
      <c r="G197" s="204"/>
      <c r="H197" s="204"/>
      <c r="I197" s="204"/>
    </row>
    <row r="198" spans="1:9" ht="14.4" x14ac:dyDescent="0.3">
      <c r="C198" s="212"/>
      <c r="D198" s="204"/>
      <c r="E198" s="204"/>
      <c r="F198" s="204"/>
      <c r="G198" s="204"/>
      <c r="H198" s="204"/>
      <c r="I198" s="204"/>
    </row>
    <row r="199" spans="1:9" ht="14.4" x14ac:dyDescent="0.3">
      <c r="A199" s="182" t="s">
        <v>182</v>
      </c>
      <c r="B199" s="214"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14" t="s">
        <v>184</v>
      </c>
      <c r="C201" s="204"/>
      <c r="D201" s="204"/>
      <c r="E201" s="204"/>
      <c r="F201" s="204"/>
      <c r="G201" s="204"/>
      <c r="H201" s="204"/>
      <c r="I201" s="204"/>
    </row>
    <row r="202" spans="1:9" ht="14.4" x14ac:dyDescent="0.3">
      <c r="A202" s="3"/>
      <c r="B202" s="213" t="s">
        <v>6</v>
      </c>
      <c r="C202" s="204"/>
      <c r="D202" s="204"/>
      <c r="E202" s="204"/>
      <c r="F202" s="204"/>
      <c r="G202" s="204"/>
      <c r="H202" s="204"/>
      <c r="I202" s="204"/>
    </row>
    <row r="203" spans="1:9" ht="14.4" x14ac:dyDescent="0.3">
      <c r="A203" s="60"/>
      <c r="B203" s="212" t="s">
        <v>185</v>
      </c>
      <c r="C203" s="204"/>
      <c r="D203" s="204"/>
      <c r="E203" s="204"/>
      <c r="F203" s="204"/>
      <c r="G203" s="204"/>
      <c r="H203" s="204"/>
      <c r="I203" s="204"/>
    </row>
    <row r="204" spans="1:9" ht="56.1" customHeight="1" x14ac:dyDescent="0.3">
      <c r="A204" s="60"/>
      <c r="B204" s="222" t="s">
        <v>186</v>
      </c>
      <c r="C204" s="223"/>
      <c r="D204" s="223"/>
      <c r="E204" s="223"/>
      <c r="F204" s="223"/>
      <c r="G204" s="223"/>
      <c r="H204" s="223"/>
      <c r="I204" s="223"/>
    </row>
    <row r="205" spans="1:9" ht="10.95" customHeight="1" x14ac:dyDescent="0.3">
      <c r="A205" s="60"/>
      <c r="B205" s="184"/>
      <c r="C205" s="185"/>
      <c r="D205" s="185"/>
      <c r="E205" s="185"/>
      <c r="F205" s="185"/>
      <c r="G205" s="185"/>
      <c r="H205" s="185"/>
      <c r="I205" s="185"/>
    </row>
    <row r="206" spans="1:9" ht="14.4" x14ac:dyDescent="0.3">
      <c r="A206" s="60"/>
      <c r="B206" s="213" t="s">
        <v>0</v>
      </c>
      <c r="C206" s="204"/>
      <c r="D206" s="204"/>
      <c r="E206" s="204"/>
      <c r="F206" s="204"/>
      <c r="G206" s="204"/>
      <c r="H206" s="204"/>
      <c r="I206" s="204"/>
    </row>
    <row r="207" spans="1:9" ht="14.4" x14ac:dyDescent="0.3">
      <c r="B207" s="171" t="s">
        <v>8</v>
      </c>
      <c r="C207" s="212" t="s">
        <v>187</v>
      </c>
      <c r="D207" s="204"/>
      <c r="E207" s="204"/>
      <c r="F207" s="204"/>
      <c r="G207" s="204"/>
      <c r="H207" s="204"/>
      <c r="I207" s="204"/>
    </row>
    <row r="208" spans="1:9" ht="14.4" x14ac:dyDescent="0.3">
      <c r="B208" s="171" t="s">
        <v>8</v>
      </c>
      <c r="C208" s="212" t="s">
        <v>188</v>
      </c>
      <c r="D208" s="204"/>
      <c r="E208" s="204"/>
      <c r="F208" s="204"/>
      <c r="G208" s="204"/>
      <c r="H208" s="204"/>
      <c r="I208" s="204"/>
    </row>
    <row r="209" spans="2:9" ht="28.5" customHeight="1" x14ac:dyDescent="0.3">
      <c r="B209" s="171" t="s">
        <v>8</v>
      </c>
      <c r="C209" s="212" t="s">
        <v>189</v>
      </c>
      <c r="D209" s="204"/>
      <c r="E209" s="204"/>
      <c r="F209" s="204"/>
      <c r="G209" s="204"/>
      <c r="H209" s="204"/>
      <c r="I209" s="204"/>
    </row>
    <row r="210" spans="2:9" ht="27" customHeight="1" x14ac:dyDescent="0.3">
      <c r="B210" s="171" t="s">
        <v>8</v>
      </c>
      <c r="C210" s="212" t="s">
        <v>190</v>
      </c>
      <c r="D210" s="204"/>
      <c r="E210" s="204"/>
      <c r="F210" s="204"/>
      <c r="G210" s="204"/>
      <c r="H210" s="204"/>
      <c r="I210" s="204"/>
    </row>
    <row r="211" spans="2:9" ht="45.9" customHeight="1" x14ac:dyDescent="0.3">
      <c r="B211" s="171" t="s">
        <v>8</v>
      </c>
      <c r="C211" s="212" t="s">
        <v>191</v>
      </c>
      <c r="D211" s="204"/>
      <c r="E211" s="204"/>
      <c r="F211" s="204"/>
      <c r="G211" s="204"/>
      <c r="H211" s="204"/>
      <c r="I211" s="204"/>
    </row>
    <row r="212" spans="2:9" ht="15.6" customHeight="1" x14ac:dyDescent="0.3">
      <c r="B212" s="212" t="s">
        <v>192</v>
      </c>
      <c r="C212" s="204"/>
      <c r="D212" s="204"/>
      <c r="E212" s="204"/>
      <c r="F212" s="204"/>
      <c r="G212" s="204"/>
      <c r="H212" s="204"/>
      <c r="I212" s="204"/>
    </row>
    <row r="213" spans="2:9" ht="15.6" customHeight="1" x14ac:dyDescent="0.3">
      <c r="B213" s="173"/>
      <c r="C213" s="217" t="s">
        <v>193</v>
      </c>
      <c r="D213" s="218"/>
      <c r="E213" s="218"/>
      <c r="F213" s="219"/>
      <c r="G213" s="217" t="s">
        <v>194</v>
      </c>
      <c r="H213" s="218"/>
      <c r="I213" s="219"/>
    </row>
    <row r="214" spans="2:9" ht="15.6" customHeight="1" x14ac:dyDescent="0.3">
      <c r="B214" s="173"/>
      <c r="C214" s="217" t="s">
        <v>195</v>
      </c>
      <c r="D214" s="218"/>
      <c r="E214" s="218"/>
      <c r="F214" s="219"/>
      <c r="G214" s="217" t="s">
        <v>196</v>
      </c>
      <c r="H214" s="218"/>
      <c r="I214" s="219"/>
    </row>
    <row r="215" spans="2:9" ht="13.5" customHeight="1" x14ac:dyDescent="0.3">
      <c r="B215" s="173"/>
      <c r="C215" s="217" t="s">
        <v>197</v>
      </c>
      <c r="D215" s="218"/>
      <c r="E215" s="218"/>
      <c r="F215" s="219"/>
      <c r="G215" s="217" t="s">
        <v>198</v>
      </c>
      <c r="H215" s="218"/>
      <c r="I215" s="219"/>
    </row>
    <row r="216" spans="2:9" ht="13.5" customHeight="1" x14ac:dyDescent="0.3">
      <c r="B216" s="173"/>
      <c r="C216" s="217" t="s">
        <v>199</v>
      </c>
      <c r="D216" s="218"/>
      <c r="E216" s="218"/>
      <c r="F216" s="219"/>
      <c r="G216" s="217" t="s">
        <v>200</v>
      </c>
      <c r="H216" s="218"/>
      <c r="I216" s="219"/>
    </row>
    <row r="217" spans="2:9" ht="13.5" customHeight="1" x14ac:dyDescent="0.3">
      <c r="B217" s="173"/>
      <c r="C217" s="217" t="s">
        <v>201</v>
      </c>
      <c r="D217" s="218"/>
      <c r="E217" s="218"/>
      <c r="F217" s="219"/>
      <c r="G217" s="217" t="s">
        <v>202</v>
      </c>
      <c r="H217" s="218"/>
      <c r="I217" s="219"/>
    </row>
    <row r="218" spans="2:9" ht="14.1" customHeight="1" x14ac:dyDescent="0.3">
      <c r="B218" s="173"/>
      <c r="C218" s="217" t="s">
        <v>203</v>
      </c>
      <c r="D218" s="218"/>
      <c r="E218" s="218"/>
      <c r="F218" s="219"/>
      <c r="G218" s="217"/>
      <c r="H218" s="218"/>
      <c r="I218" s="219"/>
    </row>
    <row r="219" spans="2:9" ht="16.5" customHeight="1" x14ac:dyDescent="0.3">
      <c r="C219" s="217" t="s">
        <v>204</v>
      </c>
      <c r="D219" s="218"/>
      <c r="E219" s="218"/>
      <c r="F219" s="219"/>
      <c r="G219" s="217"/>
      <c r="H219" s="218"/>
      <c r="I219" s="219"/>
    </row>
    <row r="220" spans="2:9" ht="15" customHeight="1" x14ac:dyDescent="0.3">
      <c r="C220" s="217" t="s">
        <v>205</v>
      </c>
      <c r="D220" s="218"/>
      <c r="E220" s="218"/>
      <c r="F220" s="219"/>
      <c r="G220" s="217" t="s">
        <v>206</v>
      </c>
      <c r="H220" s="218"/>
      <c r="I220" s="219"/>
    </row>
    <row r="221" spans="2:9" ht="14.4" customHeight="1" x14ac:dyDescent="0.3">
      <c r="C221" s="217" t="s">
        <v>207</v>
      </c>
      <c r="D221" s="218"/>
      <c r="E221" s="218"/>
      <c r="F221" s="219"/>
      <c r="G221" s="217" t="s">
        <v>208</v>
      </c>
      <c r="H221" s="218"/>
      <c r="I221" s="219"/>
    </row>
    <row r="222" spans="2:9" ht="14.4" customHeight="1" x14ac:dyDescent="0.3">
      <c r="C222" s="217" t="s">
        <v>209</v>
      </c>
      <c r="D222" s="218"/>
      <c r="E222" s="218"/>
      <c r="F222" s="219"/>
      <c r="G222" s="217" t="s">
        <v>210</v>
      </c>
      <c r="H222" s="218"/>
      <c r="I222" s="219"/>
    </row>
    <row r="223" spans="2:9" ht="14.4" customHeight="1" x14ac:dyDescent="0.3">
      <c r="C223" s="217" t="s">
        <v>211</v>
      </c>
      <c r="D223" s="218"/>
      <c r="E223" s="218"/>
      <c r="F223" s="219"/>
      <c r="G223" s="217"/>
      <c r="H223" s="218"/>
      <c r="I223" s="219"/>
    </row>
    <row r="224" spans="2:9" ht="14.4" customHeight="1" x14ac:dyDescent="0.3">
      <c r="C224" s="217" t="s">
        <v>212</v>
      </c>
      <c r="D224" s="218"/>
      <c r="E224" s="218"/>
      <c r="F224" s="219"/>
      <c r="G224" s="217"/>
      <c r="H224" s="218"/>
      <c r="I224" s="219"/>
    </row>
    <row r="225" spans="1:9" ht="41.1" customHeight="1" x14ac:dyDescent="0.3">
      <c r="C225" s="217" t="s">
        <v>213</v>
      </c>
      <c r="D225" s="218"/>
      <c r="E225" s="218"/>
      <c r="F225" s="219"/>
      <c r="G225" s="217" t="s">
        <v>214</v>
      </c>
      <c r="H225" s="218"/>
      <c r="I225" s="219"/>
    </row>
    <row r="226" spans="1:9" ht="14.4" customHeight="1" x14ac:dyDescent="0.3">
      <c r="D226" s="170"/>
      <c r="E226" s="170"/>
      <c r="F226" s="170"/>
      <c r="H226" s="170"/>
      <c r="I226" s="170"/>
    </row>
    <row r="227" spans="1:9" x14ac:dyDescent="0.3">
      <c r="A227" s="183" t="s">
        <v>215</v>
      </c>
      <c r="B227" s="214" t="s">
        <v>216</v>
      </c>
      <c r="C227" s="214"/>
      <c r="D227" s="214"/>
      <c r="E227" s="214"/>
      <c r="F227" s="214"/>
      <c r="G227" s="214"/>
      <c r="H227" s="214"/>
      <c r="I227" s="214"/>
    </row>
    <row r="228" spans="1:9" x14ac:dyDescent="0.3">
      <c r="A228" s="3"/>
      <c r="B228" s="213" t="s">
        <v>6</v>
      </c>
      <c r="C228" s="213"/>
      <c r="D228" s="213"/>
      <c r="E228" s="213"/>
      <c r="F228" s="213"/>
      <c r="G228" s="213"/>
      <c r="H228" s="213"/>
      <c r="I228" s="213"/>
    </row>
    <row r="229" spans="1:9" ht="28.95" customHeight="1" x14ac:dyDescent="0.3">
      <c r="A229" s="60"/>
      <c r="B229" s="212" t="s">
        <v>217</v>
      </c>
      <c r="C229" s="212"/>
      <c r="D229" s="212"/>
      <c r="E229" s="212"/>
      <c r="F229" s="212"/>
      <c r="G229" s="212"/>
      <c r="H229" s="212"/>
      <c r="I229" s="212"/>
    </row>
    <row r="230" spans="1:9" ht="30.6" customHeight="1" x14ac:dyDescent="0.3">
      <c r="A230" s="60"/>
      <c r="B230" s="212" t="s">
        <v>218</v>
      </c>
      <c r="C230" s="204"/>
      <c r="D230" s="204"/>
      <c r="E230" s="204"/>
      <c r="F230" s="204"/>
      <c r="G230" s="204"/>
      <c r="H230" s="204"/>
      <c r="I230" s="204"/>
    </row>
    <row r="231" spans="1:9" ht="29.4" customHeight="1" x14ac:dyDescent="0.3">
      <c r="A231" s="60"/>
      <c r="B231" s="212" t="s">
        <v>219</v>
      </c>
      <c r="C231" s="204"/>
      <c r="D231" s="204"/>
      <c r="E231" s="204"/>
      <c r="F231" s="204"/>
      <c r="G231" s="204"/>
      <c r="H231" s="204"/>
      <c r="I231" s="204"/>
    </row>
    <row r="232" spans="1:9" ht="14.4" customHeight="1" x14ac:dyDescent="0.3">
      <c r="A232" s="175"/>
      <c r="B232" s="220"/>
      <c r="C232" s="220"/>
      <c r="D232" s="220"/>
      <c r="E232" s="220"/>
      <c r="F232" s="220"/>
      <c r="G232" s="220"/>
      <c r="H232" s="220"/>
      <c r="I232" s="220"/>
    </row>
    <row r="233" spans="1:9" ht="14.4" customHeight="1" x14ac:dyDescent="0.3">
      <c r="A233" s="60"/>
      <c r="B233" s="213" t="s">
        <v>0</v>
      </c>
      <c r="C233" s="213"/>
      <c r="D233" s="213"/>
      <c r="E233" s="213"/>
      <c r="F233" s="213"/>
      <c r="G233" s="213"/>
      <c r="H233" s="213"/>
      <c r="I233" s="213"/>
    </row>
    <row r="234" spans="1:9" ht="14.4" customHeight="1" x14ac:dyDescent="0.3">
      <c r="B234" s="171" t="s">
        <v>8</v>
      </c>
      <c r="C234" s="212" t="s">
        <v>102</v>
      </c>
      <c r="D234" s="212"/>
      <c r="E234" s="212"/>
      <c r="F234" s="212"/>
      <c r="G234" s="212"/>
      <c r="H234" s="212"/>
      <c r="I234" s="212"/>
    </row>
    <row r="235" spans="1:9" ht="39.9" customHeight="1" x14ac:dyDescent="0.3">
      <c r="B235" s="171" t="s">
        <v>8</v>
      </c>
      <c r="C235" s="212" t="s">
        <v>220</v>
      </c>
      <c r="D235" s="212"/>
      <c r="E235" s="212"/>
      <c r="F235" s="212"/>
      <c r="G235" s="212"/>
      <c r="H235" s="212"/>
      <c r="I235" s="212"/>
    </row>
    <row r="236" spans="1:9" ht="41.1" customHeight="1" x14ac:dyDescent="0.3">
      <c r="B236" s="171" t="s">
        <v>8</v>
      </c>
      <c r="C236" s="212" t="s">
        <v>221</v>
      </c>
      <c r="D236" s="212"/>
      <c r="E236" s="212"/>
      <c r="F236" s="212"/>
      <c r="G236" s="212"/>
      <c r="H236" s="212"/>
      <c r="I236" s="212"/>
    </row>
    <row r="237" spans="1:9" ht="42" customHeight="1" x14ac:dyDescent="0.3">
      <c r="A237" s="60"/>
      <c r="B237" s="171" t="s">
        <v>8</v>
      </c>
      <c r="C237" s="212" t="s">
        <v>222</v>
      </c>
      <c r="D237" s="212"/>
      <c r="E237" s="212"/>
      <c r="F237" s="212"/>
      <c r="G237" s="212"/>
      <c r="H237" s="212"/>
      <c r="I237" s="212"/>
    </row>
    <row r="238" spans="1:9" x14ac:dyDescent="0.3">
      <c r="A238" s="175"/>
    </row>
    <row r="239" spans="1:9" ht="14.4" customHeight="1" x14ac:dyDescent="0.3">
      <c r="A239" s="175"/>
      <c r="B239" s="212" t="s">
        <v>223</v>
      </c>
      <c r="C239" s="212"/>
      <c r="D239" s="212"/>
      <c r="E239" s="212"/>
      <c r="F239" s="212"/>
      <c r="G239" s="212"/>
      <c r="H239" s="212"/>
      <c r="I239" s="212"/>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5" t="s">
        <v>234</v>
      </c>
      <c r="D244" s="226"/>
      <c r="E244" s="226"/>
      <c r="F244" s="226"/>
      <c r="G244" s="227"/>
      <c r="H244" s="170"/>
      <c r="I244" s="170"/>
    </row>
    <row r="245" spans="1:9" ht="71.099999999999994" customHeight="1" x14ac:dyDescent="0.3">
      <c r="C245" s="233" t="s">
        <v>235</v>
      </c>
      <c r="D245" s="223"/>
      <c r="E245" s="223"/>
      <c r="F245" s="223"/>
      <c r="G245" s="234"/>
    </row>
    <row r="246" spans="1:9" ht="42.9" customHeight="1" x14ac:dyDescent="0.3">
      <c r="C246" s="235" t="s">
        <v>236</v>
      </c>
      <c r="D246" s="231"/>
      <c r="E246" s="231"/>
      <c r="F246" s="231"/>
      <c r="G246" s="232"/>
    </row>
    <row r="248" spans="1:9" ht="14.4" x14ac:dyDescent="0.3">
      <c r="A248" s="183" t="s">
        <v>237</v>
      </c>
      <c r="B248" s="214" t="s">
        <v>238</v>
      </c>
      <c r="C248" s="204"/>
      <c r="D248" s="204"/>
      <c r="E248" s="204"/>
      <c r="F248" s="204"/>
      <c r="G248" s="204"/>
      <c r="H248" s="204"/>
      <c r="I248" s="204"/>
    </row>
    <row r="249" spans="1:9" ht="14.4" x14ac:dyDescent="0.3">
      <c r="A249" s="3"/>
      <c r="B249" s="213" t="s">
        <v>6</v>
      </c>
      <c r="C249" s="204"/>
      <c r="D249" s="204"/>
      <c r="E249" s="204"/>
      <c r="F249" s="204"/>
      <c r="G249" s="204"/>
      <c r="H249" s="204"/>
      <c r="I249" s="204"/>
    </row>
    <row r="250" spans="1:9" ht="14.4" x14ac:dyDescent="0.3">
      <c r="A250" s="60"/>
      <c r="B250" s="212" t="s">
        <v>239</v>
      </c>
      <c r="C250" s="204"/>
      <c r="D250" s="204"/>
      <c r="E250" s="204"/>
      <c r="F250" s="204"/>
      <c r="G250" s="204"/>
      <c r="H250" s="204"/>
      <c r="I250" s="204"/>
    </row>
    <row r="251" spans="1:9" ht="14.4" x14ac:dyDescent="0.3">
      <c r="A251" s="175"/>
      <c r="B251" s="220"/>
      <c r="C251" s="221"/>
      <c r="D251" s="221"/>
      <c r="E251" s="221"/>
      <c r="F251" s="221"/>
      <c r="G251" s="221"/>
      <c r="H251" s="221"/>
      <c r="I251" s="221"/>
    </row>
    <row r="252" spans="1:9" ht="14.4" x14ac:dyDescent="0.3">
      <c r="A252" s="60"/>
      <c r="B252" s="213" t="s">
        <v>0</v>
      </c>
      <c r="C252" s="204"/>
      <c r="D252" s="204"/>
      <c r="E252" s="204"/>
      <c r="F252" s="204"/>
      <c r="G252" s="204"/>
      <c r="H252" s="204"/>
      <c r="I252" s="204"/>
    </row>
    <row r="253" spans="1:9" ht="14.4" x14ac:dyDescent="0.3">
      <c r="B253" s="171" t="s">
        <v>8</v>
      </c>
      <c r="C253" s="212" t="s">
        <v>102</v>
      </c>
      <c r="D253" s="204"/>
      <c r="E253" s="204"/>
      <c r="F253" s="204"/>
      <c r="G253" s="204"/>
      <c r="H253" s="204"/>
      <c r="I253" s="204"/>
    </row>
    <row r="254" spans="1:9" ht="14.4" x14ac:dyDescent="0.3">
      <c r="B254" s="171" t="s">
        <v>8</v>
      </c>
      <c r="C254" s="212" t="s">
        <v>240</v>
      </c>
      <c r="D254" s="204"/>
      <c r="E254" s="204"/>
      <c r="F254" s="204"/>
      <c r="G254" s="204"/>
      <c r="H254" s="204"/>
      <c r="I254" s="204"/>
    </row>
    <row r="256" spans="1:9" ht="14.4" x14ac:dyDescent="0.3">
      <c r="A256" s="183" t="s">
        <v>241</v>
      </c>
      <c r="B256" s="214" t="s">
        <v>242</v>
      </c>
      <c r="C256" s="204"/>
      <c r="D256" s="204"/>
      <c r="E256" s="204"/>
      <c r="F256" s="204"/>
      <c r="G256" s="204"/>
      <c r="H256" s="204"/>
      <c r="I256" s="204"/>
    </row>
    <row r="257" spans="1:9" ht="14.4" x14ac:dyDescent="0.3">
      <c r="A257" s="3"/>
      <c r="B257" s="213" t="s">
        <v>6</v>
      </c>
      <c r="C257" s="204"/>
      <c r="D257" s="204"/>
      <c r="E257" s="204"/>
      <c r="F257" s="204"/>
      <c r="G257" s="204"/>
      <c r="H257" s="204"/>
      <c r="I257" s="204"/>
    </row>
    <row r="258" spans="1:9" ht="24.9" customHeight="1" x14ac:dyDescent="0.3">
      <c r="A258" s="60"/>
      <c r="B258" s="212" t="s">
        <v>243</v>
      </c>
      <c r="C258" s="204"/>
      <c r="D258" s="204"/>
      <c r="E258" s="204"/>
      <c r="F258" s="204"/>
      <c r="G258" s="204"/>
      <c r="H258" s="204"/>
      <c r="I258" s="204"/>
    </row>
    <row r="259" spans="1:9" ht="14.4" x14ac:dyDescent="0.3">
      <c r="A259" s="175"/>
      <c r="B259" s="220"/>
      <c r="C259" s="221"/>
      <c r="D259" s="221"/>
      <c r="E259" s="221"/>
      <c r="F259" s="221"/>
      <c r="G259" s="221"/>
      <c r="H259" s="221"/>
      <c r="I259" s="221"/>
    </row>
    <row r="260" spans="1:9" ht="14.4" x14ac:dyDescent="0.3">
      <c r="A260" s="60"/>
      <c r="B260" s="213" t="s">
        <v>0</v>
      </c>
      <c r="C260" s="204"/>
      <c r="D260" s="204"/>
      <c r="E260" s="204"/>
      <c r="F260" s="204"/>
      <c r="G260" s="204"/>
      <c r="H260" s="204"/>
      <c r="I260" s="204"/>
    </row>
    <row r="261" spans="1:9" ht="14.4" x14ac:dyDescent="0.3">
      <c r="B261" s="171" t="s">
        <v>8</v>
      </c>
      <c r="C261" s="212" t="s">
        <v>70</v>
      </c>
      <c r="D261" s="204"/>
      <c r="E261" s="204"/>
      <c r="F261" s="204"/>
      <c r="G261" s="204"/>
      <c r="H261" s="204"/>
      <c r="I261" s="204"/>
    </row>
    <row r="262" spans="1:9" ht="30.6" customHeight="1" x14ac:dyDescent="0.3">
      <c r="B262" s="171" t="s">
        <v>8</v>
      </c>
      <c r="C262" s="212" t="s">
        <v>244</v>
      </c>
      <c r="D262" s="204"/>
      <c r="E262" s="204"/>
      <c r="F262" s="204"/>
      <c r="G262" s="204"/>
      <c r="H262" s="204"/>
      <c r="I262" s="204"/>
    </row>
    <row r="263" spans="1:9" ht="29.1" customHeight="1" x14ac:dyDescent="0.3">
      <c r="B263" s="171" t="s">
        <v>8</v>
      </c>
      <c r="C263" s="212" t="s">
        <v>245</v>
      </c>
      <c r="D263" s="204"/>
      <c r="E263" s="204"/>
      <c r="F263" s="204"/>
      <c r="G263" s="204"/>
      <c r="H263" s="204"/>
      <c r="I263" s="204"/>
    </row>
    <row r="264" spans="1:9" ht="14.4" x14ac:dyDescent="0.3">
      <c r="C264" s="212"/>
      <c r="D264" s="204"/>
      <c r="E264" s="204"/>
      <c r="F264" s="204"/>
      <c r="G264" s="204"/>
      <c r="H264" s="204"/>
      <c r="I264" s="204"/>
    </row>
    <row r="265" spans="1:9" ht="14.4" x14ac:dyDescent="0.3">
      <c r="A265" s="183" t="s">
        <v>246</v>
      </c>
      <c r="B265" s="214" t="s">
        <v>247</v>
      </c>
      <c r="C265" s="204"/>
      <c r="D265" s="204"/>
      <c r="E265" s="204"/>
      <c r="F265" s="204"/>
      <c r="G265" s="204"/>
      <c r="H265" s="204"/>
      <c r="I265" s="204"/>
    </row>
    <row r="266" spans="1:9" ht="14.4" x14ac:dyDescent="0.3">
      <c r="A266" s="3"/>
      <c r="B266" s="213" t="s">
        <v>6</v>
      </c>
      <c r="C266" s="204"/>
      <c r="D266" s="204"/>
      <c r="E266" s="204"/>
      <c r="F266" s="204"/>
      <c r="G266" s="204"/>
      <c r="H266" s="204"/>
      <c r="I266" s="204"/>
    </row>
    <row r="267" spans="1:9" ht="28.5" customHeight="1" x14ac:dyDescent="0.3">
      <c r="A267" s="60"/>
      <c r="B267" s="212" t="s">
        <v>248</v>
      </c>
      <c r="C267" s="204"/>
      <c r="D267" s="204"/>
      <c r="E267" s="204"/>
      <c r="F267" s="204"/>
      <c r="G267" s="204"/>
      <c r="H267" s="204"/>
      <c r="I267" s="204"/>
    </row>
    <row r="268" spans="1:9" ht="42" customHeight="1" x14ac:dyDescent="0.3">
      <c r="A268" s="60"/>
      <c r="B268" s="222" t="s">
        <v>249</v>
      </c>
      <c r="C268" s="223"/>
      <c r="D268" s="223"/>
      <c r="E268" s="223"/>
      <c r="F268" s="223"/>
      <c r="G268" s="223"/>
      <c r="H268" s="223"/>
      <c r="I268" s="223"/>
    </row>
    <row r="269" spans="1:9" ht="14.4" x14ac:dyDescent="0.3">
      <c r="A269" s="175"/>
      <c r="B269" s="220"/>
      <c r="C269" s="221"/>
      <c r="D269" s="221"/>
      <c r="E269" s="221"/>
      <c r="F269" s="221"/>
      <c r="G269" s="221"/>
      <c r="H269" s="221"/>
      <c r="I269" s="221"/>
    </row>
    <row r="270" spans="1:9" ht="14.4" x14ac:dyDescent="0.3">
      <c r="A270" s="60"/>
      <c r="B270" s="213" t="s">
        <v>0</v>
      </c>
      <c r="C270" s="204"/>
      <c r="D270" s="204"/>
      <c r="E270" s="204"/>
      <c r="F270" s="204"/>
      <c r="G270" s="204"/>
      <c r="H270" s="204"/>
      <c r="I270" s="204"/>
    </row>
    <row r="271" spans="1:9" ht="14.4" x14ac:dyDescent="0.3">
      <c r="B271" s="171" t="s">
        <v>8</v>
      </c>
      <c r="C271" s="212" t="s">
        <v>187</v>
      </c>
      <c r="D271" s="204"/>
      <c r="E271" s="204"/>
      <c r="F271" s="204"/>
      <c r="G271" s="204"/>
      <c r="H271" s="204"/>
      <c r="I271" s="204"/>
    </row>
    <row r="272" spans="1:9" ht="27.6" customHeight="1" x14ac:dyDescent="0.3">
      <c r="B272" s="171" t="s">
        <v>8</v>
      </c>
      <c r="C272" s="212" t="s">
        <v>250</v>
      </c>
      <c r="D272" s="204"/>
      <c r="E272" s="204"/>
      <c r="F272" s="204"/>
      <c r="G272" s="204"/>
      <c r="H272" s="204"/>
      <c r="I272" s="204"/>
    </row>
    <row r="273" spans="1:9" ht="41.1" customHeight="1" x14ac:dyDescent="0.3">
      <c r="B273" s="171" t="s">
        <v>8</v>
      </c>
      <c r="C273" s="212" t="s">
        <v>251</v>
      </c>
      <c r="D273" s="204"/>
      <c r="E273" s="204"/>
      <c r="F273" s="204"/>
      <c r="G273" s="204"/>
      <c r="H273" s="204"/>
      <c r="I273" s="204"/>
    </row>
    <row r="274" spans="1:9" ht="18" customHeight="1" x14ac:dyDescent="0.3">
      <c r="B274" s="171" t="s">
        <v>8</v>
      </c>
      <c r="C274" s="212" t="s">
        <v>252</v>
      </c>
      <c r="D274" s="204"/>
      <c r="E274" s="204"/>
      <c r="F274" s="204"/>
      <c r="G274" s="204"/>
      <c r="H274" s="204"/>
      <c r="I274" s="204"/>
    </row>
    <row r="275" spans="1:9" ht="44.4" customHeight="1" x14ac:dyDescent="0.3">
      <c r="B275" s="171" t="s">
        <v>8</v>
      </c>
      <c r="C275" s="212" t="s">
        <v>253</v>
      </c>
      <c r="D275" s="204"/>
      <c r="E275" s="204"/>
      <c r="F275" s="204"/>
      <c r="G275" s="204"/>
      <c r="H275" s="204"/>
      <c r="I275" s="204"/>
    </row>
    <row r="277" spans="1:9" ht="14.4" x14ac:dyDescent="0.3">
      <c r="A277" s="183" t="s">
        <v>254</v>
      </c>
      <c r="B277" s="214" t="s">
        <v>255</v>
      </c>
      <c r="C277" s="204"/>
      <c r="D277" s="204"/>
      <c r="E277" s="204"/>
      <c r="F277" s="204"/>
      <c r="G277" s="204"/>
      <c r="H277" s="204"/>
      <c r="I277" s="204"/>
    </row>
    <row r="278" spans="1:9" ht="14.4" x14ac:dyDescent="0.3">
      <c r="A278" s="3"/>
      <c r="B278" s="213" t="s">
        <v>6</v>
      </c>
      <c r="C278" s="204"/>
      <c r="D278" s="204"/>
      <c r="E278" s="204"/>
      <c r="F278" s="204"/>
      <c r="G278" s="204"/>
      <c r="H278" s="204"/>
      <c r="I278" s="204"/>
    </row>
    <row r="279" spans="1:9" ht="24.9" customHeight="1" x14ac:dyDescent="0.3">
      <c r="A279" s="60"/>
      <c r="B279" s="212" t="s">
        <v>256</v>
      </c>
      <c r="C279" s="204"/>
      <c r="D279" s="204"/>
      <c r="E279" s="204"/>
      <c r="F279" s="204"/>
      <c r="G279" s="204"/>
      <c r="H279" s="204"/>
      <c r="I279" s="204"/>
    </row>
    <row r="280" spans="1:9" ht="14.4" x14ac:dyDescent="0.3">
      <c r="A280" s="175"/>
      <c r="B280" s="220"/>
      <c r="C280" s="221"/>
      <c r="D280" s="221"/>
      <c r="E280" s="221"/>
      <c r="F280" s="221"/>
      <c r="G280" s="221"/>
      <c r="H280" s="221"/>
      <c r="I280" s="221"/>
    </row>
    <row r="281" spans="1:9" ht="14.4" x14ac:dyDescent="0.3">
      <c r="A281" s="60"/>
      <c r="B281" s="213" t="s">
        <v>0</v>
      </c>
      <c r="C281" s="204"/>
      <c r="D281" s="204"/>
      <c r="E281" s="204"/>
      <c r="F281" s="204"/>
      <c r="G281" s="204"/>
      <c r="H281" s="204"/>
      <c r="I281" s="204"/>
    </row>
    <row r="282" spans="1:9" ht="14.4" x14ac:dyDescent="0.3">
      <c r="B282" s="171" t="s">
        <v>8</v>
      </c>
      <c r="C282" s="212" t="s">
        <v>187</v>
      </c>
      <c r="D282" s="204"/>
      <c r="E282" s="204"/>
      <c r="F282" s="204"/>
      <c r="G282" s="204"/>
      <c r="H282" s="204"/>
      <c r="I282" s="204"/>
    </row>
    <row r="283" spans="1:9" ht="24.9" customHeight="1" x14ac:dyDescent="0.3">
      <c r="B283" s="171" t="s">
        <v>8</v>
      </c>
      <c r="C283" s="212" t="s">
        <v>257</v>
      </c>
      <c r="D283" s="204"/>
      <c r="E283" s="204"/>
      <c r="F283" s="204"/>
      <c r="G283" s="204"/>
      <c r="H283" s="204"/>
      <c r="I283" s="204"/>
    </row>
    <row r="284" spans="1:9" ht="26.1" customHeight="1" x14ac:dyDescent="0.3">
      <c r="B284" s="171" t="s">
        <v>8</v>
      </c>
      <c r="C284" s="212" t="s">
        <v>258</v>
      </c>
      <c r="D284" s="204"/>
      <c r="E284" s="204"/>
      <c r="F284" s="204"/>
      <c r="G284" s="204"/>
      <c r="H284" s="204"/>
      <c r="I284" s="204"/>
    </row>
    <row r="287" spans="1:9" ht="14.4" x14ac:dyDescent="0.3">
      <c r="A287" s="183" t="s">
        <v>259</v>
      </c>
      <c r="B287" s="214" t="s">
        <v>260</v>
      </c>
      <c r="C287" s="204"/>
      <c r="D287" s="204"/>
      <c r="E287" s="204"/>
      <c r="F287" s="204"/>
      <c r="G287" s="204"/>
      <c r="H287" s="204"/>
      <c r="I287" s="204"/>
    </row>
    <row r="288" spans="1:9" ht="14.4" x14ac:dyDescent="0.3">
      <c r="A288" s="3"/>
      <c r="B288" s="213" t="s">
        <v>6</v>
      </c>
      <c r="C288" s="204"/>
      <c r="D288" s="204"/>
      <c r="E288" s="204"/>
      <c r="F288" s="204"/>
      <c r="G288" s="204"/>
      <c r="H288" s="204"/>
      <c r="I288" s="204"/>
    </row>
    <row r="289" spans="1:9" ht="39" customHeight="1" x14ac:dyDescent="0.3">
      <c r="A289" s="60"/>
      <c r="B289" s="212" t="s">
        <v>261</v>
      </c>
      <c r="C289" s="204"/>
      <c r="D289" s="204"/>
      <c r="E289" s="204"/>
      <c r="F289" s="204"/>
      <c r="G289" s="204"/>
      <c r="H289" s="204"/>
      <c r="I289" s="204"/>
    </row>
    <row r="290" spans="1:9" ht="14.4" x14ac:dyDescent="0.3">
      <c r="A290" s="175"/>
      <c r="B290" s="220"/>
      <c r="C290" s="221"/>
      <c r="D290" s="221"/>
      <c r="E290" s="221"/>
      <c r="F290" s="221"/>
      <c r="G290" s="221"/>
      <c r="H290" s="221"/>
      <c r="I290" s="221"/>
    </row>
    <row r="291" spans="1:9" ht="14.4" x14ac:dyDescent="0.3">
      <c r="A291" s="60"/>
      <c r="B291" s="213" t="s">
        <v>0</v>
      </c>
      <c r="C291" s="204"/>
      <c r="D291" s="204"/>
      <c r="E291" s="204"/>
      <c r="F291" s="204"/>
      <c r="G291" s="204"/>
      <c r="H291" s="204"/>
      <c r="I291" s="204"/>
    </row>
    <row r="292" spans="1:9" ht="14.4" x14ac:dyDescent="0.3">
      <c r="B292" s="171" t="s">
        <v>8</v>
      </c>
      <c r="C292" s="212" t="s">
        <v>102</v>
      </c>
      <c r="D292" s="204"/>
      <c r="E292" s="204"/>
      <c r="F292" s="204"/>
      <c r="G292" s="204"/>
      <c r="H292" s="204"/>
      <c r="I292" s="204"/>
    </row>
    <row r="293" spans="1:9" ht="27" customHeight="1" x14ac:dyDescent="0.3">
      <c r="B293" s="171" t="s">
        <v>8</v>
      </c>
      <c r="C293" s="212" t="s">
        <v>262</v>
      </c>
      <c r="D293" s="204"/>
      <c r="E293" s="204"/>
      <c r="F293" s="204"/>
      <c r="G293" s="204"/>
      <c r="H293" s="204"/>
      <c r="I293" s="204"/>
    </row>
    <row r="294" spans="1:9" ht="24.9" customHeight="1" x14ac:dyDescent="0.3">
      <c r="B294" s="171" t="s">
        <v>8</v>
      </c>
      <c r="C294" s="212" t="s">
        <v>263</v>
      </c>
      <c r="D294" s="204"/>
      <c r="E294" s="204"/>
      <c r="F294" s="204"/>
      <c r="G294" s="204"/>
      <c r="H294" s="204"/>
      <c r="I294" s="204"/>
    </row>
    <row r="295" spans="1:9" ht="27" customHeight="1" x14ac:dyDescent="0.3">
      <c r="B295" s="171" t="s">
        <v>8</v>
      </c>
      <c r="C295" s="212" t="s">
        <v>264</v>
      </c>
      <c r="D295" s="204"/>
      <c r="E295" s="204"/>
      <c r="F295" s="204"/>
      <c r="G295" s="204"/>
      <c r="H295" s="204"/>
      <c r="I295" s="204"/>
    </row>
    <row r="296" spans="1:9" ht="14.4" x14ac:dyDescent="0.3">
      <c r="B296" s="171" t="s">
        <v>8</v>
      </c>
      <c r="C296" s="212" t="s">
        <v>265</v>
      </c>
      <c r="D296" s="204"/>
      <c r="E296" s="204"/>
      <c r="F296" s="204"/>
      <c r="G296" s="204"/>
      <c r="H296" s="204"/>
      <c r="I296" s="204"/>
    </row>
    <row r="297" spans="1:9" ht="41.4" customHeight="1" x14ac:dyDescent="0.3">
      <c r="B297" s="171" t="s">
        <v>8</v>
      </c>
      <c r="C297" s="212" t="s">
        <v>253</v>
      </c>
      <c r="D297" s="204"/>
      <c r="E297" s="204"/>
      <c r="F297" s="204"/>
      <c r="G297" s="204"/>
      <c r="H297" s="204"/>
      <c r="I297" s="204"/>
    </row>
    <row r="299" spans="1:9" ht="14.4" x14ac:dyDescent="0.3">
      <c r="A299" s="183" t="s">
        <v>266</v>
      </c>
      <c r="B299" s="214" t="s">
        <v>267</v>
      </c>
      <c r="C299" s="204"/>
      <c r="D299" s="204"/>
      <c r="E299" s="204"/>
      <c r="F299" s="204"/>
      <c r="G299" s="204"/>
      <c r="H299" s="204"/>
      <c r="I299" s="204"/>
    </row>
    <row r="300" spans="1:9" ht="14.4" x14ac:dyDescent="0.3">
      <c r="A300" s="3"/>
      <c r="B300" s="213" t="s">
        <v>6</v>
      </c>
      <c r="C300" s="204"/>
      <c r="D300" s="204"/>
      <c r="E300" s="204"/>
      <c r="F300" s="204"/>
      <c r="G300" s="204"/>
      <c r="H300" s="204"/>
      <c r="I300" s="204"/>
    </row>
    <row r="301" spans="1:9" ht="49.5" customHeight="1" x14ac:dyDescent="0.3">
      <c r="A301" s="60"/>
      <c r="B301" s="212" t="s">
        <v>268</v>
      </c>
      <c r="C301" s="204"/>
      <c r="D301" s="204"/>
      <c r="E301" s="204"/>
      <c r="F301" s="204"/>
      <c r="G301" s="204"/>
      <c r="H301" s="204"/>
      <c r="I301" s="204"/>
    </row>
    <row r="302" spans="1:9" ht="14.4" x14ac:dyDescent="0.3">
      <c r="A302" s="60"/>
      <c r="B302" s="213" t="s">
        <v>0</v>
      </c>
      <c r="C302" s="204"/>
      <c r="D302" s="204"/>
      <c r="E302" s="204"/>
      <c r="F302" s="204"/>
      <c r="G302" s="204"/>
      <c r="H302" s="204"/>
      <c r="I302" s="204"/>
    </row>
    <row r="303" spans="1:9" ht="15.9" customHeight="1" x14ac:dyDescent="0.3">
      <c r="B303" s="171" t="s">
        <v>8</v>
      </c>
      <c r="C303" s="212" t="s">
        <v>269</v>
      </c>
      <c r="D303" s="204"/>
      <c r="E303" s="204"/>
      <c r="F303" s="204"/>
      <c r="G303" s="204"/>
      <c r="H303" s="204"/>
      <c r="I303" s="204"/>
    </row>
    <row r="304" spans="1:9" ht="39.9" customHeight="1" x14ac:dyDescent="0.3">
      <c r="B304" s="171" t="s">
        <v>8</v>
      </c>
      <c r="C304" s="212" t="s">
        <v>270</v>
      </c>
      <c r="D304" s="204"/>
      <c r="E304" s="204"/>
      <c r="F304" s="204"/>
      <c r="G304" s="204"/>
      <c r="H304" s="204"/>
      <c r="I304" s="204"/>
    </row>
    <row r="305" spans="1:9" ht="27.9" customHeight="1" x14ac:dyDescent="0.3">
      <c r="B305" s="171" t="s">
        <v>8</v>
      </c>
      <c r="C305" s="212" t="s">
        <v>271</v>
      </c>
      <c r="D305" s="204"/>
      <c r="E305" s="204"/>
      <c r="F305" s="204"/>
      <c r="G305" s="204"/>
      <c r="H305" s="204"/>
      <c r="I305" s="204"/>
    </row>
    <row r="306" spans="1:9" ht="27.9" customHeight="1" x14ac:dyDescent="0.3">
      <c r="B306" s="171" t="s">
        <v>8</v>
      </c>
      <c r="C306" s="212" t="s">
        <v>272</v>
      </c>
      <c r="D306" s="204"/>
      <c r="E306" s="204"/>
      <c r="F306" s="204"/>
      <c r="G306" s="204"/>
      <c r="H306" s="204"/>
      <c r="I306" s="204"/>
    </row>
    <row r="307" spans="1:9" ht="14.4" customHeight="1" x14ac:dyDescent="0.3">
      <c r="C307" s="212"/>
      <c r="D307" s="204"/>
      <c r="E307" s="204"/>
      <c r="F307" s="204"/>
      <c r="G307" s="204"/>
      <c r="H307" s="204"/>
      <c r="I307" s="204"/>
    </row>
    <row r="308" spans="1:9" ht="14.4" customHeight="1" x14ac:dyDescent="0.3">
      <c r="A308" s="183" t="s">
        <v>273</v>
      </c>
      <c r="B308" s="214" t="s">
        <v>274</v>
      </c>
      <c r="C308" s="214"/>
      <c r="D308" s="214"/>
      <c r="E308" s="214"/>
      <c r="F308" s="214"/>
      <c r="G308" s="214"/>
      <c r="H308" s="214"/>
      <c r="I308" s="214"/>
    </row>
    <row r="309" spans="1:9" ht="14.4" customHeight="1" x14ac:dyDescent="0.3">
      <c r="A309" s="3"/>
      <c r="B309" s="213" t="s">
        <v>6</v>
      </c>
      <c r="C309" s="213"/>
      <c r="D309" s="213"/>
      <c r="E309" s="213"/>
      <c r="F309" s="213"/>
      <c r="G309" s="213"/>
      <c r="H309" s="213"/>
      <c r="I309" s="213"/>
    </row>
    <row r="310" spans="1:9" ht="28.5" customHeight="1" x14ac:dyDescent="0.3">
      <c r="A310" s="60"/>
      <c r="B310" s="212" t="s">
        <v>275</v>
      </c>
      <c r="C310" s="212"/>
      <c r="D310" s="212"/>
      <c r="E310" s="212"/>
      <c r="F310" s="212"/>
      <c r="G310" s="212"/>
      <c r="H310" s="212"/>
      <c r="I310" s="212"/>
    </row>
    <row r="311" spans="1:9" ht="54.9" customHeight="1" x14ac:dyDescent="0.3">
      <c r="A311" s="60"/>
      <c r="B311" s="236" t="s">
        <v>276</v>
      </c>
      <c r="C311" s="236"/>
      <c r="D311" s="236"/>
      <c r="E311" s="236"/>
      <c r="F311" s="236"/>
      <c r="G311" s="236"/>
      <c r="H311" s="236"/>
      <c r="I311" s="236"/>
    </row>
    <row r="312" spans="1:9" x14ac:dyDescent="0.3">
      <c r="A312" s="175"/>
      <c r="B312" s="220" t="s">
        <v>277</v>
      </c>
      <c r="C312" s="220"/>
      <c r="D312" s="220"/>
      <c r="E312" s="220"/>
      <c r="F312" s="220"/>
      <c r="G312" s="220"/>
      <c r="H312" s="220"/>
      <c r="I312" s="220"/>
    </row>
    <row r="313" spans="1:9" x14ac:dyDescent="0.3">
      <c r="A313" s="175"/>
      <c r="B313" s="173"/>
      <c r="C313" s="173"/>
      <c r="D313" s="173"/>
      <c r="E313" s="173"/>
      <c r="F313" s="173"/>
      <c r="G313" s="173"/>
      <c r="H313" s="173"/>
      <c r="I313" s="173"/>
    </row>
    <row r="314" spans="1:9" ht="57" customHeight="1" x14ac:dyDescent="0.3">
      <c r="A314" s="175"/>
      <c r="B314" s="212" t="s">
        <v>278</v>
      </c>
      <c r="C314" s="204"/>
      <c r="D314" s="204"/>
      <c r="E314" s="204"/>
      <c r="F314" s="204"/>
      <c r="G314" s="204"/>
      <c r="H314" s="204"/>
      <c r="I314" s="204"/>
    </row>
    <row r="315" spans="1:9" ht="12.9" customHeight="1" x14ac:dyDescent="0.3">
      <c r="A315" s="175"/>
      <c r="B315" s="171" t="s">
        <v>21</v>
      </c>
      <c r="C315" s="215" t="s">
        <v>279</v>
      </c>
      <c r="D315" s="215"/>
      <c r="E315" s="215"/>
      <c r="F315" s="215"/>
      <c r="G315" s="215"/>
      <c r="H315" s="215"/>
      <c r="I315" s="215"/>
    </row>
    <row r="316" spans="1:9" ht="15.9" customHeight="1" x14ac:dyDescent="0.3">
      <c r="A316" s="175"/>
      <c r="B316" s="173"/>
      <c r="C316" s="174"/>
      <c r="D316" s="174"/>
      <c r="E316" s="174"/>
      <c r="F316" s="174"/>
      <c r="G316" s="174"/>
      <c r="H316" s="174"/>
      <c r="I316" s="174"/>
    </row>
    <row r="317" spans="1:9" ht="14.4" customHeight="1" x14ac:dyDescent="0.3">
      <c r="A317" s="60"/>
      <c r="B317" s="213" t="s">
        <v>0</v>
      </c>
      <c r="C317" s="213"/>
      <c r="D317" s="213"/>
      <c r="E317" s="213"/>
      <c r="F317" s="213"/>
      <c r="G317" s="213"/>
      <c r="H317" s="213"/>
      <c r="I317" s="213"/>
    </row>
    <row r="318" spans="1:9" ht="14.4" x14ac:dyDescent="0.3">
      <c r="B318" s="171" t="s">
        <v>8</v>
      </c>
      <c r="C318" s="212" t="s">
        <v>187</v>
      </c>
      <c r="D318" s="204"/>
      <c r="E318" s="204"/>
      <c r="F318" s="204"/>
      <c r="G318" s="204"/>
      <c r="H318" s="204"/>
      <c r="I318" s="204"/>
    </row>
    <row r="319" spans="1:9" ht="26.1" customHeight="1" x14ac:dyDescent="0.3">
      <c r="B319" s="171" t="s">
        <v>8</v>
      </c>
      <c r="C319" s="212" t="s">
        <v>280</v>
      </c>
      <c r="D319" s="204"/>
      <c r="E319" s="204"/>
      <c r="F319" s="204"/>
      <c r="G319" s="204"/>
      <c r="H319" s="204"/>
      <c r="I319" s="204"/>
    </row>
    <row r="320" spans="1:9" ht="28.2" customHeight="1" x14ac:dyDescent="0.3">
      <c r="B320" s="171" t="s">
        <v>8</v>
      </c>
      <c r="C320" s="212" t="s">
        <v>2203</v>
      </c>
      <c r="D320" s="204"/>
      <c r="E320" s="204"/>
      <c r="F320" s="204"/>
      <c r="G320" s="204"/>
      <c r="H320" s="204"/>
      <c r="I320" s="204"/>
    </row>
    <row r="321" spans="1:9" ht="27.6" customHeight="1" x14ac:dyDescent="0.3">
      <c r="B321" s="171" t="s">
        <v>8</v>
      </c>
      <c r="C321" s="212" t="s">
        <v>281</v>
      </c>
      <c r="D321" s="204"/>
      <c r="E321" s="204"/>
      <c r="F321" s="204"/>
      <c r="G321" s="204"/>
      <c r="H321" s="204"/>
      <c r="I321" s="204"/>
    </row>
    <row r="322" spans="1:9" ht="29.4" customHeight="1" x14ac:dyDescent="0.3">
      <c r="B322" s="171" t="s">
        <v>8</v>
      </c>
      <c r="C322" s="212" t="s">
        <v>282</v>
      </c>
      <c r="D322" s="204"/>
      <c r="E322" s="204"/>
      <c r="F322" s="204"/>
      <c r="G322" s="204"/>
      <c r="H322" s="204"/>
      <c r="I322" s="204"/>
    </row>
    <row r="324" spans="1:9" ht="14.4" customHeight="1" x14ac:dyDescent="0.3">
      <c r="A324" s="183" t="s">
        <v>283</v>
      </c>
      <c r="B324" s="214" t="s">
        <v>284</v>
      </c>
      <c r="C324" s="214"/>
      <c r="D324" s="214"/>
      <c r="E324" s="214"/>
      <c r="F324" s="214"/>
      <c r="G324" s="214"/>
      <c r="H324" s="214"/>
      <c r="I324" s="214"/>
    </row>
    <row r="325" spans="1:9" ht="14.4" customHeight="1" x14ac:dyDescent="0.3">
      <c r="A325" s="3"/>
      <c r="B325" s="213" t="s">
        <v>6</v>
      </c>
      <c r="C325" s="213"/>
      <c r="D325" s="213"/>
      <c r="E325" s="213"/>
      <c r="F325" s="213"/>
      <c r="G325" s="213"/>
      <c r="H325" s="213"/>
      <c r="I325" s="213"/>
    </row>
    <row r="326" spans="1:9" ht="42.9" customHeight="1" x14ac:dyDescent="0.3">
      <c r="A326" s="60"/>
      <c r="B326" s="212" t="s">
        <v>285</v>
      </c>
      <c r="C326" s="212"/>
      <c r="D326" s="212"/>
      <c r="E326" s="212"/>
      <c r="F326" s="212"/>
      <c r="G326" s="212"/>
      <c r="H326" s="212"/>
      <c r="I326" s="212"/>
    </row>
    <row r="327" spans="1:9" ht="11.4" customHeight="1" x14ac:dyDescent="0.3">
      <c r="A327" s="175"/>
      <c r="B327" s="220"/>
      <c r="C327" s="220"/>
      <c r="D327" s="220"/>
      <c r="E327" s="220"/>
      <c r="F327" s="220"/>
      <c r="G327" s="220"/>
      <c r="H327" s="220"/>
      <c r="I327" s="220"/>
    </row>
    <row r="328" spans="1:9" ht="14.4" customHeight="1" x14ac:dyDescent="0.3">
      <c r="A328" s="60"/>
      <c r="B328" s="213" t="s">
        <v>0</v>
      </c>
      <c r="C328" s="213"/>
      <c r="D328" s="213"/>
      <c r="E328" s="213"/>
      <c r="F328" s="213"/>
      <c r="G328" s="213"/>
      <c r="H328" s="213"/>
      <c r="I328" s="213"/>
    </row>
    <row r="329" spans="1:9" ht="14.4" x14ac:dyDescent="0.3">
      <c r="B329" s="171" t="s">
        <v>8</v>
      </c>
      <c r="C329" s="212" t="s">
        <v>187</v>
      </c>
      <c r="D329" s="204"/>
      <c r="E329" s="204"/>
      <c r="F329" s="204"/>
      <c r="G329" s="204"/>
      <c r="H329" s="204"/>
      <c r="I329" s="204"/>
    </row>
    <row r="330" spans="1:9" ht="14.4" x14ac:dyDescent="0.3">
      <c r="B330" s="171" t="s">
        <v>8</v>
      </c>
      <c r="C330" s="212" t="s">
        <v>286</v>
      </c>
      <c r="D330" s="204"/>
      <c r="E330" s="204"/>
      <c r="F330" s="204"/>
      <c r="G330" s="204"/>
      <c r="H330" s="204"/>
      <c r="I330" s="204"/>
    </row>
    <row r="331" spans="1:9" ht="42.6" customHeight="1" x14ac:dyDescent="0.3">
      <c r="B331" s="171" t="s">
        <v>8</v>
      </c>
      <c r="C331" s="212" t="s">
        <v>253</v>
      </c>
      <c r="D331" s="204"/>
      <c r="E331" s="204"/>
      <c r="F331" s="204"/>
      <c r="G331" s="204"/>
      <c r="H331" s="204"/>
      <c r="I331" s="204"/>
    </row>
    <row r="333" spans="1:9" ht="14.4" x14ac:dyDescent="0.3">
      <c r="A333" s="183" t="s">
        <v>287</v>
      </c>
      <c r="B333" s="214" t="s">
        <v>288</v>
      </c>
      <c r="C333" s="204"/>
      <c r="D333" s="204"/>
      <c r="E333" s="204"/>
      <c r="F333" s="204"/>
      <c r="G333" s="204"/>
      <c r="H333" s="204"/>
      <c r="I333" s="204"/>
    </row>
    <row r="334" spans="1:9" ht="14.4" x14ac:dyDescent="0.3">
      <c r="A334" s="3"/>
      <c r="B334" s="213" t="s">
        <v>6</v>
      </c>
      <c r="C334" s="204"/>
      <c r="D334" s="204"/>
      <c r="E334" s="204"/>
      <c r="F334" s="204"/>
      <c r="G334" s="204"/>
      <c r="H334" s="204"/>
      <c r="I334" s="204"/>
    </row>
    <row r="335" spans="1:9" ht="27.9" customHeight="1" x14ac:dyDescent="0.3">
      <c r="A335" s="60"/>
      <c r="B335" s="212" t="s">
        <v>289</v>
      </c>
      <c r="C335" s="204"/>
      <c r="D335" s="204"/>
      <c r="E335" s="204"/>
      <c r="F335" s="204"/>
      <c r="G335" s="204"/>
      <c r="H335" s="204"/>
      <c r="I335" s="204"/>
    </row>
    <row r="336" spans="1:9" ht="14.4" x14ac:dyDescent="0.3">
      <c r="A336" s="175"/>
      <c r="B336" s="220"/>
      <c r="C336" s="221"/>
      <c r="D336" s="221"/>
      <c r="E336" s="221"/>
      <c r="F336" s="221"/>
      <c r="G336" s="221"/>
      <c r="H336" s="221"/>
      <c r="I336" s="221"/>
    </row>
    <row r="337" spans="1:9" ht="14.4" x14ac:dyDescent="0.3">
      <c r="A337" s="60"/>
      <c r="B337" s="213" t="s">
        <v>0</v>
      </c>
      <c r="C337" s="204"/>
      <c r="D337" s="204"/>
      <c r="E337" s="204"/>
      <c r="F337" s="204"/>
      <c r="G337" s="204"/>
      <c r="H337" s="204"/>
      <c r="I337" s="204"/>
    </row>
    <row r="338" spans="1:9" ht="26.1" customHeight="1" x14ac:dyDescent="0.3">
      <c r="B338" s="171" t="s">
        <v>8</v>
      </c>
      <c r="C338" s="212" t="s">
        <v>290</v>
      </c>
      <c r="D338" s="204"/>
      <c r="E338" s="204"/>
      <c r="F338" s="204"/>
      <c r="G338" s="204"/>
      <c r="H338" s="204"/>
      <c r="I338" s="204"/>
    </row>
    <row r="339" spans="1:9" ht="14.4" x14ac:dyDescent="0.3">
      <c r="B339" s="171" t="s">
        <v>8</v>
      </c>
      <c r="C339" s="212" t="s">
        <v>291</v>
      </c>
      <c r="D339" s="204"/>
      <c r="E339" s="204"/>
      <c r="F339" s="204"/>
      <c r="G339" s="204"/>
      <c r="H339" s="204"/>
      <c r="I339" s="204"/>
    </row>
    <row r="340" spans="1:9" ht="64.5" customHeight="1" x14ac:dyDescent="0.3">
      <c r="B340" s="171" t="s">
        <v>8</v>
      </c>
      <c r="C340" s="212" t="s">
        <v>292</v>
      </c>
      <c r="D340" s="204"/>
      <c r="E340" s="204"/>
      <c r="F340" s="204"/>
      <c r="G340" s="204"/>
      <c r="H340" s="204"/>
      <c r="I340" s="204"/>
    </row>
    <row r="341" spans="1:9" ht="26.1" customHeight="1" x14ac:dyDescent="0.3">
      <c r="B341" s="171" t="s">
        <v>8</v>
      </c>
      <c r="C341" s="212" t="s">
        <v>293</v>
      </c>
      <c r="D341" s="204"/>
      <c r="E341" s="204"/>
      <c r="F341" s="204"/>
      <c r="G341" s="204"/>
      <c r="H341" s="204"/>
      <c r="I341" s="204"/>
    </row>
    <row r="342" spans="1:9" ht="40.5" customHeight="1" x14ac:dyDescent="0.3">
      <c r="B342" s="171" t="s">
        <v>8</v>
      </c>
      <c r="C342" s="212" t="s">
        <v>294</v>
      </c>
      <c r="D342" s="204"/>
      <c r="E342" s="204"/>
      <c r="F342" s="204"/>
      <c r="G342" s="204"/>
      <c r="H342" s="204"/>
      <c r="I342" s="204"/>
    </row>
    <row r="343" spans="1:9" ht="24.9" customHeight="1" x14ac:dyDescent="0.3">
      <c r="B343" s="171" t="s">
        <v>8</v>
      </c>
      <c r="C343" s="212" t="s">
        <v>295</v>
      </c>
      <c r="D343" s="204"/>
      <c r="E343" s="204"/>
      <c r="F343" s="204"/>
      <c r="G343" s="204"/>
      <c r="H343" s="204"/>
      <c r="I343" s="204"/>
    </row>
    <row r="344" spans="1:9" ht="26.4" customHeight="1" x14ac:dyDescent="0.3">
      <c r="B344" s="171" t="s">
        <v>8</v>
      </c>
      <c r="C344" s="212" t="s">
        <v>296</v>
      </c>
      <c r="D344" s="204"/>
      <c r="E344" s="204"/>
      <c r="F344" s="204"/>
      <c r="G344" s="204"/>
      <c r="H344" s="204"/>
      <c r="I344" s="204"/>
    </row>
    <row r="345" spans="1:9" ht="38.1" customHeight="1" x14ac:dyDescent="0.3">
      <c r="B345" s="171" t="s">
        <v>8</v>
      </c>
      <c r="C345" s="212" t="s">
        <v>297</v>
      </c>
      <c r="D345" s="204"/>
      <c r="E345" s="204"/>
      <c r="F345" s="204"/>
      <c r="G345" s="204"/>
      <c r="H345" s="204"/>
      <c r="I345" s="204"/>
    </row>
    <row r="346" spans="1:9" ht="15.9" customHeight="1" x14ac:dyDescent="0.3">
      <c r="B346" s="171" t="s">
        <v>21</v>
      </c>
      <c r="C346" s="215" t="s">
        <v>298</v>
      </c>
      <c r="D346" s="216"/>
      <c r="E346" s="216"/>
      <c r="F346" s="216"/>
      <c r="G346" s="216"/>
      <c r="H346" s="216"/>
      <c r="I346" s="216"/>
    </row>
    <row r="347" spans="1:9" x14ac:dyDescent="0.3">
      <c r="C347" s="212"/>
      <c r="D347" s="212"/>
      <c r="E347" s="212"/>
      <c r="F347" s="212"/>
      <c r="G347" s="212"/>
      <c r="H347" s="212"/>
      <c r="I347" s="212"/>
    </row>
    <row r="348" spans="1:9" ht="14.4" x14ac:dyDescent="0.3">
      <c r="A348" s="183" t="s">
        <v>299</v>
      </c>
      <c r="B348" s="214" t="s">
        <v>300</v>
      </c>
      <c r="C348" s="204"/>
      <c r="D348" s="204"/>
      <c r="E348" s="204"/>
      <c r="F348" s="204"/>
      <c r="G348" s="204"/>
      <c r="H348" s="204"/>
      <c r="I348" s="204"/>
    </row>
    <row r="349" spans="1:9" ht="14.4" x14ac:dyDescent="0.3">
      <c r="A349" s="3"/>
      <c r="B349" s="213" t="s">
        <v>6</v>
      </c>
      <c r="C349" s="204"/>
      <c r="D349" s="204"/>
      <c r="E349" s="204"/>
      <c r="F349" s="204"/>
      <c r="G349" s="204"/>
      <c r="H349" s="204"/>
      <c r="I349" s="204"/>
    </row>
    <row r="350" spans="1:9" ht="30.6" customHeight="1" x14ac:dyDescent="0.3">
      <c r="A350" s="60"/>
      <c r="B350" s="212" t="s">
        <v>301</v>
      </c>
      <c r="C350" s="204"/>
      <c r="D350" s="204"/>
      <c r="E350" s="204"/>
      <c r="F350" s="204"/>
      <c r="G350" s="204"/>
      <c r="H350" s="204"/>
      <c r="I350" s="204"/>
    </row>
    <row r="351" spans="1:9" ht="14.4" x14ac:dyDescent="0.3">
      <c r="A351" s="175"/>
      <c r="B351" s="220"/>
      <c r="C351" s="221"/>
      <c r="D351" s="221"/>
      <c r="E351" s="221"/>
      <c r="F351" s="221"/>
      <c r="G351" s="221"/>
      <c r="H351" s="221"/>
      <c r="I351" s="221"/>
    </row>
    <row r="352" spans="1:9" ht="14.4" x14ac:dyDescent="0.3">
      <c r="A352" s="60"/>
      <c r="B352" s="213" t="s">
        <v>0</v>
      </c>
      <c r="C352" s="204"/>
      <c r="D352" s="204"/>
      <c r="E352" s="204"/>
      <c r="F352" s="204"/>
      <c r="G352" s="204"/>
      <c r="H352" s="204"/>
      <c r="I352" s="204"/>
    </row>
    <row r="353" spans="1:9" ht="14.4" x14ac:dyDescent="0.3">
      <c r="B353" s="171" t="s">
        <v>8</v>
      </c>
      <c r="C353" s="212" t="s">
        <v>187</v>
      </c>
      <c r="D353" s="204"/>
      <c r="E353" s="204"/>
      <c r="F353" s="204"/>
      <c r="G353" s="204"/>
      <c r="H353" s="204"/>
      <c r="I353" s="204"/>
    </row>
    <row r="354" spans="1:9" ht="14.4" x14ac:dyDescent="0.3">
      <c r="B354" s="171" t="s">
        <v>8</v>
      </c>
      <c r="C354" s="212" t="s">
        <v>302</v>
      </c>
      <c r="D354" s="204"/>
      <c r="E354" s="204"/>
      <c r="F354" s="204"/>
      <c r="G354" s="204"/>
      <c r="H354" s="204"/>
      <c r="I354" s="204"/>
    </row>
    <row r="355" spans="1:9" ht="14.4" x14ac:dyDescent="0.3">
      <c r="B355" s="171" t="s">
        <v>8</v>
      </c>
      <c r="C355" s="212" t="s">
        <v>303</v>
      </c>
      <c r="D355" s="204"/>
      <c r="E355" s="204"/>
      <c r="F355" s="204"/>
      <c r="G355" s="204"/>
      <c r="H355" s="204"/>
      <c r="I355" s="204"/>
    </row>
    <row r="356" spans="1:9" ht="28.5" customHeight="1" x14ac:dyDescent="0.3">
      <c r="B356" s="171" t="s">
        <v>8</v>
      </c>
      <c r="C356" s="212" t="s">
        <v>304</v>
      </c>
      <c r="D356" s="204"/>
      <c r="E356" s="204"/>
      <c r="F356" s="204"/>
      <c r="G356" s="204"/>
      <c r="H356" s="204"/>
      <c r="I356" s="204"/>
    </row>
    <row r="357" spans="1:9" ht="76.5" customHeight="1" x14ac:dyDescent="0.3">
      <c r="C357" s="222" t="s">
        <v>305</v>
      </c>
      <c r="D357" s="223"/>
      <c r="E357" s="223"/>
      <c r="F357" s="223"/>
      <c r="G357" s="223"/>
      <c r="H357" s="223"/>
      <c r="I357" s="223"/>
    </row>
    <row r="358" spans="1:9" ht="27" customHeight="1" x14ac:dyDescent="0.3">
      <c r="B358" s="171" t="s">
        <v>21</v>
      </c>
      <c r="C358" s="237" t="s">
        <v>306</v>
      </c>
      <c r="D358" s="238"/>
      <c r="E358" s="238"/>
      <c r="F358" s="238"/>
      <c r="G358" s="238"/>
      <c r="H358" s="238"/>
      <c r="I358" s="238"/>
    </row>
    <row r="359" spans="1:9" ht="18" customHeight="1" x14ac:dyDescent="0.3">
      <c r="B359" s="171" t="s">
        <v>23</v>
      </c>
      <c r="C359" s="237" t="s">
        <v>307</v>
      </c>
      <c r="D359" s="238"/>
      <c r="E359" s="238"/>
      <c r="F359" s="238"/>
      <c r="G359" s="238"/>
      <c r="H359" s="238"/>
      <c r="I359" s="238"/>
    </row>
    <row r="361" spans="1:9" ht="14.4" x14ac:dyDescent="0.3">
      <c r="A361" s="183" t="s">
        <v>308</v>
      </c>
      <c r="B361" s="214" t="s">
        <v>309</v>
      </c>
      <c r="C361" s="204"/>
      <c r="D361" s="204"/>
      <c r="E361" s="204"/>
      <c r="F361" s="204"/>
      <c r="G361" s="204"/>
      <c r="H361" s="204"/>
      <c r="I361" s="204"/>
    </row>
    <row r="362" spans="1:9" ht="14.4" x14ac:dyDescent="0.3">
      <c r="A362" s="3"/>
      <c r="B362" s="213" t="s">
        <v>6</v>
      </c>
      <c r="C362" s="204"/>
      <c r="D362" s="204"/>
      <c r="E362" s="204"/>
      <c r="F362" s="204"/>
      <c r="G362" s="204"/>
      <c r="H362" s="204"/>
      <c r="I362" s="204"/>
    </row>
    <row r="363" spans="1:9" ht="39.9" customHeight="1" x14ac:dyDescent="0.3">
      <c r="A363" s="60"/>
      <c r="B363" s="212"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3" t="s">
        <v>0</v>
      </c>
      <c r="C365" s="204"/>
      <c r="D365" s="204"/>
      <c r="E365" s="204"/>
      <c r="F365" s="204"/>
      <c r="G365" s="204"/>
      <c r="H365" s="204"/>
      <c r="I365" s="204"/>
    </row>
    <row r="366" spans="1:9" ht="14.4" x14ac:dyDescent="0.3">
      <c r="B366" s="171" t="s">
        <v>8</v>
      </c>
      <c r="C366" s="212" t="s">
        <v>70</v>
      </c>
      <c r="D366" s="204"/>
      <c r="E366" s="204"/>
      <c r="F366" s="204"/>
      <c r="G366" s="204"/>
      <c r="H366" s="204"/>
      <c r="I366" s="204"/>
    </row>
    <row r="367" spans="1:9" ht="41.1" customHeight="1" x14ac:dyDescent="0.3">
      <c r="B367" s="171" t="s">
        <v>8</v>
      </c>
      <c r="C367" s="212"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14"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14" t="s">
        <v>314</v>
      </c>
      <c r="C371" s="214"/>
      <c r="D371" s="214"/>
      <c r="E371" s="214"/>
      <c r="F371" s="214"/>
      <c r="G371" s="214"/>
      <c r="H371" s="214"/>
      <c r="I371" s="214"/>
    </row>
    <row r="372" spans="1:9" x14ac:dyDescent="0.3">
      <c r="A372" s="3"/>
      <c r="B372" s="213" t="s">
        <v>6</v>
      </c>
      <c r="C372" s="213"/>
      <c r="D372" s="213"/>
      <c r="E372" s="213"/>
      <c r="F372" s="213"/>
      <c r="G372" s="213"/>
      <c r="H372" s="213"/>
      <c r="I372" s="213"/>
    </row>
    <row r="373" spans="1:9" ht="42.9" customHeight="1" x14ac:dyDescent="0.3">
      <c r="A373" s="60"/>
      <c r="B373" s="212" t="s">
        <v>315</v>
      </c>
      <c r="C373" s="212"/>
      <c r="D373" s="212"/>
      <c r="E373" s="212"/>
      <c r="F373" s="212"/>
      <c r="G373" s="212"/>
      <c r="H373" s="212"/>
      <c r="I373" s="212"/>
    </row>
    <row r="374" spans="1:9" x14ac:dyDescent="0.3">
      <c r="A374" s="60"/>
      <c r="B374" s="236"/>
      <c r="C374" s="236"/>
      <c r="D374" s="236"/>
      <c r="E374" s="236"/>
      <c r="F374" s="236"/>
      <c r="G374" s="236"/>
      <c r="H374" s="236"/>
      <c r="I374" s="236"/>
    </row>
    <row r="375" spans="1:9" x14ac:dyDescent="0.3">
      <c r="A375" s="60"/>
      <c r="B375" s="213" t="s">
        <v>0</v>
      </c>
      <c r="C375" s="213"/>
      <c r="D375" s="213"/>
      <c r="E375" s="213"/>
      <c r="F375" s="213"/>
      <c r="G375" s="213"/>
      <c r="H375" s="213"/>
      <c r="I375" s="213"/>
    </row>
    <row r="376" spans="1:9" ht="14.4" x14ac:dyDescent="0.3">
      <c r="B376" s="171" t="s">
        <v>8</v>
      </c>
      <c r="C376" s="212" t="s">
        <v>187</v>
      </c>
      <c r="D376" s="204"/>
      <c r="E376" s="204"/>
      <c r="F376" s="204"/>
      <c r="G376" s="204"/>
      <c r="H376" s="204"/>
      <c r="I376" s="204"/>
    </row>
    <row r="377" spans="1:9" ht="14.4" x14ac:dyDescent="0.3">
      <c r="B377" s="171" t="s">
        <v>8</v>
      </c>
      <c r="C377" s="212" t="s">
        <v>316</v>
      </c>
      <c r="D377" s="204"/>
      <c r="E377" s="204"/>
      <c r="F377" s="204"/>
      <c r="G377" s="204"/>
      <c r="H377" s="204"/>
      <c r="I377" s="204"/>
    </row>
    <row r="378" spans="1:9" ht="14.4" x14ac:dyDescent="0.3">
      <c r="B378" s="171" t="s">
        <v>8</v>
      </c>
      <c r="C378" s="212" t="s">
        <v>317</v>
      </c>
      <c r="D378" s="204"/>
      <c r="E378" s="204"/>
      <c r="F378" s="204"/>
      <c r="G378" s="204"/>
      <c r="H378" s="204"/>
      <c r="I378" s="204"/>
    </row>
    <row r="380" spans="1:9" x14ac:dyDescent="0.3">
      <c r="A380" s="183" t="s">
        <v>318</v>
      </c>
      <c r="B380" s="214" t="s">
        <v>319</v>
      </c>
      <c r="C380" s="214"/>
      <c r="D380" s="214"/>
      <c r="E380" s="214"/>
      <c r="F380" s="214"/>
      <c r="G380" s="214"/>
      <c r="H380" s="214"/>
      <c r="I380" s="214"/>
    </row>
    <row r="381" spans="1:9" x14ac:dyDescent="0.3">
      <c r="A381" s="3"/>
      <c r="B381" s="213" t="s">
        <v>6</v>
      </c>
      <c r="C381" s="213"/>
      <c r="D381" s="213"/>
      <c r="E381" s="213"/>
      <c r="F381" s="213"/>
      <c r="G381" s="213"/>
      <c r="H381" s="213"/>
      <c r="I381" s="213"/>
    </row>
    <row r="382" spans="1:9" ht="39.6" customHeight="1" x14ac:dyDescent="0.3">
      <c r="A382" s="60"/>
      <c r="B382" s="212" t="s">
        <v>320</v>
      </c>
      <c r="C382" s="212"/>
      <c r="D382" s="212"/>
      <c r="E382" s="212"/>
      <c r="F382" s="212"/>
      <c r="G382" s="212"/>
      <c r="H382" s="212"/>
      <c r="I382" s="212"/>
    </row>
    <row r="383" spans="1:9" ht="78" customHeight="1" x14ac:dyDescent="0.3">
      <c r="A383" s="175"/>
      <c r="B383" s="222" t="s">
        <v>321</v>
      </c>
      <c r="C383" s="222"/>
      <c r="D383" s="222"/>
      <c r="E383" s="222"/>
      <c r="F383" s="222"/>
      <c r="G383" s="222"/>
      <c r="H383" s="222"/>
      <c r="I383" s="222"/>
    </row>
    <row r="384" spans="1:9" ht="34.5" customHeight="1" x14ac:dyDescent="0.3">
      <c r="A384" s="175"/>
      <c r="B384" s="239" t="s">
        <v>322</v>
      </c>
      <c r="C384" s="240"/>
      <c r="D384" s="240"/>
      <c r="E384" s="240"/>
      <c r="F384" s="240"/>
      <c r="G384" s="240"/>
      <c r="H384" s="240"/>
      <c r="I384" s="240"/>
    </row>
    <row r="385" spans="1:9" ht="24.6" customHeight="1" x14ac:dyDescent="0.3">
      <c r="A385" s="175"/>
      <c r="B385" s="187" t="s">
        <v>21</v>
      </c>
      <c r="C385" s="241" t="s">
        <v>323</v>
      </c>
      <c r="D385" s="241"/>
      <c r="E385" s="241"/>
      <c r="F385" s="241"/>
      <c r="G385" s="241"/>
      <c r="H385" s="241"/>
      <c r="I385" s="241"/>
    </row>
    <row r="386" spans="1:9" x14ac:dyDescent="0.3">
      <c r="A386" s="60"/>
      <c r="B386" s="213" t="s">
        <v>0</v>
      </c>
      <c r="C386" s="213"/>
      <c r="D386" s="213"/>
      <c r="E386" s="213"/>
      <c r="F386" s="213"/>
      <c r="G386" s="213"/>
      <c r="H386" s="213"/>
      <c r="I386" s="213"/>
    </row>
    <row r="387" spans="1:9" ht="14.4" x14ac:dyDescent="0.3">
      <c r="B387" s="171" t="s">
        <v>8</v>
      </c>
      <c r="C387" s="212" t="s">
        <v>187</v>
      </c>
      <c r="D387" s="204"/>
      <c r="E387" s="204"/>
      <c r="F387" s="204"/>
      <c r="G387" s="204"/>
      <c r="H387" s="204"/>
      <c r="I387" s="204"/>
    </row>
    <row r="388" spans="1:9" ht="27.6" customHeight="1" x14ac:dyDescent="0.3">
      <c r="B388" s="171" t="s">
        <v>8</v>
      </c>
      <c r="C388" s="212" t="s">
        <v>324</v>
      </c>
      <c r="D388" s="204"/>
      <c r="E388" s="204"/>
      <c r="F388" s="204"/>
      <c r="G388" s="204"/>
      <c r="H388" s="204"/>
      <c r="I388" s="204"/>
    </row>
    <row r="389" spans="1:9" ht="27" customHeight="1" x14ac:dyDescent="0.3">
      <c r="B389" s="171" t="s">
        <v>8</v>
      </c>
      <c r="C389" s="212" t="s">
        <v>325</v>
      </c>
      <c r="D389" s="204"/>
      <c r="E389" s="204"/>
      <c r="F389" s="204"/>
      <c r="G389" s="204"/>
      <c r="H389" s="204"/>
      <c r="I389" s="204"/>
    </row>
    <row r="391" spans="1:9" ht="14.4" x14ac:dyDescent="0.3">
      <c r="A391" s="183" t="s">
        <v>326</v>
      </c>
      <c r="B391" s="214" t="s">
        <v>327</v>
      </c>
      <c r="C391" s="204"/>
      <c r="D391" s="204"/>
      <c r="E391" s="204"/>
      <c r="F391" s="204"/>
      <c r="G391" s="204"/>
      <c r="H391" s="204"/>
      <c r="I391" s="204"/>
    </row>
    <row r="392" spans="1:9" ht="14.4" x14ac:dyDescent="0.3">
      <c r="A392" s="3"/>
      <c r="B392" s="213" t="s">
        <v>6</v>
      </c>
      <c r="C392" s="204"/>
      <c r="D392" s="204"/>
      <c r="E392" s="204"/>
      <c r="F392" s="204"/>
      <c r="G392" s="204"/>
      <c r="H392" s="204"/>
      <c r="I392" s="204"/>
    </row>
    <row r="393" spans="1:9" ht="39.6" customHeight="1" x14ac:dyDescent="0.3">
      <c r="A393" s="60"/>
      <c r="B393" s="212" t="s">
        <v>328</v>
      </c>
      <c r="C393" s="204"/>
      <c r="D393" s="204"/>
      <c r="E393" s="204"/>
      <c r="F393" s="204"/>
      <c r="G393" s="204"/>
      <c r="H393" s="204"/>
      <c r="I393" s="204"/>
    </row>
    <row r="394" spans="1:9" ht="14.4" x14ac:dyDescent="0.3">
      <c r="A394" s="175"/>
      <c r="B394" s="220"/>
      <c r="C394" s="221"/>
      <c r="D394" s="221"/>
      <c r="E394" s="221"/>
      <c r="F394" s="221"/>
      <c r="G394" s="221"/>
      <c r="H394" s="221"/>
      <c r="I394" s="221"/>
    </row>
    <row r="395" spans="1:9" ht="14.4" x14ac:dyDescent="0.3">
      <c r="A395" s="60"/>
      <c r="B395" s="213" t="s">
        <v>0</v>
      </c>
      <c r="C395" s="204"/>
      <c r="D395" s="204"/>
      <c r="E395" s="204"/>
      <c r="F395" s="204"/>
      <c r="G395" s="204"/>
      <c r="H395" s="204"/>
      <c r="I395" s="204"/>
    </row>
    <row r="396" spans="1:9" ht="14.4" x14ac:dyDescent="0.3">
      <c r="B396" s="171" t="s">
        <v>8</v>
      </c>
      <c r="C396" s="212" t="s">
        <v>102</v>
      </c>
      <c r="D396" s="204"/>
      <c r="E396" s="204"/>
      <c r="F396" s="204"/>
      <c r="G396" s="204"/>
      <c r="H396" s="204"/>
      <c r="I396" s="204"/>
    </row>
    <row r="397" spans="1:9" ht="14.4" x14ac:dyDescent="0.3">
      <c r="B397" s="171" t="s">
        <v>8</v>
      </c>
      <c r="C397" s="212" t="s">
        <v>329</v>
      </c>
      <c r="D397" s="204"/>
      <c r="E397" s="204"/>
      <c r="F397" s="204"/>
      <c r="G397" s="204"/>
      <c r="H397" s="204"/>
      <c r="I397" s="204"/>
    </row>
    <row r="398" spans="1:9" ht="66" customHeight="1" x14ac:dyDescent="0.3">
      <c r="B398" s="171" t="s">
        <v>8</v>
      </c>
      <c r="C398" s="212" t="s">
        <v>330</v>
      </c>
      <c r="D398" s="204"/>
      <c r="E398" s="204"/>
      <c r="F398" s="204"/>
      <c r="G398" s="204"/>
      <c r="H398" s="204"/>
      <c r="I398" s="204"/>
    </row>
    <row r="399" spans="1:9" ht="26.1" customHeight="1" x14ac:dyDescent="0.3">
      <c r="B399" s="171" t="s">
        <v>8</v>
      </c>
      <c r="C399" s="212" t="s">
        <v>331</v>
      </c>
      <c r="D399" s="204"/>
      <c r="E399" s="204"/>
      <c r="F399" s="204"/>
      <c r="G399" s="204"/>
      <c r="H399" s="204"/>
      <c r="I399" s="204"/>
    </row>
    <row r="400" spans="1:9" x14ac:dyDescent="0.3">
      <c r="C400" s="212"/>
      <c r="D400" s="212"/>
      <c r="E400" s="212"/>
      <c r="F400" s="212"/>
      <c r="G400" s="212"/>
      <c r="H400" s="212"/>
      <c r="I400" s="212"/>
    </row>
    <row r="401" spans="1:9" ht="14.4" x14ac:dyDescent="0.3">
      <c r="A401" s="183" t="s">
        <v>332</v>
      </c>
      <c r="B401" s="214" t="s">
        <v>333</v>
      </c>
      <c r="C401" s="204"/>
      <c r="D401" s="204"/>
      <c r="E401" s="204"/>
      <c r="F401" s="204"/>
      <c r="G401" s="204"/>
      <c r="H401" s="204"/>
      <c r="I401" s="204"/>
    </row>
    <row r="402" spans="1:9" ht="14.4" x14ac:dyDescent="0.3">
      <c r="A402" s="3"/>
      <c r="B402" s="213" t="s">
        <v>6</v>
      </c>
      <c r="C402" s="204"/>
      <c r="D402" s="204"/>
      <c r="E402" s="204"/>
      <c r="F402" s="204"/>
      <c r="G402" s="204"/>
      <c r="H402" s="204"/>
      <c r="I402" s="204"/>
    </row>
    <row r="403" spans="1:9" ht="14.4" x14ac:dyDescent="0.3">
      <c r="A403" s="60"/>
      <c r="B403" s="212" t="s">
        <v>334</v>
      </c>
      <c r="C403" s="204"/>
      <c r="D403" s="204"/>
      <c r="E403" s="204"/>
      <c r="F403" s="204"/>
      <c r="G403" s="204"/>
      <c r="H403" s="204"/>
      <c r="I403" s="204"/>
    </row>
    <row r="404" spans="1:9" ht="81.900000000000006" customHeight="1" x14ac:dyDescent="0.3">
      <c r="A404" s="60"/>
      <c r="B404" s="222" t="s">
        <v>335</v>
      </c>
      <c r="C404" s="223"/>
      <c r="D404" s="223"/>
      <c r="E404" s="223"/>
      <c r="F404" s="223"/>
      <c r="G404" s="223"/>
      <c r="H404" s="223"/>
      <c r="I404" s="223"/>
    </row>
    <row r="405" spans="1:9" ht="14.4" x14ac:dyDescent="0.3">
      <c r="A405" s="175"/>
      <c r="B405" s="220"/>
      <c r="C405" s="221"/>
      <c r="D405" s="221"/>
      <c r="E405" s="221"/>
      <c r="F405" s="221"/>
      <c r="G405" s="221"/>
      <c r="H405" s="221"/>
      <c r="I405" s="221"/>
    </row>
    <row r="406" spans="1:9" ht="14.4" x14ac:dyDescent="0.3">
      <c r="A406" s="60"/>
      <c r="B406" s="213" t="s">
        <v>0</v>
      </c>
      <c r="C406" s="204"/>
      <c r="D406" s="204"/>
      <c r="E406" s="204"/>
      <c r="F406" s="204"/>
      <c r="G406" s="204"/>
      <c r="H406" s="204"/>
      <c r="I406" s="204"/>
    </row>
    <row r="407" spans="1:9" ht="14.4" x14ac:dyDescent="0.3">
      <c r="B407" s="171" t="s">
        <v>8</v>
      </c>
      <c r="C407" s="212" t="s">
        <v>187</v>
      </c>
      <c r="D407" s="204"/>
      <c r="E407" s="204"/>
      <c r="F407" s="204"/>
      <c r="G407" s="204"/>
      <c r="H407" s="204"/>
      <c r="I407" s="204"/>
    </row>
    <row r="408" spans="1:9" ht="27.9" customHeight="1" x14ac:dyDescent="0.3">
      <c r="B408" s="171" t="s">
        <v>8</v>
      </c>
      <c r="C408" s="212" t="s">
        <v>336</v>
      </c>
      <c r="D408" s="204"/>
      <c r="E408" s="204"/>
      <c r="F408" s="204"/>
      <c r="G408" s="204"/>
      <c r="H408" s="204"/>
      <c r="I408" s="204"/>
    </row>
    <row r="410" spans="1:9" ht="14.4" x14ac:dyDescent="0.3">
      <c r="A410" s="183" t="s">
        <v>337</v>
      </c>
      <c r="B410" s="214" t="s">
        <v>338</v>
      </c>
      <c r="C410" s="204"/>
      <c r="D410" s="204"/>
      <c r="E410" s="204"/>
      <c r="F410" s="204"/>
      <c r="G410" s="204"/>
      <c r="H410" s="204"/>
      <c r="I410" s="204"/>
    </row>
    <row r="411" spans="1:9" ht="14.4" x14ac:dyDescent="0.3">
      <c r="A411" s="3"/>
      <c r="B411" s="213" t="s">
        <v>6</v>
      </c>
      <c r="C411" s="204"/>
      <c r="D411" s="204"/>
      <c r="E411" s="204"/>
      <c r="F411" s="204"/>
      <c r="G411" s="204"/>
      <c r="H411" s="204"/>
      <c r="I411" s="204"/>
    </row>
    <row r="412" spans="1:9" ht="27.9" customHeight="1" x14ac:dyDescent="0.3">
      <c r="A412" s="60"/>
      <c r="B412" s="212"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3" t="s">
        <v>0</v>
      </c>
      <c r="C414" s="204"/>
      <c r="D414" s="204"/>
      <c r="E414" s="204"/>
      <c r="F414" s="204"/>
      <c r="G414" s="204"/>
      <c r="H414" s="204"/>
      <c r="I414" s="204"/>
    </row>
    <row r="415" spans="1:9" ht="14.4" x14ac:dyDescent="0.3">
      <c r="B415" s="171" t="s">
        <v>8</v>
      </c>
      <c r="C415" s="212" t="s">
        <v>340</v>
      </c>
      <c r="D415" s="204"/>
      <c r="E415" s="204"/>
      <c r="F415" s="204"/>
      <c r="G415" s="204"/>
      <c r="H415" s="204"/>
      <c r="I415" s="204"/>
    </row>
    <row r="416" spans="1:9" ht="26.4" customHeight="1" x14ac:dyDescent="0.3">
      <c r="B416" s="171" t="s">
        <v>8</v>
      </c>
      <c r="C416" s="212" t="s">
        <v>341</v>
      </c>
      <c r="D416" s="204"/>
      <c r="E416" s="204"/>
      <c r="F416" s="204"/>
      <c r="G416" s="204"/>
      <c r="H416" s="204"/>
      <c r="I416" s="204"/>
    </row>
    <row r="417" spans="1:9" ht="25.5" customHeight="1" x14ac:dyDescent="0.3">
      <c r="B417" s="171" t="s">
        <v>8</v>
      </c>
      <c r="C417" s="212"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14" t="s">
        <v>344</v>
      </c>
      <c r="C419" s="214"/>
      <c r="D419" s="214"/>
      <c r="E419" s="214"/>
      <c r="F419" s="214"/>
      <c r="G419" s="214"/>
      <c r="H419" s="214"/>
      <c r="I419" s="214"/>
    </row>
    <row r="420" spans="1:9" x14ac:dyDescent="0.3">
      <c r="A420" s="3"/>
      <c r="B420" s="213" t="s">
        <v>6</v>
      </c>
      <c r="C420" s="213"/>
      <c r="D420" s="213"/>
      <c r="E420" s="213"/>
      <c r="F420" s="213"/>
      <c r="G420" s="213"/>
      <c r="H420" s="213"/>
      <c r="I420" s="213"/>
    </row>
    <row r="421" spans="1:9" ht="42" customHeight="1" x14ac:dyDescent="0.3">
      <c r="A421" s="60"/>
      <c r="B421" s="212" t="s">
        <v>345</v>
      </c>
      <c r="C421" s="212"/>
      <c r="D421" s="212"/>
      <c r="E421" s="212"/>
      <c r="F421" s="212"/>
      <c r="G421" s="212"/>
      <c r="H421" s="212"/>
      <c r="I421" s="212"/>
    </row>
    <row r="422" spans="1:9" x14ac:dyDescent="0.3">
      <c r="A422" s="60"/>
      <c r="B422" s="236"/>
      <c r="C422" s="236"/>
      <c r="D422" s="236"/>
      <c r="E422" s="236"/>
      <c r="F422" s="236"/>
      <c r="G422" s="236"/>
      <c r="H422" s="236"/>
      <c r="I422" s="236"/>
    </row>
    <row r="423" spans="1:9" x14ac:dyDescent="0.3">
      <c r="A423" s="60"/>
      <c r="B423" s="213" t="s">
        <v>0</v>
      </c>
      <c r="C423" s="213"/>
      <c r="D423" s="213"/>
      <c r="E423" s="213"/>
      <c r="F423" s="213"/>
      <c r="G423" s="213"/>
      <c r="H423" s="213"/>
      <c r="I423" s="213"/>
    </row>
    <row r="424" spans="1:9" ht="14.4" x14ac:dyDescent="0.3">
      <c r="B424" s="171" t="s">
        <v>8</v>
      </c>
      <c r="C424" s="212" t="s">
        <v>70</v>
      </c>
      <c r="D424" s="204"/>
      <c r="E424" s="204"/>
      <c r="F424" s="204"/>
      <c r="G424" s="204"/>
      <c r="H424" s="204"/>
      <c r="I424" s="204"/>
    </row>
    <row r="425" spans="1:9" ht="42.9" customHeight="1" x14ac:dyDescent="0.3">
      <c r="B425" s="171" t="s">
        <v>8</v>
      </c>
      <c r="C425" s="212"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14"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14" t="s">
        <v>351</v>
      </c>
      <c r="C431" s="204"/>
      <c r="D431" s="204"/>
      <c r="E431" s="204"/>
      <c r="F431" s="204"/>
      <c r="G431" s="204"/>
      <c r="H431" s="204"/>
      <c r="I431" s="204"/>
    </row>
    <row r="432" spans="1:9" ht="14.4" x14ac:dyDescent="0.3">
      <c r="A432" s="3"/>
      <c r="B432" s="213" t="s">
        <v>6</v>
      </c>
      <c r="C432" s="204"/>
      <c r="D432" s="204"/>
      <c r="E432" s="204"/>
      <c r="F432" s="204"/>
      <c r="G432" s="204"/>
      <c r="H432" s="204"/>
      <c r="I432" s="204"/>
    </row>
    <row r="433" spans="1:9" ht="35.1" customHeight="1" x14ac:dyDescent="0.3">
      <c r="A433" s="60"/>
      <c r="B433" s="212" t="s">
        <v>352</v>
      </c>
      <c r="C433" s="204"/>
      <c r="D433" s="204"/>
      <c r="E433" s="204"/>
      <c r="F433" s="204"/>
      <c r="G433" s="204"/>
      <c r="H433" s="204"/>
      <c r="I433" s="204"/>
    </row>
    <row r="434" spans="1:9" ht="36.9" customHeight="1" x14ac:dyDescent="0.3">
      <c r="A434" s="175"/>
      <c r="B434" s="212" t="s">
        <v>353</v>
      </c>
      <c r="C434" s="204"/>
      <c r="D434" s="204"/>
      <c r="E434" s="204"/>
      <c r="F434" s="204"/>
      <c r="G434" s="204"/>
      <c r="H434" s="204"/>
      <c r="I434" s="204"/>
    </row>
    <row r="435" spans="1:9" ht="30.9" customHeight="1" x14ac:dyDescent="0.3">
      <c r="A435" s="175"/>
      <c r="B435" s="212"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3" t="s">
        <v>0</v>
      </c>
      <c r="C437" s="204"/>
      <c r="D437" s="204"/>
      <c r="E437" s="204"/>
      <c r="F437" s="204"/>
      <c r="G437" s="204"/>
      <c r="H437" s="204"/>
      <c r="I437" s="204"/>
    </row>
    <row r="438" spans="1:9" ht="14.4" x14ac:dyDescent="0.3">
      <c r="B438" s="171" t="s">
        <v>8</v>
      </c>
      <c r="C438" s="212" t="s">
        <v>187</v>
      </c>
      <c r="D438" s="204"/>
      <c r="E438" s="204"/>
      <c r="F438" s="204"/>
      <c r="G438" s="204"/>
      <c r="H438" s="204"/>
      <c r="I438" s="204"/>
    </row>
    <row r="439" spans="1:9" ht="26.4" customHeight="1" x14ac:dyDescent="0.3">
      <c r="B439" s="171" t="s">
        <v>8</v>
      </c>
      <c r="C439" s="212" t="s">
        <v>355</v>
      </c>
      <c r="D439" s="204"/>
      <c r="E439" s="204"/>
      <c r="F439" s="204"/>
      <c r="G439" s="204"/>
      <c r="H439" s="204"/>
      <c r="I439" s="204"/>
    </row>
    <row r="440" spans="1:9" ht="14.4" x14ac:dyDescent="0.3">
      <c r="B440" s="171" t="s">
        <v>8</v>
      </c>
      <c r="C440" s="212" t="s">
        <v>356</v>
      </c>
      <c r="D440" s="204"/>
      <c r="E440" s="204"/>
      <c r="F440" s="204"/>
      <c r="G440" s="204"/>
      <c r="H440" s="204"/>
      <c r="I440" s="204"/>
    </row>
    <row r="441" spans="1:9" ht="15.9" customHeight="1" x14ac:dyDescent="0.3">
      <c r="B441" s="171" t="s">
        <v>8</v>
      </c>
      <c r="C441" s="212" t="s">
        <v>357</v>
      </c>
      <c r="D441" s="204"/>
      <c r="E441" s="204"/>
      <c r="F441" s="204"/>
      <c r="G441" s="204"/>
      <c r="H441" s="204"/>
      <c r="I441" s="204"/>
    </row>
    <row r="443" spans="1:9" ht="14.4" x14ac:dyDescent="0.3">
      <c r="A443" s="183" t="s">
        <v>358</v>
      </c>
      <c r="B443" s="214" t="s">
        <v>359</v>
      </c>
      <c r="C443" s="204"/>
      <c r="D443" s="204"/>
      <c r="E443" s="204"/>
      <c r="F443" s="204"/>
      <c r="G443" s="204"/>
      <c r="H443" s="204"/>
      <c r="I443" s="204"/>
    </row>
    <row r="444" spans="1:9" ht="14.4" x14ac:dyDescent="0.3">
      <c r="A444" s="3"/>
      <c r="B444" s="213" t="s">
        <v>6</v>
      </c>
      <c r="C444" s="204"/>
      <c r="D444" s="204"/>
      <c r="E444" s="204"/>
      <c r="F444" s="204"/>
      <c r="G444" s="204"/>
      <c r="H444" s="204"/>
      <c r="I444" s="204"/>
    </row>
    <row r="445" spans="1:9" ht="39.6" customHeight="1" x14ac:dyDescent="0.3">
      <c r="A445" s="60"/>
      <c r="B445" s="212" t="s">
        <v>360</v>
      </c>
      <c r="C445" s="204"/>
      <c r="D445" s="204"/>
      <c r="E445" s="204"/>
      <c r="F445" s="204"/>
      <c r="G445" s="204"/>
      <c r="H445" s="204"/>
      <c r="I445" s="204"/>
    </row>
    <row r="446" spans="1:9" ht="14.4" x14ac:dyDescent="0.3">
      <c r="A446" s="175"/>
      <c r="B446" s="220"/>
      <c r="C446" s="221"/>
      <c r="D446" s="221"/>
      <c r="E446" s="221"/>
      <c r="F446" s="221"/>
      <c r="G446" s="221"/>
      <c r="H446" s="221"/>
      <c r="I446" s="221"/>
    </row>
    <row r="447" spans="1:9" ht="14.4" x14ac:dyDescent="0.3">
      <c r="A447" s="60"/>
      <c r="B447" s="213" t="s">
        <v>0</v>
      </c>
      <c r="C447" s="204"/>
      <c r="D447" s="204"/>
      <c r="E447" s="204"/>
      <c r="F447" s="204"/>
      <c r="G447" s="204"/>
      <c r="H447" s="204"/>
      <c r="I447" s="204"/>
    </row>
    <row r="448" spans="1:9" ht="14.4" x14ac:dyDescent="0.3">
      <c r="B448" s="171" t="s">
        <v>8</v>
      </c>
      <c r="C448" s="212" t="s">
        <v>187</v>
      </c>
      <c r="D448" s="204"/>
      <c r="E448" s="204"/>
      <c r="F448" s="204"/>
      <c r="G448" s="204"/>
      <c r="H448" s="204"/>
      <c r="I448" s="204"/>
    </row>
    <row r="449" spans="1:9" ht="15.6" customHeight="1" x14ac:dyDescent="0.3">
      <c r="B449" s="171" t="s">
        <v>8</v>
      </c>
      <c r="C449" s="212" t="s">
        <v>361</v>
      </c>
      <c r="D449" s="204"/>
      <c r="E449" s="204"/>
      <c r="F449" s="204"/>
      <c r="G449" s="204"/>
      <c r="H449" s="204"/>
      <c r="I449" s="204"/>
    </row>
    <row r="450" spans="1:9" ht="14.1" customHeight="1" x14ac:dyDescent="0.3">
      <c r="B450" s="171" t="s">
        <v>8</v>
      </c>
      <c r="C450" s="212" t="s">
        <v>362</v>
      </c>
      <c r="D450" s="204"/>
      <c r="E450" s="204"/>
      <c r="F450" s="204"/>
      <c r="G450" s="204"/>
      <c r="H450" s="204"/>
      <c r="I450" s="204"/>
    </row>
    <row r="451" spans="1:9" ht="29.4" customHeight="1" x14ac:dyDescent="0.3">
      <c r="B451" s="171" t="s">
        <v>8</v>
      </c>
      <c r="C451" s="212"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14"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14" t="s">
        <v>366</v>
      </c>
      <c r="C455" s="204"/>
      <c r="D455" s="204"/>
      <c r="E455" s="204"/>
      <c r="F455" s="204"/>
      <c r="G455" s="204"/>
      <c r="H455" s="204"/>
      <c r="I455" s="204"/>
    </row>
    <row r="456" spans="1:9" ht="14.4" x14ac:dyDescent="0.3">
      <c r="A456" s="3"/>
      <c r="B456" s="213" t="s">
        <v>6</v>
      </c>
      <c r="C456" s="204"/>
      <c r="D456" s="204"/>
      <c r="E456" s="204"/>
      <c r="F456" s="204"/>
      <c r="G456" s="204"/>
      <c r="H456" s="204"/>
      <c r="I456" s="204"/>
    </row>
    <row r="457" spans="1:9" ht="81" customHeight="1" x14ac:dyDescent="0.3">
      <c r="A457" s="60"/>
      <c r="B457" s="212" t="s">
        <v>367</v>
      </c>
      <c r="C457" s="204"/>
      <c r="D457" s="204"/>
      <c r="E457" s="204"/>
      <c r="F457" s="204"/>
      <c r="G457" s="204"/>
      <c r="H457" s="204"/>
      <c r="I457" s="204"/>
    </row>
    <row r="458" spans="1:9" ht="14.4" x14ac:dyDescent="0.3">
      <c r="A458" s="175"/>
      <c r="B458" s="220"/>
      <c r="C458" s="221"/>
      <c r="D458" s="221"/>
      <c r="E458" s="221"/>
      <c r="F458" s="221"/>
      <c r="G458" s="221"/>
      <c r="H458" s="221"/>
      <c r="I458" s="221"/>
    </row>
    <row r="459" spans="1:9" ht="14.4" x14ac:dyDescent="0.3">
      <c r="A459" s="60"/>
      <c r="B459" s="213" t="s">
        <v>0</v>
      </c>
      <c r="C459" s="204"/>
      <c r="D459" s="204"/>
      <c r="E459" s="204"/>
      <c r="F459" s="204"/>
      <c r="G459" s="204"/>
      <c r="H459" s="204"/>
      <c r="I459" s="204"/>
    </row>
    <row r="460" spans="1:9" ht="14.4" x14ac:dyDescent="0.3">
      <c r="B460" s="171" t="s">
        <v>8</v>
      </c>
      <c r="C460" s="212" t="s">
        <v>187</v>
      </c>
      <c r="D460" s="204"/>
      <c r="E460" s="204"/>
      <c r="F460" s="204"/>
      <c r="G460" s="204"/>
      <c r="H460" s="204"/>
      <c r="I460" s="204"/>
    </row>
    <row r="461" spans="1:9" ht="14.4" x14ac:dyDescent="0.3">
      <c r="B461" s="171" t="s">
        <v>8</v>
      </c>
      <c r="C461" s="212" t="s">
        <v>368</v>
      </c>
      <c r="D461" s="204"/>
      <c r="E461" s="204"/>
      <c r="F461" s="204"/>
      <c r="G461" s="204"/>
      <c r="H461" s="204"/>
      <c r="I461" s="204"/>
    </row>
    <row r="462" spans="1:9" ht="26.4" customHeight="1" x14ac:dyDescent="0.3">
      <c r="B462" s="171" t="s">
        <v>8</v>
      </c>
      <c r="C462" s="212" t="s">
        <v>369</v>
      </c>
      <c r="D462" s="204"/>
      <c r="E462" s="204"/>
      <c r="F462" s="204"/>
      <c r="G462" s="204"/>
      <c r="H462" s="204"/>
      <c r="I462" s="204"/>
    </row>
    <row r="463" spans="1:9" ht="25.5" customHeight="1" x14ac:dyDescent="0.3">
      <c r="B463" s="171" t="s">
        <v>8</v>
      </c>
      <c r="C463" s="212" t="s">
        <v>370</v>
      </c>
      <c r="D463" s="204"/>
      <c r="E463" s="204"/>
      <c r="F463" s="204"/>
      <c r="G463" s="204"/>
      <c r="H463" s="204"/>
      <c r="I463" s="204"/>
    </row>
    <row r="464" spans="1:9" ht="39.6" customHeight="1" x14ac:dyDescent="0.3">
      <c r="B464" s="171" t="s">
        <v>8</v>
      </c>
      <c r="C464" s="212" t="s">
        <v>371</v>
      </c>
      <c r="D464" s="204"/>
      <c r="E464" s="204"/>
      <c r="F464" s="204"/>
      <c r="G464" s="204"/>
      <c r="H464" s="204"/>
      <c r="I464" s="204"/>
    </row>
    <row r="465" spans="1:9" ht="27" customHeight="1" x14ac:dyDescent="0.3">
      <c r="B465" s="171" t="s">
        <v>8</v>
      </c>
      <c r="C465" s="212" t="s">
        <v>372</v>
      </c>
      <c r="D465" s="204"/>
      <c r="E465" s="204"/>
      <c r="F465" s="204"/>
      <c r="G465" s="204"/>
      <c r="H465" s="204"/>
      <c r="I465" s="204"/>
    </row>
    <row r="466" spans="1:9" ht="40.5" customHeight="1" x14ac:dyDescent="0.3">
      <c r="B466" s="171" t="s">
        <v>8</v>
      </c>
      <c r="C466" s="212" t="s">
        <v>373</v>
      </c>
      <c r="D466" s="204"/>
      <c r="E466" s="204"/>
      <c r="F466" s="204"/>
      <c r="G466" s="204"/>
      <c r="H466" s="204"/>
      <c r="I466" s="204"/>
    </row>
    <row r="467" spans="1:9" ht="27" customHeight="1" x14ac:dyDescent="0.3">
      <c r="B467" s="171" t="s">
        <v>8</v>
      </c>
      <c r="C467" s="212" t="s">
        <v>374</v>
      </c>
      <c r="D467" s="204"/>
      <c r="E467" s="204"/>
      <c r="F467" s="204"/>
      <c r="G467" s="204"/>
      <c r="H467" s="204"/>
      <c r="I467" s="204"/>
    </row>
    <row r="468" spans="1:9" ht="26.1" customHeight="1" x14ac:dyDescent="0.3">
      <c r="B468" s="171" t="s">
        <v>8</v>
      </c>
      <c r="C468" s="212"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14" t="s">
        <v>377</v>
      </c>
      <c r="C470" s="204"/>
      <c r="D470" s="204"/>
      <c r="E470" s="204"/>
      <c r="F470" s="204"/>
      <c r="G470" s="204"/>
      <c r="H470" s="204"/>
      <c r="I470" s="204"/>
    </row>
    <row r="471" spans="1:9" ht="14.4" x14ac:dyDescent="0.3">
      <c r="A471" s="3"/>
      <c r="B471" s="213" t="s">
        <v>6</v>
      </c>
      <c r="C471" s="204"/>
      <c r="D471" s="204"/>
      <c r="E471" s="204"/>
      <c r="F471" s="204"/>
      <c r="G471" s="204"/>
      <c r="H471" s="204"/>
      <c r="I471" s="204"/>
    </row>
    <row r="472" spans="1:9" ht="40.5" customHeight="1" x14ac:dyDescent="0.3">
      <c r="A472" s="60"/>
      <c r="B472" s="212" t="s">
        <v>378</v>
      </c>
      <c r="C472" s="204"/>
      <c r="D472" s="204"/>
      <c r="E472" s="204"/>
      <c r="F472" s="204"/>
      <c r="G472" s="204"/>
      <c r="H472" s="204"/>
      <c r="I472" s="204"/>
    </row>
    <row r="473" spans="1:9" ht="14.4" x14ac:dyDescent="0.3">
      <c r="A473" s="175"/>
      <c r="B473" s="220"/>
      <c r="C473" s="221"/>
      <c r="D473" s="221"/>
      <c r="E473" s="221"/>
      <c r="F473" s="221"/>
      <c r="G473" s="221"/>
      <c r="H473" s="221"/>
      <c r="I473" s="221"/>
    </row>
    <row r="474" spans="1:9" ht="14.4" x14ac:dyDescent="0.3">
      <c r="A474" s="60"/>
      <c r="B474" s="213" t="s">
        <v>0</v>
      </c>
      <c r="C474" s="204"/>
      <c r="D474" s="204"/>
      <c r="E474" s="204"/>
      <c r="F474" s="204"/>
      <c r="G474" s="204"/>
      <c r="H474" s="204"/>
      <c r="I474" s="204"/>
    </row>
    <row r="475" spans="1:9" ht="14.4" x14ac:dyDescent="0.3">
      <c r="B475" s="171" t="s">
        <v>8</v>
      </c>
      <c r="C475" s="212" t="s">
        <v>187</v>
      </c>
      <c r="D475" s="204"/>
      <c r="E475" s="204"/>
      <c r="F475" s="204"/>
      <c r="G475" s="204"/>
      <c r="H475" s="204"/>
      <c r="I475" s="204"/>
    </row>
    <row r="476" spans="1:9" ht="41.4" customHeight="1" x14ac:dyDescent="0.3">
      <c r="B476" s="171" t="s">
        <v>8</v>
      </c>
      <c r="C476" s="212" t="s">
        <v>379</v>
      </c>
      <c r="D476" s="204"/>
      <c r="E476" s="204"/>
      <c r="F476" s="204"/>
      <c r="G476" s="204"/>
      <c r="H476" s="204"/>
      <c r="I476" s="204"/>
    </row>
    <row r="477" spans="1:9" ht="26.4" customHeight="1" x14ac:dyDescent="0.3">
      <c r="B477" s="171" t="s">
        <v>8</v>
      </c>
      <c r="C477" s="212" t="s">
        <v>380</v>
      </c>
      <c r="D477" s="204"/>
      <c r="E477" s="204"/>
      <c r="F477" s="204"/>
      <c r="G477" s="204"/>
      <c r="H477" s="204"/>
      <c r="I477" s="204"/>
    </row>
    <row r="478" spans="1:9" ht="27.6" customHeight="1" x14ac:dyDescent="0.3">
      <c r="B478" s="171" t="s">
        <v>8</v>
      </c>
      <c r="C478" s="212"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14" t="s">
        <v>383</v>
      </c>
      <c r="C480" s="204"/>
      <c r="D480" s="204"/>
      <c r="E480" s="204"/>
      <c r="F480" s="204"/>
      <c r="G480" s="204"/>
      <c r="H480" s="204"/>
      <c r="I480" s="204"/>
    </row>
    <row r="481" spans="1:9" ht="14.4" x14ac:dyDescent="0.3">
      <c r="A481" s="3"/>
      <c r="B481" s="213" t="s">
        <v>6</v>
      </c>
      <c r="C481" s="204"/>
      <c r="D481" s="204"/>
      <c r="E481" s="204"/>
      <c r="F481" s="204"/>
      <c r="G481" s="204"/>
      <c r="H481" s="204"/>
      <c r="I481" s="204"/>
    </row>
    <row r="482" spans="1:9" ht="28.5" customHeight="1" x14ac:dyDescent="0.3">
      <c r="A482" s="60"/>
      <c r="B482" s="212"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3" t="s">
        <v>0</v>
      </c>
      <c r="C484" s="204"/>
      <c r="D484" s="204"/>
      <c r="E484" s="204"/>
      <c r="F484" s="204"/>
      <c r="G484" s="204"/>
      <c r="H484" s="204"/>
      <c r="I484" s="204"/>
    </row>
    <row r="485" spans="1:9" ht="14.4" x14ac:dyDescent="0.3">
      <c r="B485" s="171" t="s">
        <v>8</v>
      </c>
      <c r="C485" s="212" t="s">
        <v>187</v>
      </c>
      <c r="D485" s="204"/>
      <c r="E485" s="204"/>
      <c r="F485" s="204"/>
      <c r="G485" s="204"/>
      <c r="H485" s="204"/>
      <c r="I485" s="204"/>
    </row>
    <row r="486" spans="1:9" ht="27" customHeight="1" x14ac:dyDescent="0.3">
      <c r="B486" s="171" t="s">
        <v>8</v>
      </c>
      <c r="C486" s="212" t="s">
        <v>385</v>
      </c>
      <c r="D486" s="204"/>
      <c r="E486" s="204"/>
      <c r="F486" s="204"/>
      <c r="G486" s="204"/>
      <c r="H486" s="204"/>
      <c r="I486" s="204"/>
    </row>
    <row r="487" spans="1:9" ht="14.4" customHeight="1" x14ac:dyDescent="0.3">
      <c r="B487" s="171" t="s">
        <v>8</v>
      </c>
      <c r="C487" s="212" t="s">
        <v>386</v>
      </c>
      <c r="D487" s="204"/>
      <c r="E487" s="204"/>
      <c r="F487" s="204"/>
      <c r="G487" s="204"/>
      <c r="H487" s="204"/>
      <c r="I487" s="204"/>
    </row>
    <row r="488" spans="1:9" ht="14.4" x14ac:dyDescent="0.3">
      <c r="D488" s="170"/>
      <c r="E488" s="170"/>
      <c r="F488" s="170"/>
      <c r="H488" s="170"/>
      <c r="I488" s="170"/>
    </row>
    <row r="489" spans="1:9" x14ac:dyDescent="0.3">
      <c r="A489" s="183" t="s">
        <v>387</v>
      </c>
      <c r="B489" s="214" t="s">
        <v>388</v>
      </c>
      <c r="C489" s="214"/>
      <c r="D489" s="214"/>
      <c r="E489" s="214"/>
      <c r="F489" s="214"/>
      <c r="G489" s="214"/>
      <c r="H489" s="214"/>
      <c r="I489" s="214"/>
    </row>
    <row r="490" spans="1:9" x14ac:dyDescent="0.3">
      <c r="A490" s="3"/>
      <c r="B490" s="213" t="s">
        <v>6</v>
      </c>
      <c r="C490" s="213"/>
      <c r="D490" s="213"/>
      <c r="E490" s="213"/>
      <c r="F490" s="213"/>
      <c r="G490" s="213"/>
      <c r="H490" s="213"/>
      <c r="I490" s="213"/>
    </row>
    <row r="491" spans="1:9" ht="29.1" customHeight="1" x14ac:dyDescent="0.3">
      <c r="A491" s="60"/>
      <c r="B491" s="212" t="s">
        <v>389</v>
      </c>
      <c r="C491" s="212"/>
      <c r="D491" s="212"/>
      <c r="E491" s="212"/>
      <c r="F491" s="212"/>
      <c r="G491" s="212"/>
      <c r="H491" s="212"/>
      <c r="I491" s="212"/>
    </row>
    <row r="492" spans="1:9" ht="111.9" customHeight="1" x14ac:dyDescent="0.3">
      <c r="A492" s="60"/>
      <c r="B492" s="222" t="s">
        <v>390</v>
      </c>
      <c r="C492" s="223"/>
      <c r="D492" s="223"/>
      <c r="E492" s="223"/>
      <c r="F492" s="223"/>
      <c r="G492" s="223"/>
      <c r="H492" s="223"/>
      <c r="I492" s="223"/>
    </row>
    <row r="493" spans="1:9" ht="15.6" customHeight="1" x14ac:dyDescent="0.3">
      <c r="A493" s="60"/>
      <c r="B493" s="212"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5" t="s">
        <v>392</v>
      </c>
      <c r="D495" s="215"/>
      <c r="E495" s="215"/>
      <c r="F495" s="215"/>
      <c r="G495" s="215"/>
      <c r="H495" s="215"/>
      <c r="I495" s="215"/>
    </row>
    <row r="496" spans="1:9" ht="28.5" customHeight="1" x14ac:dyDescent="0.3">
      <c r="A496" s="60"/>
      <c r="B496" s="171" t="s">
        <v>23</v>
      </c>
      <c r="C496" s="215" t="s">
        <v>393</v>
      </c>
      <c r="D496" s="215"/>
      <c r="E496" s="215"/>
      <c r="F496" s="215"/>
      <c r="G496" s="215"/>
      <c r="H496" s="215"/>
      <c r="I496" s="215"/>
    </row>
    <row r="497" spans="1:9" ht="15.6" customHeight="1" x14ac:dyDescent="0.3">
      <c r="A497" s="60"/>
      <c r="B497" s="171" t="s">
        <v>25</v>
      </c>
      <c r="C497" s="215" t="s">
        <v>394</v>
      </c>
      <c r="D497" s="215"/>
      <c r="E497" s="215"/>
      <c r="F497" s="215"/>
      <c r="G497" s="215"/>
      <c r="H497" s="215"/>
      <c r="I497" s="215"/>
    </row>
    <row r="498" spans="1:9" x14ac:dyDescent="0.3">
      <c r="A498" s="175"/>
      <c r="B498" s="220"/>
      <c r="C498" s="220"/>
      <c r="D498" s="220"/>
      <c r="E498" s="220"/>
      <c r="F498" s="220"/>
      <c r="G498" s="220"/>
      <c r="H498" s="220"/>
      <c r="I498" s="220"/>
    </row>
    <row r="499" spans="1:9" x14ac:dyDescent="0.3">
      <c r="A499" s="60"/>
      <c r="B499" s="213" t="s">
        <v>0</v>
      </c>
      <c r="C499" s="213"/>
      <c r="D499" s="213"/>
      <c r="E499" s="213"/>
      <c r="F499" s="213"/>
      <c r="G499" s="213"/>
      <c r="H499" s="213"/>
      <c r="I499" s="213"/>
    </row>
    <row r="500" spans="1:9" x14ac:dyDescent="0.3">
      <c r="B500" s="171" t="s">
        <v>8</v>
      </c>
      <c r="C500" s="212" t="s">
        <v>187</v>
      </c>
      <c r="D500" s="212"/>
      <c r="E500" s="212"/>
      <c r="F500" s="212"/>
      <c r="G500" s="212"/>
      <c r="H500" s="212"/>
      <c r="I500" s="212"/>
    </row>
    <row r="501" spans="1:9" ht="12.6" customHeight="1" x14ac:dyDescent="0.3">
      <c r="B501" s="171" t="s">
        <v>8</v>
      </c>
      <c r="C501" s="212" t="s">
        <v>395</v>
      </c>
      <c r="D501" s="212"/>
      <c r="E501" s="212"/>
      <c r="F501" s="212"/>
      <c r="G501" s="212"/>
      <c r="H501" s="212"/>
      <c r="I501" s="212"/>
    </row>
    <row r="502" spans="1:9" ht="24.9" customHeight="1" x14ac:dyDescent="0.3">
      <c r="B502" s="171" t="s">
        <v>8</v>
      </c>
      <c r="C502" s="212" t="s">
        <v>396</v>
      </c>
      <c r="D502" s="212"/>
      <c r="E502" s="212"/>
      <c r="F502" s="212"/>
      <c r="G502" s="212"/>
      <c r="H502" s="212"/>
      <c r="I502" s="212"/>
    </row>
    <row r="504" spans="1:9" ht="14.4" x14ac:dyDescent="0.3">
      <c r="A504" s="183" t="s">
        <v>397</v>
      </c>
      <c r="B504" s="214" t="s">
        <v>398</v>
      </c>
      <c r="C504" s="204"/>
      <c r="D504" s="204"/>
      <c r="E504" s="204"/>
      <c r="F504" s="204"/>
      <c r="G504" s="204"/>
      <c r="H504" s="204"/>
      <c r="I504" s="204"/>
    </row>
    <row r="505" spans="1:9" ht="14.4" x14ac:dyDescent="0.3">
      <c r="A505" s="3"/>
      <c r="B505" s="213" t="s">
        <v>6</v>
      </c>
      <c r="C505" s="204"/>
      <c r="D505" s="204"/>
      <c r="E505" s="204"/>
      <c r="F505" s="204"/>
      <c r="G505" s="204"/>
      <c r="H505" s="204"/>
      <c r="I505" s="204"/>
    </row>
    <row r="506" spans="1:9" ht="26.1" customHeight="1" x14ac:dyDescent="0.3">
      <c r="A506" s="60"/>
      <c r="B506" s="212" t="s">
        <v>399</v>
      </c>
      <c r="C506" s="204"/>
      <c r="D506" s="204"/>
      <c r="E506" s="204"/>
      <c r="F506" s="204"/>
      <c r="G506" s="204"/>
      <c r="H506" s="204"/>
      <c r="I506" s="204"/>
    </row>
    <row r="507" spans="1:9" ht="14.4" x14ac:dyDescent="0.3">
      <c r="A507" s="175"/>
      <c r="B507" s="220"/>
      <c r="C507" s="221"/>
      <c r="D507" s="221"/>
      <c r="E507" s="221"/>
      <c r="F507" s="221"/>
      <c r="G507" s="221"/>
      <c r="H507" s="221"/>
      <c r="I507" s="221"/>
    </row>
    <row r="508" spans="1:9" ht="14.4" x14ac:dyDescent="0.3">
      <c r="A508" s="60"/>
      <c r="B508" s="213" t="s">
        <v>0</v>
      </c>
      <c r="C508" s="204"/>
      <c r="D508" s="204"/>
      <c r="E508" s="204"/>
      <c r="F508" s="204"/>
      <c r="G508" s="204"/>
      <c r="H508" s="204"/>
      <c r="I508" s="204"/>
    </row>
    <row r="509" spans="1:9" ht="14.4" x14ac:dyDescent="0.3">
      <c r="B509" s="171" t="s">
        <v>8</v>
      </c>
      <c r="C509" s="212" t="s">
        <v>187</v>
      </c>
      <c r="D509" s="204"/>
      <c r="E509" s="204"/>
      <c r="F509" s="204"/>
      <c r="G509" s="204"/>
      <c r="H509" s="204"/>
      <c r="I509" s="204"/>
    </row>
    <row r="510" spans="1:9" ht="14.4" x14ac:dyDescent="0.3">
      <c r="B510" s="171" t="s">
        <v>8</v>
      </c>
      <c r="C510" s="212" t="s">
        <v>400</v>
      </c>
      <c r="D510" s="204"/>
      <c r="E510" s="204"/>
      <c r="F510" s="204"/>
      <c r="G510" s="204"/>
      <c r="H510" s="204"/>
      <c r="I510" s="204"/>
    </row>
    <row r="511" spans="1:9" ht="14.4" x14ac:dyDescent="0.3">
      <c r="B511" s="171" t="s">
        <v>8</v>
      </c>
      <c r="C511" s="212" t="s">
        <v>401</v>
      </c>
      <c r="D511" s="204"/>
      <c r="E511" s="204"/>
      <c r="F511" s="204"/>
      <c r="G511" s="204"/>
      <c r="H511" s="204"/>
      <c r="I511" s="204"/>
    </row>
    <row r="512" spans="1:9" ht="27.6" customHeight="1" x14ac:dyDescent="0.3">
      <c r="B512" s="171" t="s">
        <v>8</v>
      </c>
      <c r="C512" s="212" t="s">
        <v>402</v>
      </c>
      <c r="D512" s="204"/>
      <c r="E512" s="204"/>
      <c r="F512" s="204"/>
      <c r="G512" s="204"/>
      <c r="H512" s="204"/>
      <c r="I512" s="204"/>
    </row>
    <row r="513" spans="1:9" ht="14.4" x14ac:dyDescent="0.3">
      <c r="B513" s="171" t="s">
        <v>8</v>
      </c>
      <c r="C513" s="212" t="s">
        <v>403</v>
      </c>
      <c r="D513" s="204"/>
      <c r="E513" s="204"/>
      <c r="F513" s="204"/>
      <c r="G513" s="204"/>
      <c r="H513" s="204"/>
      <c r="I513" s="204"/>
    </row>
    <row r="514" spans="1:9" ht="59.4" customHeight="1" x14ac:dyDescent="0.3">
      <c r="B514" s="171" t="s">
        <v>8</v>
      </c>
      <c r="C514" s="212" t="s">
        <v>404</v>
      </c>
      <c r="D514" s="204"/>
      <c r="E514" s="204"/>
      <c r="F514" s="204"/>
      <c r="G514" s="204"/>
      <c r="H514" s="204"/>
      <c r="I514" s="204"/>
    </row>
    <row r="515" spans="1:9" ht="30" customHeight="1" x14ac:dyDescent="0.3">
      <c r="B515" s="171" t="s">
        <v>21</v>
      </c>
      <c r="C515" s="215" t="s">
        <v>405</v>
      </c>
      <c r="D515" s="216"/>
      <c r="E515" s="216"/>
      <c r="F515" s="216"/>
      <c r="G515" s="216"/>
      <c r="H515" s="216"/>
      <c r="I515" s="216"/>
    </row>
    <row r="516" spans="1:9" ht="44.4" customHeight="1" x14ac:dyDescent="0.3">
      <c r="B516" s="171" t="s">
        <v>23</v>
      </c>
      <c r="C516" s="215" t="s">
        <v>406</v>
      </c>
      <c r="D516" s="216"/>
      <c r="E516" s="216"/>
      <c r="F516" s="216"/>
      <c r="G516" s="216"/>
      <c r="H516" s="216"/>
      <c r="I516" s="216"/>
    </row>
    <row r="518" spans="1:9" ht="14.4" x14ac:dyDescent="0.3">
      <c r="A518" s="182" t="s">
        <v>2212</v>
      </c>
      <c r="B518" s="214" t="s">
        <v>97</v>
      </c>
      <c r="C518" s="204"/>
      <c r="D518" s="204"/>
      <c r="E518" s="204"/>
      <c r="F518" s="204"/>
      <c r="G518" s="204"/>
      <c r="H518" s="204"/>
      <c r="I518" s="204"/>
    </row>
    <row r="519" spans="1:9" ht="14.4" x14ac:dyDescent="0.3">
      <c r="A519" s="183" t="s">
        <v>407</v>
      </c>
      <c r="B519" s="214" t="s">
        <v>408</v>
      </c>
      <c r="C519" s="204"/>
      <c r="D519" s="204"/>
      <c r="E519" s="204"/>
      <c r="F519" s="204"/>
      <c r="G519" s="204"/>
      <c r="H519" s="204"/>
      <c r="I519" s="204"/>
    </row>
    <row r="520" spans="1:9" ht="14.4" x14ac:dyDescent="0.3">
      <c r="A520" s="3"/>
      <c r="B520" s="213" t="s">
        <v>6</v>
      </c>
      <c r="C520" s="204"/>
      <c r="D520" s="204"/>
      <c r="E520" s="204"/>
      <c r="F520" s="204"/>
      <c r="G520" s="204"/>
      <c r="H520" s="204"/>
      <c r="I520" s="204"/>
    </row>
    <row r="521" spans="1:9" ht="54.6" customHeight="1" x14ac:dyDescent="0.3">
      <c r="A521" s="60"/>
      <c r="B521" s="212" t="s">
        <v>409</v>
      </c>
      <c r="C521" s="204"/>
      <c r="D521" s="204"/>
      <c r="E521" s="204"/>
      <c r="F521" s="204"/>
      <c r="G521" s="204"/>
      <c r="H521" s="204"/>
      <c r="I521" s="204"/>
    </row>
    <row r="522" spans="1:9" ht="14.4" x14ac:dyDescent="0.3">
      <c r="A522" s="175"/>
      <c r="B522" s="220"/>
      <c r="C522" s="221"/>
      <c r="D522" s="221"/>
      <c r="E522" s="221"/>
      <c r="F522" s="221"/>
      <c r="G522" s="221"/>
      <c r="H522" s="221"/>
      <c r="I522" s="221"/>
    </row>
    <row r="523" spans="1:9" ht="14.4" x14ac:dyDescent="0.3">
      <c r="A523" s="60"/>
      <c r="B523" s="213" t="s">
        <v>0</v>
      </c>
      <c r="C523" s="204"/>
      <c r="D523" s="204"/>
      <c r="E523" s="204"/>
      <c r="F523" s="204"/>
      <c r="G523" s="204"/>
      <c r="H523" s="204"/>
      <c r="I523" s="204"/>
    </row>
    <row r="524" spans="1:9" ht="14.4" x14ac:dyDescent="0.3">
      <c r="B524" s="171" t="s">
        <v>8</v>
      </c>
      <c r="C524" s="212" t="s">
        <v>410</v>
      </c>
      <c r="D524" s="204"/>
      <c r="E524" s="204"/>
      <c r="F524" s="204"/>
      <c r="G524" s="204"/>
      <c r="H524" s="204"/>
      <c r="I524" s="204"/>
    </row>
    <row r="525" spans="1:9" ht="14.4" x14ac:dyDescent="0.3">
      <c r="B525" s="171" t="s">
        <v>8</v>
      </c>
      <c r="C525" s="212" t="s">
        <v>411</v>
      </c>
      <c r="D525" s="204"/>
      <c r="E525" s="204"/>
      <c r="F525" s="204"/>
      <c r="G525" s="204"/>
      <c r="H525" s="204"/>
      <c r="I525" s="204"/>
    </row>
    <row r="526" spans="1:9" ht="14.4" x14ac:dyDescent="0.3">
      <c r="C526" s="212"/>
      <c r="D526" s="204"/>
      <c r="E526" s="204"/>
      <c r="F526" s="204"/>
      <c r="G526" s="204"/>
      <c r="H526" s="204"/>
      <c r="I526" s="204"/>
    </row>
    <row r="527" spans="1:9" ht="14.4" x14ac:dyDescent="0.3">
      <c r="A527" s="183" t="s">
        <v>412</v>
      </c>
      <c r="B527" s="214" t="s">
        <v>413</v>
      </c>
      <c r="C527" s="204"/>
      <c r="D527" s="204"/>
      <c r="E527" s="204"/>
      <c r="F527" s="204"/>
      <c r="G527" s="204"/>
      <c r="H527" s="204"/>
      <c r="I527" s="204"/>
    </row>
    <row r="528" spans="1:9" ht="14.4" x14ac:dyDescent="0.3">
      <c r="A528" s="3"/>
      <c r="B528" s="213" t="s">
        <v>6</v>
      </c>
      <c r="C528" s="204"/>
      <c r="D528" s="204"/>
      <c r="E528" s="204"/>
      <c r="F528" s="204"/>
      <c r="G528" s="204"/>
      <c r="H528" s="204"/>
      <c r="I528" s="204"/>
    </row>
    <row r="529" spans="1:9" ht="45.6" customHeight="1" x14ac:dyDescent="0.3">
      <c r="A529" s="60"/>
      <c r="B529" s="212" t="s">
        <v>414</v>
      </c>
      <c r="C529" s="204"/>
      <c r="D529" s="204"/>
      <c r="E529" s="204"/>
      <c r="F529" s="204"/>
      <c r="G529" s="204"/>
      <c r="H529" s="204"/>
      <c r="I529" s="204"/>
    </row>
    <row r="530" spans="1:9" ht="14.4" x14ac:dyDescent="0.3">
      <c r="A530" s="175"/>
      <c r="B530" s="220"/>
      <c r="C530" s="221"/>
      <c r="D530" s="221"/>
      <c r="E530" s="221"/>
      <c r="F530" s="221"/>
      <c r="G530" s="221"/>
      <c r="H530" s="221"/>
      <c r="I530" s="221"/>
    </row>
    <row r="531" spans="1:9" ht="14.4" x14ac:dyDescent="0.3">
      <c r="A531" s="60"/>
      <c r="B531" s="213" t="s">
        <v>0</v>
      </c>
      <c r="C531" s="204"/>
      <c r="D531" s="204"/>
      <c r="E531" s="204"/>
      <c r="F531" s="204"/>
      <c r="G531" s="204"/>
      <c r="H531" s="204"/>
      <c r="I531" s="204"/>
    </row>
    <row r="532" spans="1:9" ht="39" customHeight="1" x14ac:dyDescent="0.3">
      <c r="B532" s="171" t="s">
        <v>8</v>
      </c>
      <c r="C532" s="212" t="s">
        <v>415</v>
      </c>
      <c r="D532" s="204"/>
      <c r="E532" s="204"/>
      <c r="F532" s="204"/>
      <c r="G532" s="204"/>
      <c r="H532" s="204"/>
      <c r="I532" s="204"/>
    </row>
    <row r="533" spans="1:9" ht="14.4" x14ac:dyDescent="0.3">
      <c r="B533" s="171" t="s">
        <v>8</v>
      </c>
      <c r="C533" s="212" t="s">
        <v>416</v>
      </c>
      <c r="D533" s="204"/>
      <c r="E533" s="204"/>
      <c r="F533" s="204"/>
      <c r="G533" s="204"/>
      <c r="H533" s="204"/>
      <c r="I533" s="204"/>
    </row>
    <row r="535" spans="1:9" ht="14.4" x14ac:dyDescent="0.3">
      <c r="A535" s="183" t="s">
        <v>417</v>
      </c>
      <c r="B535" s="214" t="s">
        <v>383</v>
      </c>
      <c r="C535" s="204"/>
      <c r="D535" s="204"/>
      <c r="E535" s="204"/>
      <c r="F535" s="204"/>
      <c r="G535" s="204"/>
      <c r="H535" s="204"/>
      <c r="I535" s="204"/>
    </row>
    <row r="536" spans="1:9" ht="14.4" x14ac:dyDescent="0.3">
      <c r="A536" s="3"/>
      <c r="B536" s="213" t="s">
        <v>6</v>
      </c>
      <c r="C536" s="204"/>
      <c r="D536" s="204"/>
      <c r="E536" s="204"/>
      <c r="F536" s="204"/>
      <c r="G536" s="204"/>
      <c r="H536" s="204"/>
      <c r="I536" s="204"/>
    </row>
    <row r="537" spans="1:9" ht="40.5" customHeight="1" x14ac:dyDescent="0.3">
      <c r="A537" s="60"/>
      <c r="B537" s="212"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3" t="s">
        <v>0</v>
      </c>
      <c r="C539" s="204"/>
      <c r="D539" s="204"/>
      <c r="E539" s="204"/>
      <c r="F539" s="204"/>
      <c r="G539" s="204"/>
      <c r="H539" s="204"/>
      <c r="I539" s="204"/>
    </row>
    <row r="540" spans="1:9" ht="14.4" customHeight="1" x14ac:dyDescent="0.3">
      <c r="B540" s="171" t="s">
        <v>8</v>
      </c>
      <c r="C540" s="212" t="s">
        <v>419</v>
      </c>
      <c r="D540" s="204"/>
      <c r="E540" s="204"/>
      <c r="F540" s="204"/>
      <c r="G540" s="204"/>
      <c r="H540" s="204"/>
      <c r="I540" s="204"/>
    </row>
    <row r="541" spans="1:9" ht="25.5" customHeight="1" x14ac:dyDescent="0.3">
      <c r="B541" s="171" t="s">
        <v>8</v>
      </c>
      <c r="C541" s="212" t="s">
        <v>420</v>
      </c>
      <c r="D541" s="204"/>
      <c r="E541" s="204"/>
      <c r="F541" s="204"/>
      <c r="G541" s="204"/>
      <c r="H541" s="204"/>
      <c r="I541" s="204"/>
    </row>
    <row r="542" spans="1:9" ht="15.6" customHeight="1" x14ac:dyDescent="0.3">
      <c r="B542" s="171" t="s">
        <v>8</v>
      </c>
      <c r="C542" s="212"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5" t="s">
        <v>422</v>
      </c>
      <c r="D544" s="216"/>
      <c r="E544" s="216"/>
      <c r="F544" s="216"/>
      <c r="G544" s="216"/>
      <c r="H544" s="216"/>
      <c r="I544" s="216"/>
    </row>
    <row r="546" spans="1:9" ht="14.4" x14ac:dyDescent="0.3">
      <c r="A546" s="183" t="s">
        <v>423</v>
      </c>
      <c r="B546" s="214" t="s">
        <v>424</v>
      </c>
      <c r="C546" s="204"/>
      <c r="D546" s="204"/>
      <c r="E546" s="204"/>
      <c r="F546" s="204"/>
      <c r="G546" s="204"/>
      <c r="H546" s="204"/>
      <c r="I546" s="204"/>
    </row>
    <row r="547" spans="1:9" ht="14.4" x14ac:dyDescent="0.3">
      <c r="A547" s="3"/>
      <c r="B547" s="213" t="s">
        <v>6</v>
      </c>
      <c r="C547" s="204"/>
      <c r="D547" s="204"/>
      <c r="E547" s="204"/>
      <c r="F547" s="204"/>
      <c r="G547" s="204"/>
      <c r="H547" s="204"/>
      <c r="I547" s="204"/>
    </row>
    <row r="548" spans="1:9" ht="26.1" customHeight="1" x14ac:dyDescent="0.3">
      <c r="A548" s="60"/>
      <c r="B548" s="212" t="s">
        <v>425</v>
      </c>
      <c r="C548" s="204"/>
      <c r="D548" s="204"/>
      <c r="E548" s="204"/>
      <c r="F548" s="204"/>
      <c r="G548" s="204"/>
      <c r="H548" s="204"/>
      <c r="I548" s="204"/>
    </row>
    <row r="549" spans="1:9" ht="24.6" customHeight="1" x14ac:dyDescent="0.3">
      <c r="A549" s="175"/>
      <c r="B549" s="212" t="s">
        <v>426</v>
      </c>
      <c r="C549" s="204"/>
      <c r="D549" s="204"/>
      <c r="E549" s="204"/>
      <c r="F549" s="204"/>
      <c r="G549" s="204"/>
      <c r="H549" s="204"/>
      <c r="I549" s="204"/>
    </row>
    <row r="550" spans="1:9" ht="14.4" x14ac:dyDescent="0.3">
      <c r="A550" s="60"/>
      <c r="B550" s="213" t="s">
        <v>0</v>
      </c>
      <c r="C550" s="204"/>
      <c r="D550" s="204"/>
      <c r="E550" s="204"/>
      <c r="F550" s="204"/>
      <c r="G550" s="204"/>
      <c r="H550" s="204"/>
      <c r="I550" s="204"/>
    </row>
    <row r="551" spans="1:9" ht="14.4" x14ac:dyDescent="0.3">
      <c r="B551" s="171" t="s">
        <v>8</v>
      </c>
      <c r="C551" s="212" t="s">
        <v>187</v>
      </c>
      <c r="D551" s="204"/>
      <c r="E551" s="204"/>
      <c r="F551" s="204"/>
      <c r="G551" s="204"/>
      <c r="H551" s="204"/>
      <c r="I551" s="204"/>
    </row>
    <row r="552" spans="1:9" ht="29.1" customHeight="1" x14ac:dyDescent="0.3">
      <c r="B552" s="171" t="s">
        <v>8</v>
      </c>
      <c r="C552" s="212"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14" t="s">
        <v>398</v>
      </c>
      <c r="C554" s="204"/>
      <c r="D554" s="204"/>
      <c r="E554" s="204"/>
      <c r="F554" s="204"/>
      <c r="G554" s="204"/>
      <c r="H554" s="204"/>
      <c r="I554" s="204"/>
    </row>
    <row r="555" spans="1:9" ht="14.4" x14ac:dyDescent="0.3">
      <c r="A555" s="3"/>
      <c r="B555" s="213" t="s">
        <v>6</v>
      </c>
      <c r="C555" s="204"/>
      <c r="D555" s="204"/>
      <c r="E555" s="204"/>
      <c r="F555" s="204"/>
      <c r="G555" s="204"/>
      <c r="H555" s="204"/>
      <c r="I555" s="204"/>
    </row>
    <row r="556" spans="1:9" ht="41.1" customHeight="1" x14ac:dyDescent="0.3">
      <c r="A556" s="60"/>
      <c r="B556" s="212" t="s">
        <v>429</v>
      </c>
      <c r="C556" s="204"/>
      <c r="D556" s="204"/>
      <c r="E556" s="204"/>
      <c r="F556" s="204"/>
      <c r="G556" s="204"/>
      <c r="H556" s="204"/>
      <c r="I556" s="204"/>
    </row>
    <row r="557" spans="1:9" ht="14.4" x14ac:dyDescent="0.3">
      <c r="A557" s="175"/>
      <c r="B557" s="220"/>
      <c r="C557" s="221"/>
      <c r="D557" s="221"/>
      <c r="E557" s="221"/>
      <c r="F557" s="221"/>
      <c r="G557" s="221"/>
      <c r="H557" s="221"/>
      <c r="I557" s="221"/>
    </row>
    <row r="558" spans="1:9" ht="14.4" x14ac:dyDescent="0.3">
      <c r="A558" s="60"/>
      <c r="B558" s="213" t="s">
        <v>0</v>
      </c>
      <c r="C558" s="204"/>
      <c r="D558" s="204"/>
      <c r="E558" s="204"/>
      <c r="F558" s="204"/>
      <c r="G558" s="204"/>
      <c r="H558" s="204"/>
      <c r="I558" s="204"/>
    </row>
    <row r="559" spans="1:9" ht="14.4" x14ac:dyDescent="0.3">
      <c r="B559" s="171" t="s">
        <v>8</v>
      </c>
      <c r="C559" s="212" t="s">
        <v>187</v>
      </c>
      <c r="D559" s="204"/>
      <c r="E559" s="204"/>
      <c r="F559" s="204"/>
      <c r="G559" s="204"/>
      <c r="H559" s="204"/>
      <c r="I559" s="204"/>
    </row>
    <row r="560" spans="1:9" ht="14.4" x14ac:dyDescent="0.3">
      <c r="B560" s="171" t="s">
        <v>8</v>
      </c>
      <c r="C560" s="212" t="s">
        <v>400</v>
      </c>
      <c r="D560" s="204"/>
      <c r="E560" s="204"/>
      <c r="F560" s="204"/>
      <c r="G560" s="204"/>
      <c r="H560" s="204"/>
      <c r="I560" s="204"/>
    </row>
    <row r="561" spans="1:9" ht="14.4" x14ac:dyDescent="0.3">
      <c r="B561" s="171" t="s">
        <v>8</v>
      </c>
      <c r="C561" s="212" t="s">
        <v>401</v>
      </c>
      <c r="D561" s="204"/>
      <c r="E561" s="204"/>
      <c r="F561" s="204"/>
      <c r="G561" s="204"/>
      <c r="H561" s="204"/>
      <c r="I561" s="204"/>
    </row>
    <row r="562" spans="1:9" ht="27" customHeight="1" x14ac:dyDescent="0.3">
      <c r="B562" s="171" t="s">
        <v>8</v>
      </c>
      <c r="C562" s="212" t="s">
        <v>430</v>
      </c>
      <c r="D562" s="204"/>
      <c r="E562" s="204"/>
      <c r="F562" s="204"/>
      <c r="G562" s="204"/>
      <c r="H562" s="204"/>
      <c r="I562" s="204"/>
    </row>
    <row r="563" spans="1:9" ht="14.4" x14ac:dyDescent="0.3">
      <c r="B563" s="171" t="s">
        <v>8</v>
      </c>
      <c r="C563" s="212" t="s">
        <v>431</v>
      </c>
      <c r="D563" s="204"/>
      <c r="E563" s="204"/>
      <c r="F563" s="204"/>
      <c r="G563" s="204"/>
      <c r="H563" s="204"/>
      <c r="I563" s="204"/>
    </row>
    <row r="564" spans="1:9" ht="44.1" customHeight="1" x14ac:dyDescent="0.3">
      <c r="B564" s="171" t="s">
        <v>8</v>
      </c>
      <c r="C564" s="212" t="s">
        <v>432</v>
      </c>
      <c r="D564" s="204"/>
      <c r="E564" s="204"/>
      <c r="F564" s="204"/>
      <c r="G564" s="204"/>
      <c r="H564" s="204"/>
      <c r="I564" s="204"/>
    </row>
    <row r="565" spans="1:9" x14ac:dyDescent="0.3">
      <c r="C565" s="212"/>
      <c r="D565" s="212"/>
      <c r="E565" s="212"/>
      <c r="F565" s="212"/>
      <c r="G565" s="212"/>
      <c r="H565" s="212"/>
      <c r="I565" s="212"/>
    </row>
    <row r="566" spans="1:9" ht="26.4" customHeight="1" x14ac:dyDescent="0.3">
      <c r="B566" s="171" t="s">
        <v>21</v>
      </c>
      <c r="C566" s="215" t="s">
        <v>433</v>
      </c>
      <c r="D566" s="215"/>
      <c r="E566" s="215"/>
      <c r="F566" s="215"/>
      <c r="G566" s="215"/>
      <c r="H566" s="215"/>
      <c r="I566" s="215"/>
    </row>
    <row r="567" spans="1:9" ht="39.6" customHeight="1" x14ac:dyDescent="0.3">
      <c r="B567" s="171" t="s">
        <v>23</v>
      </c>
      <c r="C567" s="215" t="s">
        <v>434</v>
      </c>
      <c r="D567" s="215"/>
      <c r="E567" s="215"/>
      <c r="F567" s="215"/>
      <c r="G567" s="215"/>
      <c r="H567" s="215"/>
      <c r="I567" s="215"/>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14" t="s">
        <v>438</v>
      </c>
      <c r="C571" s="204"/>
      <c r="D571" s="204"/>
      <c r="E571" s="204"/>
      <c r="F571" s="204"/>
      <c r="G571" s="204"/>
      <c r="H571" s="204"/>
      <c r="I571" s="204"/>
    </row>
    <row r="572" spans="1:9" ht="14.4" x14ac:dyDescent="0.3">
      <c r="A572" s="3"/>
      <c r="B572" s="213" t="s">
        <v>6</v>
      </c>
      <c r="C572" s="204"/>
      <c r="D572" s="204"/>
      <c r="E572" s="204"/>
      <c r="F572" s="204"/>
      <c r="G572" s="204"/>
      <c r="H572" s="204"/>
      <c r="I572" s="204"/>
    </row>
    <row r="573" spans="1:9" ht="27.6" customHeight="1" x14ac:dyDescent="0.3">
      <c r="A573" s="60"/>
      <c r="B573" s="212" t="s">
        <v>439</v>
      </c>
      <c r="C573" s="204"/>
      <c r="D573" s="204"/>
      <c r="E573" s="204"/>
      <c r="F573" s="204"/>
      <c r="G573" s="204"/>
      <c r="H573" s="204"/>
      <c r="I573" s="204"/>
    </row>
    <row r="574" spans="1:9" ht="11.4" customHeight="1" x14ac:dyDescent="0.3">
      <c r="A574" s="175"/>
      <c r="B574" s="212"/>
      <c r="C574" s="204"/>
      <c r="D574" s="204"/>
      <c r="E574" s="204"/>
      <c r="F574" s="204"/>
      <c r="G574" s="204"/>
      <c r="H574" s="204"/>
      <c r="I574" s="204"/>
    </row>
    <row r="575" spans="1:9" ht="14.4" x14ac:dyDescent="0.3">
      <c r="A575" s="60"/>
      <c r="B575" s="213" t="s">
        <v>0</v>
      </c>
      <c r="C575" s="204"/>
      <c r="D575" s="204"/>
      <c r="E575" s="204"/>
      <c r="F575" s="204"/>
      <c r="G575" s="204"/>
      <c r="H575" s="204"/>
      <c r="I575" s="204"/>
    </row>
    <row r="576" spans="1:9" ht="14.4" x14ac:dyDescent="0.3">
      <c r="B576" s="171" t="s">
        <v>8</v>
      </c>
      <c r="C576" s="212" t="s">
        <v>440</v>
      </c>
      <c r="D576" s="204"/>
      <c r="E576" s="204"/>
      <c r="F576" s="204"/>
      <c r="G576" s="204"/>
      <c r="H576" s="204"/>
      <c r="I576" s="204"/>
    </row>
    <row r="577" spans="1:9" ht="27" customHeight="1" x14ac:dyDescent="0.3">
      <c r="B577" s="171" t="s">
        <v>2204</v>
      </c>
      <c r="C577" s="212" t="s">
        <v>2205</v>
      </c>
      <c r="D577" s="204"/>
      <c r="E577" s="204"/>
      <c r="F577" s="204"/>
      <c r="G577" s="204"/>
      <c r="H577" s="204"/>
      <c r="I577" s="204"/>
    </row>
    <row r="579" spans="1:9" ht="14.4" x14ac:dyDescent="0.3">
      <c r="A579" s="183" t="s">
        <v>441</v>
      </c>
      <c r="B579" s="214" t="s">
        <v>442</v>
      </c>
      <c r="C579" s="204"/>
      <c r="D579" s="204"/>
      <c r="E579" s="204"/>
      <c r="F579" s="204"/>
      <c r="G579" s="204"/>
      <c r="H579" s="204"/>
      <c r="I579" s="204"/>
    </row>
    <row r="580" spans="1:9" ht="14.4" x14ac:dyDescent="0.3">
      <c r="A580" s="3"/>
      <c r="B580" s="213" t="s">
        <v>6</v>
      </c>
      <c r="C580" s="204"/>
      <c r="D580" s="204"/>
      <c r="E580" s="204"/>
      <c r="F580" s="204"/>
      <c r="G580" s="204"/>
      <c r="H580" s="204"/>
      <c r="I580" s="204"/>
    </row>
    <row r="581" spans="1:9" ht="42.9" customHeight="1" x14ac:dyDescent="0.3">
      <c r="A581" s="60"/>
      <c r="B581" s="212" t="s">
        <v>443</v>
      </c>
      <c r="C581" s="204"/>
      <c r="D581" s="204"/>
      <c r="E581" s="204"/>
      <c r="F581" s="204"/>
      <c r="G581" s="204"/>
      <c r="H581" s="204"/>
      <c r="I581" s="204"/>
    </row>
    <row r="582" spans="1:9" ht="14.4" x14ac:dyDescent="0.3">
      <c r="A582" s="175"/>
      <c r="B582" s="220"/>
      <c r="C582" s="221"/>
      <c r="D582" s="221"/>
      <c r="E582" s="221"/>
      <c r="F582" s="221"/>
      <c r="G582" s="221"/>
      <c r="H582" s="221"/>
      <c r="I582" s="221"/>
    </row>
    <row r="583" spans="1:9" ht="14.4" x14ac:dyDescent="0.3">
      <c r="A583" s="60"/>
      <c r="B583" s="213" t="s">
        <v>0</v>
      </c>
      <c r="C583" s="204"/>
      <c r="D583" s="204"/>
      <c r="E583" s="204"/>
      <c r="F583" s="204"/>
      <c r="G583" s="204"/>
      <c r="H583" s="204"/>
      <c r="I583" s="204"/>
    </row>
    <row r="584" spans="1:9" ht="14.4" x14ac:dyDescent="0.3">
      <c r="B584" s="171" t="s">
        <v>8</v>
      </c>
      <c r="C584" s="212" t="s">
        <v>187</v>
      </c>
      <c r="D584" s="204"/>
      <c r="E584" s="204"/>
      <c r="F584" s="204"/>
      <c r="G584" s="204"/>
      <c r="H584" s="204"/>
      <c r="I584" s="204"/>
    </row>
    <row r="585" spans="1:9" ht="26.1" customHeight="1" x14ac:dyDescent="0.3">
      <c r="B585" s="171" t="s">
        <v>8</v>
      </c>
      <c r="C585" s="212"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14" t="s">
        <v>446</v>
      </c>
      <c r="C587" s="204"/>
      <c r="D587" s="204"/>
      <c r="E587" s="204"/>
      <c r="F587" s="204"/>
      <c r="G587" s="204"/>
      <c r="H587" s="204"/>
      <c r="I587" s="204"/>
    </row>
    <row r="588" spans="1:9" ht="14.4" x14ac:dyDescent="0.3">
      <c r="A588" s="3"/>
      <c r="B588" s="213" t="s">
        <v>6</v>
      </c>
      <c r="C588" s="204"/>
      <c r="D588" s="204"/>
      <c r="E588" s="204"/>
      <c r="F588" s="204"/>
      <c r="G588" s="204"/>
      <c r="H588" s="204"/>
      <c r="I588" s="204"/>
    </row>
    <row r="589" spans="1:9" ht="39.9" customHeight="1" x14ac:dyDescent="0.3">
      <c r="A589" s="60"/>
      <c r="B589" s="212" t="s">
        <v>447</v>
      </c>
      <c r="C589" s="204"/>
      <c r="D589" s="204"/>
      <c r="E589" s="204"/>
      <c r="F589" s="204"/>
      <c r="G589" s="204"/>
      <c r="H589" s="204"/>
      <c r="I589" s="204"/>
    </row>
    <row r="590" spans="1:9" ht="14.4" x14ac:dyDescent="0.3">
      <c r="A590" s="175"/>
      <c r="B590" s="220"/>
      <c r="C590" s="221"/>
      <c r="D590" s="221"/>
      <c r="E590" s="221"/>
      <c r="F590" s="221"/>
      <c r="G590" s="221"/>
      <c r="H590" s="221"/>
      <c r="I590" s="221"/>
    </row>
    <row r="591" spans="1:9" ht="14.4" x14ac:dyDescent="0.3">
      <c r="A591" s="60"/>
      <c r="B591" s="213" t="s">
        <v>0</v>
      </c>
      <c r="C591" s="204"/>
      <c r="D591" s="204"/>
      <c r="E591" s="204"/>
      <c r="F591" s="204"/>
      <c r="G591" s="204"/>
      <c r="H591" s="204"/>
      <c r="I591" s="204"/>
    </row>
    <row r="592" spans="1:9" ht="14.4" x14ac:dyDescent="0.3">
      <c r="B592" s="171" t="s">
        <v>8</v>
      </c>
      <c r="C592" s="212" t="s">
        <v>187</v>
      </c>
      <c r="D592" s="204"/>
      <c r="E592" s="204"/>
      <c r="F592" s="204"/>
      <c r="G592" s="204"/>
      <c r="H592" s="204"/>
      <c r="I592" s="204"/>
    </row>
    <row r="593" spans="1:9" ht="14.4" x14ac:dyDescent="0.3">
      <c r="B593" s="171" t="s">
        <v>8</v>
      </c>
      <c r="C593" s="212"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14"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14" t="s">
        <v>453</v>
      </c>
      <c r="C599" s="204"/>
      <c r="D599" s="204"/>
      <c r="E599" s="204"/>
      <c r="F599" s="204"/>
      <c r="G599" s="204"/>
      <c r="H599" s="204"/>
      <c r="I599" s="204"/>
    </row>
    <row r="600" spans="1:9" ht="14.4" x14ac:dyDescent="0.3">
      <c r="A600" s="3"/>
      <c r="B600" s="213" t="s">
        <v>6</v>
      </c>
      <c r="C600" s="204"/>
      <c r="D600" s="204"/>
      <c r="E600" s="204"/>
      <c r="F600" s="204"/>
      <c r="G600" s="204"/>
      <c r="H600" s="204"/>
      <c r="I600" s="204"/>
    </row>
    <row r="601" spans="1:9" ht="56.4" customHeight="1" x14ac:dyDescent="0.3">
      <c r="A601" s="60"/>
      <c r="B601" s="212" t="s">
        <v>454</v>
      </c>
      <c r="C601" s="204"/>
      <c r="D601" s="204"/>
      <c r="E601" s="204"/>
      <c r="F601" s="204"/>
      <c r="G601" s="204"/>
      <c r="H601" s="204"/>
      <c r="I601" s="204"/>
    </row>
    <row r="602" spans="1:9" ht="14.4" x14ac:dyDescent="0.3">
      <c r="A602" s="175"/>
      <c r="B602" s="220"/>
      <c r="C602" s="221"/>
      <c r="D602" s="221"/>
      <c r="E602" s="221"/>
      <c r="F602" s="221"/>
      <c r="G602" s="221"/>
      <c r="H602" s="221"/>
      <c r="I602" s="221"/>
    </row>
    <row r="603" spans="1:9" ht="14.4" x14ac:dyDescent="0.3">
      <c r="A603" s="60"/>
      <c r="B603" s="213" t="s">
        <v>0</v>
      </c>
      <c r="C603" s="204"/>
      <c r="D603" s="204"/>
      <c r="E603" s="204"/>
      <c r="F603" s="204"/>
      <c r="G603" s="204"/>
      <c r="H603" s="204"/>
      <c r="I603" s="204"/>
    </row>
    <row r="604" spans="1:9" ht="14.4" x14ac:dyDescent="0.3">
      <c r="B604" s="171" t="s">
        <v>8</v>
      </c>
      <c r="C604" s="212" t="s">
        <v>455</v>
      </c>
      <c r="D604" s="204"/>
      <c r="E604" s="204"/>
      <c r="F604" s="204"/>
      <c r="G604" s="204"/>
      <c r="H604" s="204"/>
      <c r="I604" s="204"/>
    </row>
    <row r="605" spans="1:9" ht="14.4" x14ac:dyDescent="0.3">
      <c r="B605" s="171" t="s">
        <v>8</v>
      </c>
      <c r="C605" s="212" t="s">
        <v>456</v>
      </c>
      <c r="D605" s="204"/>
      <c r="E605" s="204"/>
      <c r="F605" s="204"/>
      <c r="G605" s="204"/>
      <c r="H605" s="204"/>
      <c r="I605" s="204"/>
    </row>
    <row r="606" spans="1:9" ht="26.4" customHeight="1" x14ac:dyDescent="0.3">
      <c r="B606" s="171" t="s">
        <v>8</v>
      </c>
      <c r="C606" s="212" t="s">
        <v>457</v>
      </c>
      <c r="D606" s="204"/>
      <c r="E606" s="204"/>
      <c r="F606" s="204"/>
      <c r="G606" s="204"/>
      <c r="H606" s="204"/>
      <c r="I606" s="204"/>
    </row>
    <row r="607" spans="1:9" ht="27.6" customHeight="1" x14ac:dyDescent="0.3">
      <c r="B607" s="171" t="s">
        <v>8</v>
      </c>
      <c r="C607" s="212"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14" t="s">
        <v>460</v>
      </c>
      <c r="C609" s="204"/>
      <c r="D609" s="204"/>
      <c r="E609" s="204"/>
      <c r="F609" s="204"/>
      <c r="G609" s="204"/>
      <c r="H609" s="204"/>
      <c r="I609" s="204"/>
    </row>
    <row r="610" spans="1:9" ht="14.4" x14ac:dyDescent="0.3">
      <c r="A610" s="3"/>
      <c r="B610" s="213" t="s">
        <v>6</v>
      </c>
      <c r="C610" s="204"/>
      <c r="D610" s="204"/>
      <c r="E610" s="204"/>
      <c r="F610" s="204"/>
      <c r="G610" s="204"/>
      <c r="H610" s="204"/>
      <c r="I610" s="204"/>
    </row>
    <row r="611" spans="1:9" ht="24.9" customHeight="1" x14ac:dyDescent="0.3">
      <c r="A611" s="60"/>
      <c r="B611" s="212"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3" t="s">
        <v>0</v>
      </c>
      <c r="C613" s="204"/>
      <c r="D613" s="204"/>
      <c r="E613" s="204"/>
      <c r="F613" s="204"/>
      <c r="G613" s="204"/>
      <c r="H613" s="204"/>
      <c r="I613" s="204"/>
    </row>
    <row r="614" spans="1:9" ht="14.4" x14ac:dyDescent="0.3">
      <c r="B614" s="171" t="s">
        <v>8</v>
      </c>
      <c r="C614" s="212" t="s">
        <v>462</v>
      </c>
      <c r="D614" s="204"/>
      <c r="E614" s="204"/>
      <c r="F614" s="204"/>
      <c r="G614" s="204"/>
      <c r="H614" s="204"/>
      <c r="I614" s="204"/>
    </row>
    <row r="615" spans="1:9" ht="14.4" x14ac:dyDescent="0.3">
      <c r="B615" s="171" t="s">
        <v>8</v>
      </c>
      <c r="C615" s="212" t="s">
        <v>463</v>
      </c>
      <c r="D615" s="204"/>
      <c r="E615" s="204"/>
      <c r="F615" s="204"/>
      <c r="G615" s="204"/>
      <c r="H615" s="204"/>
      <c r="I615" s="204"/>
    </row>
    <row r="616" spans="1:9" ht="26.4" customHeight="1" x14ac:dyDescent="0.3">
      <c r="B616" s="171" t="s">
        <v>8</v>
      </c>
      <c r="C616" s="212" t="s">
        <v>464</v>
      </c>
      <c r="D616" s="204"/>
      <c r="E616" s="204"/>
      <c r="F616" s="204"/>
      <c r="G616" s="204"/>
      <c r="H616" s="204"/>
      <c r="I616" s="204"/>
    </row>
    <row r="617" spans="1:9" ht="14.4" x14ac:dyDescent="0.3">
      <c r="D617" s="170"/>
      <c r="E617" s="170"/>
      <c r="F617" s="170"/>
      <c r="H617" s="170"/>
      <c r="I617" s="170"/>
    </row>
    <row r="618" spans="1:9" x14ac:dyDescent="0.3">
      <c r="A618" s="183" t="s">
        <v>465</v>
      </c>
      <c r="B618" s="214" t="s">
        <v>466</v>
      </c>
      <c r="C618" s="214"/>
      <c r="D618" s="214"/>
      <c r="E618" s="214"/>
      <c r="F618" s="214"/>
      <c r="G618" s="214"/>
      <c r="H618" s="214"/>
      <c r="I618" s="214"/>
    </row>
    <row r="619" spans="1:9" x14ac:dyDescent="0.3">
      <c r="A619" s="3"/>
      <c r="B619" s="213" t="s">
        <v>6</v>
      </c>
      <c r="C619" s="213"/>
      <c r="D619" s="213"/>
      <c r="E619" s="213"/>
      <c r="F619" s="213"/>
      <c r="G619" s="213"/>
      <c r="H619" s="213"/>
      <c r="I619" s="213"/>
    </row>
    <row r="620" spans="1:9" ht="26.1" customHeight="1" x14ac:dyDescent="0.3">
      <c r="A620" s="60"/>
      <c r="B620" s="212" t="s">
        <v>467</v>
      </c>
      <c r="C620" s="212"/>
      <c r="D620" s="212"/>
      <c r="E620" s="212"/>
      <c r="F620" s="212"/>
      <c r="G620" s="212"/>
      <c r="H620" s="212"/>
      <c r="I620" s="212"/>
    </row>
    <row r="621" spans="1:9" x14ac:dyDescent="0.3">
      <c r="A621" s="175"/>
      <c r="B621" s="220"/>
      <c r="C621" s="220"/>
      <c r="D621" s="220"/>
      <c r="E621" s="220"/>
      <c r="F621" s="220"/>
      <c r="G621" s="220"/>
      <c r="H621" s="220"/>
      <c r="I621" s="220"/>
    </row>
    <row r="622" spans="1:9" x14ac:dyDescent="0.3">
      <c r="A622" s="60"/>
      <c r="B622" s="213" t="s">
        <v>0</v>
      </c>
      <c r="C622" s="213"/>
      <c r="D622" s="213"/>
      <c r="E622" s="213"/>
      <c r="F622" s="213"/>
      <c r="G622" s="213"/>
      <c r="H622" s="213"/>
      <c r="I622" s="213"/>
    </row>
    <row r="623" spans="1:9" x14ac:dyDescent="0.3">
      <c r="B623" s="171" t="s">
        <v>8</v>
      </c>
      <c r="C623" s="212" t="s">
        <v>462</v>
      </c>
      <c r="D623" s="212"/>
      <c r="E623" s="212"/>
      <c r="F623" s="212"/>
      <c r="G623" s="212"/>
      <c r="H623" s="212"/>
      <c r="I623" s="212"/>
    </row>
    <row r="625" spans="1:9" ht="14.4" x14ac:dyDescent="0.3">
      <c r="A625" s="183" t="s">
        <v>468</v>
      </c>
      <c r="B625" s="214" t="s">
        <v>469</v>
      </c>
      <c r="C625" s="204"/>
      <c r="D625" s="204"/>
      <c r="E625" s="204"/>
      <c r="F625" s="204"/>
      <c r="G625" s="204"/>
      <c r="H625" s="204"/>
      <c r="I625" s="204"/>
    </row>
    <row r="626" spans="1:9" ht="14.4" x14ac:dyDescent="0.3">
      <c r="A626" s="3"/>
      <c r="B626" s="213" t="s">
        <v>6</v>
      </c>
      <c r="C626" s="204"/>
      <c r="D626" s="204"/>
      <c r="E626" s="204"/>
      <c r="F626" s="204"/>
      <c r="G626" s="204"/>
      <c r="H626" s="204"/>
      <c r="I626" s="204"/>
    </row>
    <row r="627" spans="1:9" ht="14.4" x14ac:dyDescent="0.3">
      <c r="A627" s="60"/>
      <c r="B627" s="212" t="s">
        <v>470</v>
      </c>
      <c r="C627" s="204"/>
      <c r="D627" s="204"/>
      <c r="E627" s="204"/>
      <c r="F627" s="204"/>
      <c r="G627" s="204"/>
      <c r="H627" s="204"/>
      <c r="I627" s="204"/>
    </row>
    <row r="628" spans="1:9" ht="41.1" customHeight="1" x14ac:dyDescent="0.3">
      <c r="A628" s="60"/>
      <c r="B628" s="222" t="s">
        <v>471</v>
      </c>
      <c r="C628" s="223"/>
      <c r="D628" s="223"/>
      <c r="E628" s="223"/>
      <c r="F628" s="223"/>
      <c r="G628" s="223"/>
      <c r="H628" s="223"/>
      <c r="I628" s="223"/>
    </row>
    <row r="629" spans="1:9" ht="14.4" x14ac:dyDescent="0.3">
      <c r="A629" s="175"/>
      <c r="B629" s="220"/>
      <c r="C629" s="221"/>
      <c r="D629" s="221"/>
      <c r="E629" s="221"/>
      <c r="F629" s="221"/>
      <c r="G629" s="221"/>
      <c r="H629" s="221"/>
      <c r="I629" s="221"/>
    </row>
    <row r="630" spans="1:9" ht="14.4" x14ac:dyDescent="0.3">
      <c r="A630" s="60"/>
      <c r="B630" s="213" t="s">
        <v>0</v>
      </c>
      <c r="C630" s="204"/>
      <c r="D630" s="204"/>
      <c r="E630" s="204"/>
      <c r="F630" s="204"/>
      <c r="G630" s="204"/>
      <c r="H630" s="204"/>
      <c r="I630" s="204"/>
    </row>
    <row r="631" spans="1:9" ht="14.4" x14ac:dyDescent="0.3">
      <c r="B631" s="171" t="s">
        <v>8</v>
      </c>
      <c r="C631" s="212"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14" t="s">
        <v>473</v>
      </c>
      <c r="C633" s="204"/>
      <c r="D633" s="204"/>
      <c r="E633" s="204"/>
      <c r="F633" s="204"/>
      <c r="G633" s="204"/>
      <c r="H633" s="204"/>
      <c r="I633" s="204"/>
    </row>
    <row r="634" spans="1:9" ht="14.4" x14ac:dyDescent="0.3">
      <c r="A634" s="3"/>
      <c r="B634" s="213" t="s">
        <v>6</v>
      </c>
      <c r="C634" s="204"/>
      <c r="D634" s="204"/>
      <c r="E634" s="204"/>
      <c r="F634" s="204"/>
      <c r="G634" s="204"/>
      <c r="H634" s="204"/>
      <c r="I634" s="204"/>
    </row>
    <row r="635" spans="1:9" ht="77.099999999999994" customHeight="1" x14ac:dyDescent="0.3">
      <c r="A635" s="60"/>
      <c r="B635" s="212" t="s">
        <v>474</v>
      </c>
      <c r="C635" s="204"/>
      <c r="D635" s="204"/>
      <c r="E635" s="204"/>
      <c r="F635" s="204"/>
      <c r="G635" s="204"/>
      <c r="H635" s="204"/>
      <c r="I635" s="204"/>
    </row>
    <row r="636" spans="1:9" ht="65.099999999999994" customHeight="1" x14ac:dyDescent="0.3">
      <c r="A636" s="60"/>
      <c r="B636" s="212" t="s">
        <v>475</v>
      </c>
      <c r="C636" s="204"/>
      <c r="D636" s="204"/>
      <c r="E636" s="204"/>
      <c r="F636" s="204"/>
      <c r="G636" s="204"/>
      <c r="H636" s="204"/>
      <c r="I636" s="204"/>
    </row>
    <row r="637" spans="1:9" ht="14.1" customHeight="1" x14ac:dyDescent="0.3">
      <c r="A637" s="175"/>
      <c r="B637" s="212"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42" t="s">
        <v>477</v>
      </c>
      <c r="D639" s="224"/>
      <c r="E639" s="224"/>
      <c r="F639" s="224"/>
      <c r="G639" s="224"/>
      <c r="H639" s="224"/>
      <c r="I639" s="224"/>
    </row>
    <row r="640" spans="1:9" ht="14.4" x14ac:dyDescent="0.3">
      <c r="A640" s="175"/>
      <c r="B640" s="173"/>
      <c r="C640" s="174"/>
      <c r="D640" s="174"/>
      <c r="E640" s="174"/>
      <c r="F640" s="174"/>
      <c r="G640" s="174"/>
      <c r="H640" s="174"/>
      <c r="I640" s="174"/>
    </row>
    <row r="641" spans="1:9" ht="14.4" x14ac:dyDescent="0.3">
      <c r="A641" s="60"/>
      <c r="B641" s="213" t="s">
        <v>0</v>
      </c>
      <c r="C641" s="204"/>
      <c r="D641" s="204"/>
      <c r="E641" s="204"/>
      <c r="F641" s="204"/>
      <c r="G641" s="204"/>
      <c r="H641" s="204"/>
      <c r="I641" s="204"/>
    </row>
    <row r="642" spans="1:9" ht="14.4" x14ac:dyDescent="0.3">
      <c r="B642" s="171" t="s">
        <v>8</v>
      </c>
      <c r="C642" s="212" t="s">
        <v>410</v>
      </c>
      <c r="D642" s="204"/>
      <c r="E642" s="204"/>
      <c r="F642" s="204"/>
      <c r="G642" s="204"/>
      <c r="H642" s="204"/>
      <c r="I642" s="204"/>
    </row>
    <row r="644" spans="1:9" ht="14.4" x14ac:dyDescent="0.3">
      <c r="A644" s="183" t="s">
        <v>478</v>
      </c>
      <c r="B644" s="214" t="s">
        <v>479</v>
      </c>
      <c r="C644" s="204"/>
      <c r="D644" s="204"/>
      <c r="E644" s="204"/>
      <c r="F644" s="204"/>
      <c r="G644" s="204"/>
      <c r="H644" s="204"/>
      <c r="I644" s="204"/>
    </row>
    <row r="645" spans="1:9" ht="14.4" x14ac:dyDescent="0.3">
      <c r="A645" s="3"/>
      <c r="B645" s="213" t="s">
        <v>6</v>
      </c>
      <c r="C645" s="204"/>
      <c r="D645" s="204"/>
      <c r="E645" s="204"/>
      <c r="F645" s="204"/>
      <c r="G645" s="204"/>
      <c r="H645" s="204"/>
      <c r="I645" s="204"/>
    </row>
    <row r="646" spans="1:9" ht="26.1" customHeight="1" x14ac:dyDescent="0.3">
      <c r="A646" s="60"/>
      <c r="B646" s="212" t="s">
        <v>480</v>
      </c>
      <c r="C646" s="204"/>
      <c r="D646" s="204"/>
      <c r="E646" s="204"/>
      <c r="F646" s="204"/>
      <c r="G646" s="204"/>
      <c r="H646" s="204"/>
      <c r="I646" s="204"/>
    </row>
    <row r="647" spans="1:9" ht="14.4" x14ac:dyDescent="0.3">
      <c r="A647" s="175"/>
      <c r="B647" s="220"/>
      <c r="C647" s="221"/>
      <c r="D647" s="221"/>
      <c r="E647" s="221"/>
      <c r="F647" s="221"/>
      <c r="G647" s="221"/>
      <c r="H647" s="221"/>
      <c r="I647" s="221"/>
    </row>
    <row r="648" spans="1:9" ht="14.4" x14ac:dyDescent="0.3">
      <c r="A648" s="60"/>
      <c r="B648" s="213" t="s">
        <v>0</v>
      </c>
      <c r="C648" s="204"/>
      <c r="D648" s="204"/>
      <c r="E648" s="204"/>
      <c r="F648" s="204"/>
      <c r="G648" s="204"/>
      <c r="H648" s="204"/>
      <c r="I648" s="204"/>
    </row>
    <row r="649" spans="1:9" ht="14.4" x14ac:dyDescent="0.3">
      <c r="B649" s="171" t="s">
        <v>8</v>
      </c>
      <c r="C649" s="212"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14" t="s">
        <v>482</v>
      </c>
      <c r="C651" s="204"/>
      <c r="D651" s="204"/>
      <c r="E651" s="204"/>
      <c r="F651" s="204"/>
      <c r="G651" s="204"/>
      <c r="H651" s="204"/>
      <c r="I651" s="204"/>
    </row>
    <row r="652" spans="1:9" ht="14.4" x14ac:dyDescent="0.3">
      <c r="A652" s="3"/>
      <c r="B652" s="213" t="s">
        <v>6</v>
      </c>
      <c r="C652" s="204"/>
      <c r="D652" s="204"/>
      <c r="E652" s="204"/>
      <c r="F652" s="204"/>
      <c r="G652" s="204"/>
      <c r="H652" s="204"/>
      <c r="I652" s="204"/>
    </row>
    <row r="653" spans="1:9" ht="14.4" x14ac:dyDescent="0.3">
      <c r="A653" s="60"/>
      <c r="B653" s="212"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3" t="s">
        <v>0</v>
      </c>
      <c r="C655" s="204"/>
      <c r="D655" s="204"/>
      <c r="E655" s="204"/>
      <c r="F655" s="204"/>
      <c r="G655" s="204"/>
      <c r="H655" s="204"/>
      <c r="I655" s="204"/>
    </row>
    <row r="656" spans="1:9" ht="14.4" x14ac:dyDescent="0.3">
      <c r="B656" s="171" t="s">
        <v>8</v>
      </c>
      <c r="C656" s="212" t="s">
        <v>102</v>
      </c>
      <c r="D656" s="204"/>
      <c r="E656" s="204"/>
      <c r="F656" s="204"/>
      <c r="G656" s="204"/>
      <c r="H656" s="204"/>
      <c r="I656" s="204"/>
    </row>
    <row r="657" spans="1:9" ht="14.4" x14ac:dyDescent="0.3">
      <c r="B657" s="171" t="s">
        <v>8</v>
      </c>
      <c r="C657" s="212"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5" t="s">
        <v>485</v>
      </c>
      <c r="D659" s="216"/>
      <c r="E659" s="216"/>
      <c r="F659" s="216"/>
      <c r="G659" s="216"/>
      <c r="H659" s="216"/>
      <c r="I659" s="216"/>
    </row>
    <row r="660" spans="1:9" ht="12.6" customHeight="1" x14ac:dyDescent="0.3">
      <c r="C660" s="176"/>
      <c r="D660" s="181"/>
      <c r="E660" s="181"/>
      <c r="F660" s="181"/>
      <c r="G660" s="181"/>
      <c r="H660" s="181"/>
      <c r="I660" s="181"/>
    </row>
    <row r="661" spans="1:9" ht="14.4" customHeight="1" x14ac:dyDescent="0.3">
      <c r="A661" s="183" t="s">
        <v>486</v>
      </c>
      <c r="B661" s="214" t="s">
        <v>487</v>
      </c>
      <c r="C661" s="214"/>
      <c r="D661" s="214"/>
      <c r="E661" s="214"/>
      <c r="F661" s="214"/>
      <c r="G661" s="214"/>
      <c r="H661" s="214"/>
      <c r="I661" s="214"/>
    </row>
    <row r="662" spans="1:9" ht="14.4" x14ac:dyDescent="0.3">
      <c r="D662" s="170"/>
      <c r="E662" s="170"/>
      <c r="F662" s="170"/>
      <c r="H662" s="170"/>
      <c r="I662" s="170"/>
    </row>
    <row r="663" spans="1:9" x14ac:dyDescent="0.3">
      <c r="A663" s="183" t="s">
        <v>488</v>
      </c>
      <c r="B663" s="214" t="s">
        <v>489</v>
      </c>
      <c r="C663" s="214"/>
      <c r="D663" s="214"/>
      <c r="E663" s="214"/>
      <c r="F663" s="214"/>
      <c r="G663" s="214"/>
      <c r="H663" s="214"/>
      <c r="I663" s="214"/>
    </row>
    <row r="664" spans="1:9" x14ac:dyDescent="0.3">
      <c r="A664" s="3"/>
      <c r="B664" s="213" t="s">
        <v>6</v>
      </c>
      <c r="C664" s="213"/>
      <c r="D664" s="213"/>
      <c r="E664" s="213"/>
      <c r="F664" s="213"/>
      <c r="G664" s="213"/>
      <c r="H664" s="213"/>
      <c r="I664" s="213"/>
    </row>
    <row r="665" spans="1:9" ht="25.5" customHeight="1" x14ac:dyDescent="0.3">
      <c r="A665" s="60"/>
      <c r="B665" s="212" t="s">
        <v>490</v>
      </c>
      <c r="C665" s="212"/>
      <c r="D665" s="212"/>
      <c r="E665" s="212"/>
      <c r="F665" s="212"/>
      <c r="G665" s="212"/>
      <c r="H665" s="212"/>
      <c r="I665" s="212"/>
    </row>
    <row r="666" spans="1:9" x14ac:dyDescent="0.3">
      <c r="A666" s="175"/>
      <c r="B666" s="220"/>
      <c r="C666" s="220"/>
      <c r="D666" s="220"/>
      <c r="E666" s="220"/>
      <c r="F666" s="220"/>
      <c r="G666" s="220"/>
      <c r="H666" s="220"/>
      <c r="I666" s="220"/>
    </row>
    <row r="667" spans="1:9" x14ac:dyDescent="0.3">
      <c r="A667" s="60"/>
      <c r="B667" s="213" t="s">
        <v>0</v>
      </c>
      <c r="C667" s="213"/>
      <c r="D667" s="213"/>
      <c r="E667" s="213"/>
      <c r="F667" s="213"/>
      <c r="G667" s="213"/>
      <c r="H667" s="213"/>
      <c r="I667" s="213"/>
    </row>
    <row r="668" spans="1:9" x14ac:dyDescent="0.3">
      <c r="B668" s="171" t="s">
        <v>8</v>
      </c>
      <c r="C668" s="212" t="s">
        <v>491</v>
      </c>
      <c r="D668" s="212"/>
      <c r="E668" s="212"/>
      <c r="F668" s="212"/>
      <c r="G668" s="212"/>
      <c r="H668" s="212"/>
      <c r="I668" s="212"/>
    </row>
    <row r="669" spans="1:9" x14ac:dyDescent="0.3">
      <c r="B669" s="171" t="s">
        <v>8</v>
      </c>
      <c r="C669" s="212" t="s">
        <v>492</v>
      </c>
      <c r="D669" s="212"/>
      <c r="E669" s="212"/>
      <c r="F669" s="212"/>
      <c r="G669" s="212"/>
      <c r="H669" s="212"/>
      <c r="I669" s="212"/>
    </row>
    <row r="671" spans="1:9" ht="14.4" x14ac:dyDescent="0.3">
      <c r="A671" s="183" t="s">
        <v>493</v>
      </c>
      <c r="B671" s="214" t="s">
        <v>494</v>
      </c>
      <c r="C671" s="204"/>
      <c r="D671" s="204"/>
      <c r="E671" s="204"/>
      <c r="F671" s="204"/>
      <c r="G671" s="204"/>
      <c r="H671" s="204"/>
      <c r="I671" s="204"/>
    </row>
    <row r="672" spans="1:9" ht="14.4" x14ac:dyDescent="0.3">
      <c r="A672" s="3"/>
      <c r="B672" s="213" t="s">
        <v>6</v>
      </c>
      <c r="C672" s="204"/>
      <c r="D672" s="204"/>
      <c r="E672" s="204"/>
      <c r="F672" s="204"/>
      <c r="G672" s="204"/>
      <c r="H672" s="204"/>
      <c r="I672" s="204"/>
    </row>
    <row r="673" spans="1:9" ht="54.6" customHeight="1" x14ac:dyDescent="0.3">
      <c r="A673" s="60"/>
      <c r="B673" s="212" t="s">
        <v>495</v>
      </c>
      <c r="C673" s="204"/>
      <c r="D673" s="204"/>
      <c r="E673" s="204"/>
      <c r="F673" s="204"/>
      <c r="G673" s="204"/>
      <c r="H673" s="204"/>
      <c r="I673" s="204"/>
    </row>
    <row r="674" spans="1:9" ht="14.4" x14ac:dyDescent="0.3">
      <c r="A674" s="175"/>
      <c r="B674" s="220"/>
      <c r="C674" s="221"/>
      <c r="D674" s="221"/>
      <c r="E674" s="221"/>
      <c r="F674" s="221"/>
      <c r="G674" s="221"/>
      <c r="H674" s="221"/>
      <c r="I674" s="221"/>
    </row>
    <row r="675" spans="1:9" ht="14.4" x14ac:dyDescent="0.3">
      <c r="A675" s="60"/>
      <c r="B675" s="213" t="s">
        <v>0</v>
      </c>
      <c r="C675" s="204"/>
      <c r="D675" s="204"/>
      <c r="E675" s="204"/>
      <c r="F675" s="204"/>
      <c r="G675" s="204"/>
      <c r="H675" s="204"/>
      <c r="I675" s="204"/>
    </row>
    <row r="676" spans="1:9" ht="14.4" x14ac:dyDescent="0.3">
      <c r="B676" s="171" t="s">
        <v>8</v>
      </c>
      <c r="C676" s="212" t="s">
        <v>491</v>
      </c>
      <c r="D676" s="204"/>
      <c r="E676" s="204"/>
      <c r="F676" s="204"/>
      <c r="G676" s="204"/>
      <c r="H676" s="204"/>
      <c r="I676" s="204"/>
    </row>
    <row r="677" spans="1:9" ht="27" customHeight="1" x14ac:dyDescent="0.3">
      <c r="B677" s="171" t="s">
        <v>8</v>
      </c>
      <c r="C677" s="212"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14" t="s">
        <v>498</v>
      </c>
      <c r="C679" s="214"/>
      <c r="D679" s="214"/>
      <c r="E679" s="214"/>
      <c r="F679" s="214"/>
      <c r="G679" s="214"/>
      <c r="H679" s="214"/>
      <c r="I679" s="214"/>
    </row>
    <row r="680" spans="1:9" ht="42" customHeight="1" x14ac:dyDescent="0.3">
      <c r="A680" s="183"/>
      <c r="B680" s="215" t="s">
        <v>499</v>
      </c>
      <c r="C680" s="216"/>
      <c r="D680" s="216"/>
      <c r="E680" s="216"/>
      <c r="F680" s="216"/>
      <c r="G680" s="216"/>
      <c r="H680" s="216"/>
      <c r="I680" s="216"/>
    </row>
    <row r="681" spans="1:9" ht="10.5" customHeight="1" x14ac:dyDescent="0.3">
      <c r="D681" s="170"/>
      <c r="E681" s="170"/>
      <c r="F681" s="170"/>
      <c r="G681" s="170"/>
      <c r="H681" s="170"/>
      <c r="I681" s="170"/>
    </row>
    <row r="682" spans="1:9" ht="14.4" x14ac:dyDescent="0.3">
      <c r="A682" s="183" t="s">
        <v>500</v>
      </c>
      <c r="B682" s="214" t="s">
        <v>501</v>
      </c>
      <c r="C682" s="204"/>
      <c r="D682" s="204"/>
      <c r="E682" s="204"/>
      <c r="F682" s="204"/>
      <c r="G682" s="204"/>
      <c r="H682" s="204"/>
      <c r="I682" s="204"/>
    </row>
    <row r="683" spans="1:9" ht="14.4" x14ac:dyDescent="0.3">
      <c r="A683" s="3"/>
      <c r="B683" s="213" t="s">
        <v>6</v>
      </c>
      <c r="C683" s="204"/>
      <c r="D683" s="204"/>
      <c r="E683" s="204"/>
      <c r="F683" s="204"/>
      <c r="G683" s="204"/>
      <c r="H683" s="204"/>
      <c r="I683" s="204"/>
    </row>
    <row r="684" spans="1:9" ht="27.6" customHeight="1" x14ac:dyDescent="0.3">
      <c r="A684" s="60"/>
      <c r="B684" s="212" t="s">
        <v>502</v>
      </c>
      <c r="C684" s="204"/>
      <c r="D684" s="204"/>
      <c r="E684" s="204"/>
      <c r="F684" s="204"/>
      <c r="G684" s="204"/>
      <c r="H684" s="204"/>
      <c r="I684" s="204"/>
    </row>
    <row r="685" spans="1:9" ht="14.4" x14ac:dyDescent="0.3">
      <c r="A685" s="60"/>
      <c r="B685" s="212"/>
      <c r="C685" s="204"/>
      <c r="D685" s="204"/>
      <c r="E685" s="204"/>
      <c r="F685" s="204"/>
      <c r="G685" s="204"/>
      <c r="H685" s="204"/>
      <c r="I685" s="204"/>
    </row>
    <row r="686" spans="1:9" ht="14.4" x14ac:dyDescent="0.3">
      <c r="A686" s="60"/>
      <c r="B686" s="213" t="s">
        <v>0</v>
      </c>
      <c r="C686" s="204"/>
      <c r="D686" s="204"/>
      <c r="E686" s="204"/>
      <c r="F686" s="204"/>
      <c r="G686" s="204"/>
      <c r="H686" s="204"/>
      <c r="I686" s="204"/>
    </row>
    <row r="687" spans="1:9" ht="14.4" x14ac:dyDescent="0.3">
      <c r="B687" s="171" t="s">
        <v>8</v>
      </c>
      <c r="C687" s="212" t="s">
        <v>462</v>
      </c>
      <c r="D687" s="204"/>
      <c r="E687" s="204"/>
      <c r="F687" s="204"/>
      <c r="G687" s="204"/>
      <c r="H687" s="204"/>
      <c r="I687" s="204"/>
    </row>
    <row r="689" spans="1:9" ht="14.4" x14ac:dyDescent="0.3">
      <c r="A689" s="183" t="s">
        <v>503</v>
      </c>
      <c r="B689" s="214" t="s">
        <v>504</v>
      </c>
      <c r="C689" s="204"/>
      <c r="D689" s="204"/>
      <c r="E689" s="204"/>
      <c r="F689" s="204"/>
      <c r="G689" s="204"/>
      <c r="H689" s="204"/>
      <c r="I689" s="204"/>
    </row>
    <row r="690" spans="1:9" ht="14.4" x14ac:dyDescent="0.3">
      <c r="A690" s="3"/>
      <c r="B690" s="213" t="s">
        <v>6</v>
      </c>
      <c r="C690" s="204"/>
      <c r="D690" s="204"/>
      <c r="E690" s="204"/>
      <c r="F690" s="204"/>
      <c r="G690" s="204"/>
      <c r="H690" s="204"/>
      <c r="I690" s="204"/>
    </row>
    <row r="691" spans="1:9" ht="27.9" customHeight="1" x14ac:dyDescent="0.3">
      <c r="A691" s="60"/>
      <c r="B691" s="212" t="s">
        <v>505</v>
      </c>
      <c r="C691" s="204"/>
      <c r="D691" s="204"/>
      <c r="E691" s="204"/>
      <c r="F691" s="204"/>
      <c r="G691" s="204"/>
      <c r="H691" s="204"/>
      <c r="I691" s="204"/>
    </row>
    <row r="692" spans="1:9" ht="14.4" x14ac:dyDescent="0.3">
      <c r="A692" s="175"/>
      <c r="B692" s="220"/>
      <c r="C692" s="221"/>
      <c r="D692" s="221"/>
      <c r="E692" s="221"/>
      <c r="F692" s="221"/>
      <c r="G692" s="221"/>
      <c r="H692" s="221"/>
      <c r="I692" s="221"/>
    </row>
    <row r="693" spans="1:9" ht="14.4" x14ac:dyDescent="0.3">
      <c r="A693" s="60"/>
      <c r="B693" s="213" t="s">
        <v>0</v>
      </c>
      <c r="C693" s="204"/>
      <c r="D693" s="204"/>
      <c r="E693" s="204"/>
      <c r="F693" s="204"/>
      <c r="G693" s="204"/>
      <c r="H693" s="204"/>
      <c r="I693" s="204"/>
    </row>
    <row r="694" spans="1:9" ht="14.4" x14ac:dyDescent="0.3">
      <c r="B694" s="171" t="s">
        <v>8</v>
      </c>
      <c r="C694" s="212"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14" t="s">
        <v>508</v>
      </c>
      <c r="C696" s="204"/>
      <c r="D696" s="204"/>
      <c r="E696" s="204"/>
      <c r="F696" s="204"/>
      <c r="G696" s="204"/>
      <c r="H696" s="204"/>
      <c r="I696" s="204"/>
    </row>
    <row r="697" spans="1:9" ht="14.4" x14ac:dyDescent="0.3">
      <c r="A697" s="3"/>
      <c r="B697" s="213" t="s">
        <v>6</v>
      </c>
      <c r="C697" s="204"/>
      <c r="D697" s="204"/>
      <c r="E697" s="204"/>
      <c r="F697" s="204"/>
      <c r="G697" s="204"/>
      <c r="H697" s="204"/>
      <c r="I697" s="204"/>
    </row>
    <row r="698" spans="1:9" ht="43.5" customHeight="1" x14ac:dyDescent="0.3">
      <c r="A698" s="60"/>
      <c r="B698" s="212"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3" t="s">
        <v>0</v>
      </c>
      <c r="C700" s="204"/>
      <c r="D700" s="204"/>
      <c r="E700" s="204"/>
      <c r="F700" s="204"/>
      <c r="G700" s="204"/>
      <c r="H700" s="204"/>
      <c r="I700" s="204"/>
    </row>
    <row r="701" spans="1:9" ht="14.4" x14ac:dyDescent="0.3">
      <c r="B701" s="171" t="s">
        <v>8</v>
      </c>
      <c r="C701" s="212" t="s">
        <v>187</v>
      </c>
      <c r="D701" s="204"/>
      <c r="E701" s="204"/>
      <c r="F701" s="204"/>
      <c r="G701" s="204"/>
      <c r="H701" s="204"/>
      <c r="I701" s="204"/>
    </row>
    <row r="702" spans="1:9" ht="14.4" x14ac:dyDescent="0.3">
      <c r="B702" s="171" t="s">
        <v>8</v>
      </c>
      <c r="C702" s="212" t="s">
        <v>510</v>
      </c>
      <c r="D702" s="204"/>
      <c r="E702" s="204"/>
      <c r="F702" s="204"/>
      <c r="G702" s="204"/>
      <c r="H702" s="204"/>
      <c r="I702" s="204"/>
    </row>
    <row r="703" spans="1:9" ht="14.4" x14ac:dyDescent="0.3">
      <c r="D703" s="170"/>
      <c r="E703" s="170"/>
      <c r="F703" s="170"/>
      <c r="H703" s="170"/>
      <c r="I703" s="170"/>
    </row>
    <row r="704" spans="1:9" x14ac:dyDescent="0.3">
      <c r="A704" s="183" t="s">
        <v>511</v>
      </c>
      <c r="B704" s="214" t="s">
        <v>512</v>
      </c>
      <c r="C704" s="214"/>
      <c r="D704" s="214"/>
      <c r="E704" s="214"/>
      <c r="F704" s="214"/>
      <c r="G704" s="214"/>
      <c r="H704" s="214"/>
      <c r="I704" s="214"/>
    </row>
    <row r="705" spans="1:9" x14ac:dyDescent="0.3">
      <c r="A705" s="3"/>
      <c r="B705" s="213" t="s">
        <v>6</v>
      </c>
      <c r="C705" s="213"/>
      <c r="D705" s="213"/>
      <c r="E705" s="213"/>
      <c r="F705" s="213"/>
      <c r="G705" s="213"/>
      <c r="H705" s="213"/>
      <c r="I705" s="213"/>
    </row>
    <row r="706" spans="1:9" ht="42.9" customHeight="1" x14ac:dyDescent="0.3">
      <c r="A706" s="60"/>
      <c r="B706" s="212" t="s">
        <v>513</v>
      </c>
      <c r="C706" s="212"/>
      <c r="D706" s="212"/>
      <c r="E706" s="212"/>
      <c r="F706" s="212"/>
      <c r="G706" s="212"/>
      <c r="H706" s="212"/>
      <c r="I706" s="212"/>
    </row>
    <row r="707" spans="1:9" x14ac:dyDescent="0.3">
      <c r="A707" s="175"/>
      <c r="B707" s="220"/>
      <c r="C707" s="220"/>
      <c r="D707" s="220"/>
      <c r="E707" s="220"/>
      <c r="F707" s="220"/>
      <c r="G707" s="220"/>
      <c r="H707" s="220"/>
      <c r="I707" s="220"/>
    </row>
    <row r="708" spans="1:9" x14ac:dyDescent="0.3">
      <c r="A708" s="60"/>
      <c r="B708" s="213" t="s">
        <v>0</v>
      </c>
      <c r="C708" s="213"/>
      <c r="D708" s="213"/>
      <c r="E708" s="213"/>
      <c r="F708" s="213"/>
      <c r="G708" s="213"/>
      <c r="H708" s="213"/>
      <c r="I708" s="213"/>
    </row>
    <row r="709" spans="1:9" x14ac:dyDescent="0.3">
      <c r="B709" s="171" t="s">
        <v>8</v>
      </c>
      <c r="C709" s="212" t="s">
        <v>187</v>
      </c>
      <c r="D709" s="212"/>
      <c r="E709" s="212"/>
      <c r="F709" s="212"/>
      <c r="G709" s="212"/>
      <c r="H709" s="212"/>
      <c r="I709" s="212"/>
    </row>
    <row r="710" spans="1:9" ht="40.5" customHeight="1" x14ac:dyDescent="0.3">
      <c r="B710" s="171" t="s">
        <v>8</v>
      </c>
      <c r="C710" s="212" t="s">
        <v>514</v>
      </c>
      <c r="D710" s="212"/>
      <c r="E710" s="212"/>
      <c r="F710" s="212"/>
      <c r="G710" s="212"/>
      <c r="H710" s="212"/>
      <c r="I710" s="212"/>
    </row>
    <row r="711" spans="1:9" ht="26.1" customHeight="1" x14ac:dyDescent="0.3">
      <c r="B711" s="171" t="s">
        <v>8</v>
      </c>
      <c r="C711" s="212" t="s">
        <v>515</v>
      </c>
      <c r="D711" s="212"/>
      <c r="E711" s="212"/>
      <c r="F711" s="212"/>
      <c r="G711" s="212"/>
      <c r="H711" s="212"/>
      <c r="I711" s="212"/>
    </row>
    <row r="712" spans="1:9" ht="13.5" customHeight="1" x14ac:dyDescent="0.3">
      <c r="B712" s="171" t="s">
        <v>8</v>
      </c>
      <c r="C712" s="212" t="s">
        <v>516</v>
      </c>
      <c r="D712" s="212"/>
      <c r="E712" s="212"/>
      <c r="F712" s="212"/>
      <c r="G712" s="212"/>
      <c r="H712" s="212"/>
      <c r="I712" s="212"/>
    </row>
    <row r="713" spans="1:9" ht="25.5" customHeight="1" x14ac:dyDescent="0.3">
      <c r="B713" s="171" t="s">
        <v>8</v>
      </c>
      <c r="C713" s="212" t="s">
        <v>517</v>
      </c>
      <c r="D713" s="212"/>
      <c r="E713" s="212"/>
      <c r="F713" s="212"/>
      <c r="G713" s="212"/>
      <c r="H713" s="212"/>
      <c r="I713" s="212"/>
    </row>
    <row r="715" spans="1:9" ht="14.4" x14ac:dyDescent="0.3">
      <c r="A715" s="183" t="s">
        <v>518</v>
      </c>
      <c r="B715" s="214" t="s">
        <v>519</v>
      </c>
      <c r="C715" s="204"/>
      <c r="D715" s="204"/>
      <c r="E715" s="204"/>
      <c r="F715" s="204"/>
      <c r="G715" s="204"/>
      <c r="H715" s="204"/>
      <c r="I715" s="204"/>
    </row>
    <row r="716" spans="1:9" ht="14.4" x14ac:dyDescent="0.3">
      <c r="A716" s="3"/>
      <c r="B716" s="213" t="s">
        <v>6</v>
      </c>
      <c r="C716" s="204"/>
      <c r="D716" s="204"/>
      <c r="E716" s="204"/>
      <c r="F716" s="204"/>
      <c r="G716" s="204"/>
      <c r="H716" s="204"/>
      <c r="I716" s="204"/>
    </row>
    <row r="717" spans="1:9" ht="29.4" customHeight="1" x14ac:dyDescent="0.3">
      <c r="A717" s="60"/>
      <c r="B717" s="212" t="s">
        <v>520</v>
      </c>
      <c r="C717" s="204"/>
      <c r="D717" s="204"/>
      <c r="E717" s="204"/>
      <c r="F717" s="204"/>
      <c r="G717" s="204"/>
      <c r="H717" s="204"/>
      <c r="I717" s="204"/>
    </row>
    <row r="718" spans="1:9" ht="14.4" x14ac:dyDescent="0.3">
      <c r="A718" s="175"/>
      <c r="B718" s="220"/>
      <c r="C718" s="221"/>
      <c r="D718" s="221"/>
      <c r="E718" s="221"/>
      <c r="F718" s="221"/>
      <c r="G718" s="221"/>
      <c r="H718" s="221"/>
      <c r="I718" s="221"/>
    </row>
    <row r="719" spans="1:9" ht="14.4" x14ac:dyDescent="0.3">
      <c r="A719" s="60"/>
      <c r="B719" s="213" t="s">
        <v>0</v>
      </c>
      <c r="C719" s="204"/>
      <c r="D719" s="204"/>
      <c r="E719" s="204"/>
      <c r="F719" s="204"/>
      <c r="G719" s="204"/>
      <c r="H719" s="204"/>
      <c r="I719" s="204"/>
    </row>
    <row r="720" spans="1:9" ht="14.4" x14ac:dyDescent="0.3">
      <c r="B720" s="171" t="s">
        <v>8</v>
      </c>
      <c r="C720" s="212"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14" t="s">
        <v>388</v>
      </c>
      <c r="C722" s="204"/>
      <c r="D722" s="204"/>
      <c r="E722" s="204"/>
      <c r="F722" s="204"/>
      <c r="G722" s="204"/>
      <c r="H722" s="204"/>
      <c r="I722" s="204"/>
    </row>
    <row r="723" spans="1:9" ht="14.4" x14ac:dyDescent="0.3">
      <c r="A723" s="3"/>
      <c r="B723" s="213" t="s">
        <v>6</v>
      </c>
      <c r="C723" s="204"/>
      <c r="D723" s="204"/>
      <c r="E723" s="204"/>
      <c r="F723" s="204"/>
      <c r="G723" s="204"/>
      <c r="H723" s="204"/>
      <c r="I723" s="204"/>
    </row>
    <row r="724" spans="1:9" ht="45" customHeight="1" x14ac:dyDescent="0.3">
      <c r="A724" s="60"/>
      <c r="B724" s="212" t="s">
        <v>522</v>
      </c>
      <c r="C724" s="204"/>
      <c r="D724" s="204"/>
      <c r="E724" s="204"/>
      <c r="F724" s="204"/>
      <c r="G724" s="204"/>
      <c r="H724" s="204"/>
      <c r="I724" s="204"/>
    </row>
    <row r="725" spans="1:9" ht="139.19999999999999" customHeight="1" x14ac:dyDescent="0.3">
      <c r="A725" s="60"/>
      <c r="B725" s="222" t="s">
        <v>523</v>
      </c>
      <c r="C725" s="223"/>
      <c r="D725" s="223"/>
      <c r="E725" s="223"/>
      <c r="F725" s="223"/>
      <c r="G725" s="223"/>
      <c r="H725" s="223"/>
      <c r="I725" s="223"/>
    </row>
    <row r="726" spans="1:9" ht="6.6" customHeight="1" x14ac:dyDescent="0.3">
      <c r="A726" s="60"/>
      <c r="B726" s="184"/>
      <c r="C726" s="185"/>
      <c r="D726" s="185"/>
      <c r="E726" s="185"/>
      <c r="F726" s="185"/>
      <c r="G726" s="185"/>
      <c r="H726" s="185"/>
      <c r="I726" s="185"/>
    </row>
    <row r="727" spans="1:9" ht="39.6" customHeight="1" x14ac:dyDescent="0.3">
      <c r="A727" s="60"/>
      <c r="B727" s="187" t="s">
        <v>21</v>
      </c>
      <c r="C727" s="241" t="s">
        <v>524</v>
      </c>
      <c r="D727" s="240"/>
      <c r="E727" s="240"/>
      <c r="F727" s="240"/>
      <c r="G727" s="240"/>
      <c r="H727" s="240"/>
      <c r="I727" s="240"/>
    </row>
    <row r="728" spans="1:9" ht="29.4" customHeight="1" x14ac:dyDescent="0.3">
      <c r="A728" s="60"/>
      <c r="B728" s="187" t="s">
        <v>23</v>
      </c>
      <c r="C728" s="241" t="s">
        <v>525</v>
      </c>
      <c r="D728" s="241"/>
      <c r="E728" s="241"/>
      <c r="F728" s="241"/>
      <c r="G728" s="241"/>
      <c r="H728" s="241"/>
      <c r="I728" s="241"/>
    </row>
    <row r="729" spans="1:9" ht="17.399999999999999" customHeight="1" x14ac:dyDescent="0.3">
      <c r="A729" s="60"/>
      <c r="B729" s="184"/>
      <c r="C729" s="185"/>
      <c r="D729" s="185"/>
      <c r="E729" s="185"/>
      <c r="F729" s="185"/>
      <c r="G729" s="185"/>
      <c r="H729" s="185"/>
      <c r="I729" s="185"/>
    </row>
    <row r="730" spans="1:9" ht="14.4" x14ac:dyDescent="0.3">
      <c r="A730" s="60"/>
      <c r="B730" s="213" t="s">
        <v>0</v>
      </c>
      <c r="C730" s="204"/>
      <c r="D730" s="204"/>
      <c r="E730" s="204"/>
      <c r="F730" s="204"/>
      <c r="G730" s="204"/>
      <c r="H730" s="204"/>
      <c r="I730" s="204"/>
    </row>
    <row r="731" spans="1:9" ht="14.4" x14ac:dyDescent="0.3">
      <c r="B731" s="171" t="s">
        <v>8</v>
      </c>
      <c r="C731" s="212" t="s">
        <v>410</v>
      </c>
      <c r="D731" s="204"/>
      <c r="E731" s="204"/>
      <c r="F731" s="204"/>
      <c r="G731" s="204"/>
      <c r="H731" s="204"/>
      <c r="I731" s="204"/>
    </row>
    <row r="732" spans="1:9" ht="27" customHeight="1" x14ac:dyDescent="0.3">
      <c r="B732" s="171" t="s">
        <v>8</v>
      </c>
      <c r="C732" s="212" t="s">
        <v>526</v>
      </c>
      <c r="D732" s="204"/>
      <c r="E732" s="204"/>
      <c r="F732" s="204"/>
      <c r="G732" s="204"/>
      <c r="H732" s="204"/>
      <c r="I732" s="204"/>
    </row>
    <row r="733" spans="1:9" ht="15" customHeight="1" x14ac:dyDescent="0.3">
      <c r="B733" s="171" t="s">
        <v>8</v>
      </c>
      <c r="C733" s="212"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14" t="s">
        <v>398</v>
      </c>
      <c r="C735" s="204"/>
      <c r="D735" s="204"/>
      <c r="E735" s="204"/>
      <c r="F735" s="204"/>
      <c r="G735" s="204"/>
      <c r="H735" s="204"/>
      <c r="I735" s="204"/>
    </row>
    <row r="736" spans="1:9" ht="14.4" x14ac:dyDescent="0.3">
      <c r="A736" s="3"/>
      <c r="B736" s="213" t="s">
        <v>6</v>
      </c>
      <c r="C736" s="204"/>
      <c r="D736" s="204"/>
      <c r="E736" s="204"/>
      <c r="F736" s="204"/>
      <c r="G736" s="204"/>
      <c r="H736" s="204"/>
      <c r="I736" s="204"/>
    </row>
    <row r="737" spans="1:9" ht="39" customHeight="1" x14ac:dyDescent="0.3">
      <c r="A737" s="60"/>
      <c r="B737" s="212" t="s">
        <v>529</v>
      </c>
      <c r="C737" s="204"/>
      <c r="D737" s="204"/>
      <c r="E737" s="204"/>
      <c r="F737" s="204"/>
      <c r="G737" s="204"/>
      <c r="H737" s="204"/>
      <c r="I737" s="204"/>
    </row>
    <row r="738" spans="1:9" ht="14.4" x14ac:dyDescent="0.3">
      <c r="A738" s="175"/>
      <c r="B738" s="220"/>
      <c r="C738" s="221"/>
      <c r="D738" s="221"/>
      <c r="E738" s="221"/>
      <c r="F738" s="221"/>
      <c r="G738" s="221"/>
      <c r="H738" s="221"/>
      <c r="I738" s="221"/>
    </row>
    <row r="739" spans="1:9" ht="14.4" x14ac:dyDescent="0.3">
      <c r="A739" s="60"/>
      <c r="B739" s="213" t="s">
        <v>0</v>
      </c>
      <c r="C739" s="204"/>
      <c r="D739" s="204"/>
      <c r="E739" s="204"/>
      <c r="F739" s="204"/>
      <c r="G739" s="204"/>
      <c r="H739" s="204"/>
      <c r="I739" s="204"/>
    </row>
    <row r="740" spans="1:9" ht="14.4" x14ac:dyDescent="0.3">
      <c r="B740" s="171" t="s">
        <v>8</v>
      </c>
      <c r="C740" s="212" t="s">
        <v>187</v>
      </c>
      <c r="D740" s="204"/>
      <c r="E740" s="204"/>
      <c r="F740" s="204"/>
      <c r="G740" s="204"/>
      <c r="H740" s="204"/>
      <c r="I740" s="204"/>
    </row>
    <row r="741" spans="1:9" ht="14.4" x14ac:dyDescent="0.3">
      <c r="B741" s="171" t="s">
        <v>8</v>
      </c>
      <c r="C741" s="212" t="s">
        <v>400</v>
      </c>
      <c r="D741" s="204"/>
      <c r="E741" s="204"/>
      <c r="F741" s="204"/>
      <c r="G741" s="204"/>
      <c r="H741" s="204"/>
      <c r="I741" s="204"/>
    </row>
    <row r="742" spans="1:9" ht="14.4" x14ac:dyDescent="0.3">
      <c r="B742" s="171" t="s">
        <v>8</v>
      </c>
      <c r="C742" s="212" t="s">
        <v>401</v>
      </c>
      <c r="D742" s="204"/>
      <c r="E742" s="204"/>
      <c r="F742" s="204"/>
      <c r="G742" s="204"/>
      <c r="H742" s="204"/>
      <c r="I742" s="204"/>
    </row>
    <row r="743" spans="1:9" ht="26.4" customHeight="1" x14ac:dyDescent="0.3">
      <c r="B743" s="171" t="s">
        <v>8</v>
      </c>
      <c r="C743" s="212" t="s">
        <v>430</v>
      </c>
      <c r="D743" s="204"/>
      <c r="E743" s="204"/>
      <c r="F743" s="204"/>
      <c r="G743" s="204"/>
      <c r="H743" s="204"/>
      <c r="I743" s="204"/>
    </row>
    <row r="744" spans="1:9" ht="14.4" x14ac:dyDescent="0.3">
      <c r="B744" s="171" t="s">
        <v>8</v>
      </c>
      <c r="C744" s="212" t="s">
        <v>530</v>
      </c>
      <c r="D744" s="204"/>
      <c r="E744" s="204"/>
      <c r="F744" s="204"/>
      <c r="G744" s="204"/>
      <c r="H744" s="204"/>
      <c r="I744" s="204"/>
    </row>
    <row r="745" spans="1:9" ht="41.4" customHeight="1" x14ac:dyDescent="0.3">
      <c r="B745" s="171" t="s">
        <v>8</v>
      </c>
      <c r="C745" s="212"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5" t="s">
        <v>405</v>
      </c>
      <c r="D747" s="216"/>
      <c r="E747" s="216"/>
      <c r="F747" s="216"/>
      <c r="G747" s="216"/>
      <c r="H747" s="216"/>
      <c r="I747" s="216"/>
    </row>
    <row r="748" spans="1:9" ht="41.4" customHeight="1" x14ac:dyDescent="0.3">
      <c r="B748" s="171" t="s">
        <v>23</v>
      </c>
      <c r="C748" s="215" t="s">
        <v>532</v>
      </c>
      <c r="D748" s="216"/>
      <c r="E748" s="216"/>
      <c r="F748" s="216"/>
      <c r="G748" s="216"/>
      <c r="H748" s="216"/>
      <c r="I748" s="216"/>
    </row>
    <row r="749" spans="1:9" ht="13.5" customHeight="1" x14ac:dyDescent="0.3">
      <c r="D749" s="170"/>
      <c r="E749" s="170"/>
      <c r="F749" s="170"/>
      <c r="G749" s="170"/>
      <c r="H749" s="170"/>
      <c r="I749" s="170"/>
    </row>
    <row r="750" spans="1:9" ht="14.4" x14ac:dyDescent="0.3">
      <c r="A750" s="183" t="s">
        <v>533</v>
      </c>
      <c r="B750" s="214" t="s">
        <v>534</v>
      </c>
      <c r="C750" s="204"/>
      <c r="D750" s="204"/>
      <c r="E750" s="204"/>
      <c r="F750" s="204"/>
      <c r="G750" s="204"/>
      <c r="H750" s="204"/>
      <c r="I750" s="204"/>
    </row>
    <row r="751" spans="1:9" ht="14.4" x14ac:dyDescent="0.3">
      <c r="A751" s="3"/>
      <c r="B751" s="213" t="s">
        <v>6</v>
      </c>
      <c r="C751" s="204"/>
      <c r="D751" s="204"/>
      <c r="E751" s="204"/>
      <c r="F751" s="204"/>
      <c r="G751" s="204"/>
      <c r="H751" s="204"/>
      <c r="I751" s="204"/>
    </row>
    <row r="752" spans="1:9" ht="27.9" customHeight="1" x14ac:dyDescent="0.3">
      <c r="A752" s="60"/>
      <c r="B752" s="212"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3" t="s">
        <v>0</v>
      </c>
      <c r="C754" s="204"/>
      <c r="D754" s="204"/>
      <c r="E754" s="204"/>
      <c r="F754" s="204"/>
      <c r="G754" s="204"/>
      <c r="H754" s="204"/>
      <c r="I754" s="204"/>
    </row>
    <row r="755" spans="1:9" ht="14.4" x14ac:dyDescent="0.3">
      <c r="B755" s="171" t="s">
        <v>8</v>
      </c>
      <c r="C755" s="212" t="s">
        <v>536</v>
      </c>
      <c r="D755" s="204"/>
      <c r="E755" s="204"/>
      <c r="F755" s="204"/>
      <c r="G755" s="204"/>
      <c r="H755" s="204"/>
      <c r="I755" s="204"/>
    </row>
    <row r="756" spans="1:9" ht="14.4" x14ac:dyDescent="0.3">
      <c r="B756" s="171" t="s">
        <v>8</v>
      </c>
      <c r="C756" s="212"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14" t="s">
        <v>539</v>
      </c>
      <c r="C758" s="214"/>
      <c r="D758" s="214"/>
      <c r="E758" s="214"/>
      <c r="F758" s="214"/>
      <c r="G758" s="214"/>
      <c r="H758" s="214"/>
      <c r="I758" s="214"/>
    </row>
    <row r="759" spans="1:9" x14ac:dyDescent="0.3">
      <c r="A759" s="3"/>
      <c r="B759" s="213" t="s">
        <v>6</v>
      </c>
      <c r="C759" s="213"/>
      <c r="D759" s="213"/>
      <c r="E759" s="213"/>
      <c r="F759" s="213"/>
      <c r="G759" s="213"/>
      <c r="H759" s="213"/>
      <c r="I759" s="213"/>
    </row>
    <row r="760" spans="1:9" ht="14.1" customHeight="1" x14ac:dyDescent="0.3">
      <c r="A760" s="60"/>
      <c r="B760" s="212" t="s">
        <v>540</v>
      </c>
      <c r="C760" s="212"/>
      <c r="D760" s="212"/>
      <c r="E760" s="212"/>
      <c r="F760" s="212"/>
      <c r="G760" s="212"/>
      <c r="H760" s="212"/>
      <c r="I760" s="212"/>
    </row>
    <row r="761" spans="1:9" x14ac:dyDescent="0.3">
      <c r="A761" s="175"/>
      <c r="B761" s="220"/>
      <c r="C761" s="220"/>
      <c r="D761" s="220"/>
      <c r="E761" s="220"/>
      <c r="F761" s="220"/>
      <c r="G761" s="220"/>
      <c r="H761" s="220"/>
      <c r="I761" s="220"/>
    </row>
    <row r="762" spans="1:9" x14ac:dyDescent="0.3">
      <c r="A762" s="60"/>
      <c r="B762" s="213" t="s">
        <v>0</v>
      </c>
      <c r="C762" s="213"/>
      <c r="D762" s="213"/>
      <c r="E762" s="213"/>
      <c r="F762" s="213"/>
      <c r="G762" s="213"/>
      <c r="H762" s="213"/>
      <c r="I762" s="213"/>
    </row>
    <row r="763" spans="1:9" x14ac:dyDescent="0.3">
      <c r="B763" s="171" t="s">
        <v>8</v>
      </c>
      <c r="C763" s="212" t="s">
        <v>541</v>
      </c>
      <c r="D763" s="212"/>
      <c r="E763" s="212"/>
      <c r="F763" s="212"/>
      <c r="G763" s="212"/>
      <c r="H763" s="212"/>
      <c r="I763" s="212"/>
    </row>
    <row r="764" spans="1:9" x14ac:dyDescent="0.3">
      <c r="B764" s="171" t="s">
        <v>8</v>
      </c>
      <c r="C764" s="212" t="s">
        <v>542</v>
      </c>
      <c r="D764" s="212"/>
      <c r="E764" s="212"/>
      <c r="F764" s="212"/>
      <c r="G764" s="212"/>
      <c r="H764" s="212"/>
      <c r="I764" s="212"/>
    </row>
    <row r="765" spans="1:9" ht="66.599999999999994" customHeight="1" x14ac:dyDescent="0.3">
      <c r="B765" s="171" t="s">
        <v>8</v>
      </c>
      <c r="C765" s="212" t="s">
        <v>543</v>
      </c>
      <c r="D765" s="212"/>
      <c r="E765" s="212"/>
      <c r="F765" s="212"/>
      <c r="G765" s="212"/>
      <c r="H765" s="212"/>
      <c r="I765" s="212"/>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14" t="s">
        <v>74</v>
      </c>
      <c r="C768" s="204"/>
      <c r="D768" s="204"/>
      <c r="E768" s="204"/>
      <c r="F768" s="204"/>
      <c r="G768" s="204"/>
      <c r="H768" s="204"/>
      <c r="I768" s="204"/>
    </row>
    <row r="769" spans="1:9" ht="12" customHeight="1" x14ac:dyDescent="0.3"/>
    <row r="770" spans="1:9" ht="14.4" customHeight="1" x14ac:dyDescent="0.3">
      <c r="A770" s="183" t="s">
        <v>547</v>
      </c>
      <c r="B770" s="214" t="s">
        <v>548</v>
      </c>
      <c r="C770" s="214"/>
      <c r="D770" s="214"/>
      <c r="E770" s="214"/>
      <c r="F770" s="214"/>
      <c r="G770" s="214"/>
      <c r="H770" s="214"/>
      <c r="I770" s="214"/>
    </row>
    <row r="771" spans="1:9" ht="14.4" customHeight="1" x14ac:dyDescent="0.3">
      <c r="A771" s="3"/>
      <c r="B771" s="213" t="s">
        <v>6</v>
      </c>
      <c r="C771" s="213"/>
      <c r="D771" s="213"/>
      <c r="E771" s="213"/>
      <c r="F771" s="213"/>
      <c r="G771" s="213"/>
      <c r="H771" s="213"/>
      <c r="I771" s="213"/>
    </row>
    <row r="772" spans="1:9" ht="15.9" customHeight="1" x14ac:dyDescent="0.3">
      <c r="A772" s="60"/>
      <c r="B772" s="212" t="s">
        <v>549</v>
      </c>
      <c r="C772" s="204"/>
      <c r="D772" s="204"/>
      <c r="E772" s="204"/>
      <c r="F772" s="204"/>
      <c r="G772" s="204"/>
      <c r="H772" s="204"/>
      <c r="I772" s="204"/>
    </row>
    <row r="773" spans="1:9" ht="14.4" x14ac:dyDescent="0.3">
      <c r="A773" s="175"/>
      <c r="B773" s="220"/>
      <c r="C773" s="221"/>
      <c r="D773" s="221"/>
      <c r="E773" s="221"/>
      <c r="F773" s="221"/>
      <c r="G773" s="221"/>
      <c r="H773" s="221"/>
      <c r="I773" s="221"/>
    </row>
    <row r="774" spans="1:9" ht="14.4" x14ac:dyDescent="0.3">
      <c r="A774" s="60"/>
      <c r="B774" s="213" t="s">
        <v>0</v>
      </c>
      <c r="C774" s="204"/>
      <c r="D774" s="204"/>
      <c r="E774" s="204"/>
      <c r="F774" s="204"/>
      <c r="G774" s="204"/>
      <c r="H774" s="204"/>
      <c r="I774" s="204"/>
    </row>
    <row r="775" spans="1:9" ht="14.4" x14ac:dyDescent="0.3">
      <c r="B775" s="171" t="s">
        <v>8</v>
      </c>
      <c r="C775" s="212" t="s">
        <v>462</v>
      </c>
      <c r="D775" s="204"/>
      <c r="E775" s="204"/>
      <c r="F775" s="204"/>
      <c r="G775" s="204"/>
      <c r="H775" s="204"/>
      <c r="I775" s="204"/>
    </row>
    <row r="776" spans="1:9" ht="14.4" x14ac:dyDescent="0.3">
      <c r="B776" s="171" t="s">
        <v>8</v>
      </c>
      <c r="C776" s="212" t="s">
        <v>550</v>
      </c>
      <c r="D776" s="204"/>
      <c r="E776" s="204"/>
      <c r="F776" s="204"/>
      <c r="G776" s="204"/>
      <c r="H776" s="204"/>
      <c r="I776" s="204"/>
    </row>
    <row r="777" spans="1:9" ht="14.4" x14ac:dyDescent="0.3">
      <c r="B777" s="171" t="s">
        <v>8</v>
      </c>
      <c r="C777" s="212"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14" t="s">
        <v>97</v>
      </c>
      <c r="C779" s="204"/>
      <c r="D779" s="204"/>
      <c r="E779" s="204"/>
      <c r="F779" s="204"/>
      <c r="G779" s="204"/>
      <c r="H779" s="204"/>
      <c r="I779" s="204"/>
    </row>
    <row r="780" spans="1:9" ht="12" customHeight="1" x14ac:dyDescent="0.3"/>
    <row r="781" spans="1:9" ht="14.4" x14ac:dyDescent="0.3">
      <c r="A781" s="183" t="s">
        <v>553</v>
      </c>
      <c r="B781" s="214" t="s">
        <v>554</v>
      </c>
      <c r="C781" s="204"/>
      <c r="D781" s="204"/>
      <c r="E781" s="204"/>
      <c r="F781" s="204"/>
      <c r="G781" s="204"/>
      <c r="H781" s="204"/>
      <c r="I781" s="204"/>
    </row>
    <row r="782" spans="1:9" ht="14.4" x14ac:dyDescent="0.3">
      <c r="A782" s="3"/>
      <c r="B782" s="213" t="s">
        <v>6</v>
      </c>
      <c r="C782" s="204"/>
      <c r="D782" s="204"/>
      <c r="E782" s="204"/>
      <c r="F782" s="204"/>
      <c r="G782" s="204"/>
      <c r="H782" s="204"/>
      <c r="I782" s="204"/>
    </row>
    <row r="783" spans="1:9" ht="15.6" customHeight="1" x14ac:dyDescent="0.3">
      <c r="A783" s="60"/>
      <c r="B783" s="212" t="s">
        <v>555</v>
      </c>
      <c r="C783" s="204"/>
      <c r="D783" s="204"/>
      <c r="E783" s="204"/>
      <c r="F783" s="204"/>
      <c r="G783" s="204"/>
      <c r="H783" s="204"/>
      <c r="I783" s="204"/>
    </row>
    <row r="784" spans="1:9" ht="14.4" x14ac:dyDescent="0.3">
      <c r="A784" s="60"/>
      <c r="B784" s="212"/>
      <c r="C784" s="204"/>
      <c r="D784" s="204"/>
      <c r="E784" s="204"/>
      <c r="F784" s="204"/>
      <c r="G784" s="204"/>
      <c r="H784" s="204"/>
      <c r="I784" s="204"/>
    </row>
    <row r="785" spans="1:9" ht="14.4" x14ac:dyDescent="0.3">
      <c r="A785" s="60"/>
      <c r="B785" s="213" t="s">
        <v>0</v>
      </c>
      <c r="C785" s="204"/>
      <c r="D785" s="204"/>
      <c r="E785" s="204"/>
      <c r="F785" s="204"/>
      <c r="G785" s="204"/>
      <c r="H785" s="204"/>
      <c r="I785" s="204"/>
    </row>
    <row r="786" spans="1:9" ht="14.4" x14ac:dyDescent="0.3">
      <c r="B786" s="171" t="s">
        <v>8</v>
      </c>
      <c r="C786" s="212" t="s">
        <v>462</v>
      </c>
      <c r="D786" s="204"/>
      <c r="E786" s="204"/>
      <c r="F786" s="204"/>
      <c r="G786" s="204"/>
      <c r="H786" s="204"/>
      <c r="I786" s="204"/>
    </row>
    <row r="787" spans="1:9" ht="14.4" x14ac:dyDescent="0.3">
      <c r="B787" s="171" t="s">
        <v>8</v>
      </c>
      <c r="C787" s="212" t="s">
        <v>550</v>
      </c>
      <c r="D787" s="204"/>
      <c r="E787" s="204"/>
      <c r="F787" s="204"/>
      <c r="G787" s="204"/>
      <c r="H787" s="204"/>
      <c r="I787" s="204"/>
    </row>
    <row r="788" spans="1:9" ht="14.4" x14ac:dyDescent="0.3">
      <c r="B788" s="171" t="s">
        <v>8</v>
      </c>
      <c r="C788" s="212"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14" t="s">
        <v>558</v>
      </c>
      <c r="C790" s="204"/>
      <c r="D790" s="204"/>
      <c r="E790" s="204"/>
      <c r="F790" s="204"/>
      <c r="G790" s="204"/>
      <c r="H790" s="204"/>
      <c r="I790" s="204"/>
    </row>
    <row r="791" spans="1:9" ht="12" customHeight="1" x14ac:dyDescent="0.3"/>
    <row r="792" spans="1:9" x14ac:dyDescent="0.3">
      <c r="A792" s="183" t="s">
        <v>559</v>
      </c>
      <c r="B792" s="214" t="s">
        <v>560</v>
      </c>
      <c r="C792" s="214"/>
      <c r="D792" s="214"/>
      <c r="E792" s="214"/>
      <c r="F792" s="214"/>
      <c r="G792" s="214"/>
      <c r="H792" s="214"/>
      <c r="I792" s="214"/>
    </row>
    <row r="793" spans="1:9" x14ac:dyDescent="0.3">
      <c r="A793" s="3"/>
      <c r="B793" s="213" t="s">
        <v>6</v>
      </c>
      <c r="C793" s="213"/>
      <c r="D793" s="213"/>
      <c r="E793" s="213"/>
      <c r="F793" s="213"/>
      <c r="G793" s="213"/>
      <c r="H793" s="213"/>
      <c r="I793" s="213"/>
    </row>
    <row r="794" spans="1:9" ht="30.9" customHeight="1" x14ac:dyDescent="0.3">
      <c r="A794" s="60"/>
      <c r="B794" s="212" t="s">
        <v>561</v>
      </c>
      <c r="C794" s="204"/>
      <c r="D794" s="204"/>
      <c r="E794" s="204"/>
      <c r="F794" s="204"/>
      <c r="G794" s="204"/>
      <c r="H794" s="204"/>
      <c r="I794" s="204"/>
    </row>
    <row r="795" spans="1:9" ht="14.4" x14ac:dyDescent="0.3">
      <c r="A795" s="175"/>
      <c r="B795" s="220"/>
      <c r="C795" s="221"/>
      <c r="D795" s="221"/>
      <c r="E795" s="221"/>
      <c r="F795" s="221"/>
      <c r="G795" s="221"/>
      <c r="H795" s="221"/>
      <c r="I795" s="221"/>
    </row>
    <row r="796" spans="1:9" ht="14.4" x14ac:dyDescent="0.3">
      <c r="A796" s="60"/>
      <c r="B796" s="213" t="s">
        <v>0</v>
      </c>
      <c r="C796" s="204"/>
      <c r="D796" s="204"/>
      <c r="E796" s="204"/>
      <c r="F796" s="204"/>
      <c r="G796" s="204"/>
      <c r="H796" s="204"/>
      <c r="I796" s="204"/>
    </row>
    <row r="797" spans="1:9" ht="14.4" x14ac:dyDescent="0.3">
      <c r="B797" s="171" t="s">
        <v>8</v>
      </c>
      <c r="C797" s="212" t="s">
        <v>562</v>
      </c>
      <c r="D797" s="204"/>
      <c r="E797" s="204"/>
      <c r="F797" s="204"/>
      <c r="G797" s="204"/>
      <c r="H797" s="204"/>
      <c r="I797" s="204"/>
    </row>
    <row r="798" spans="1:9" ht="14.4" x14ac:dyDescent="0.3">
      <c r="B798" s="171" t="s">
        <v>8</v>
      </c>
      <c r="C798" s="212"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14" t="s">
        <v>74</v>
      </c>
      <c r="C802" s="204"/>
      <c r="D802" s="204"/>
      <c r="E802" s="204"/>
      <c r="F802" s="204"/>
      <c r="G802" s="204"/>
      <c r="H802" s="204"/>
      <c r="I802" s="204"/>
    </row>
    <row r="804" spans="1:9" x14ac:dyDescent="0.3">
      <c r="A804" s="183" t="s">
        <v>567</v>
      </c>
      <c r="B804" s="214" t="s">
        <v>568</v>
      </c>
      <c r="C804" s="214"/>
      <c r="D804" s="214"/>
      <c r="E804" s="214"/>
      <c r="F804" s="214"/>
      <c r="G804" s="214"/>
      <c r="H804" s="214"/>
      <c r="I804" s="214"/>
    </row>
    <row r="805" spans="1:9" x14ac:dyDescent="0.3">
      <c r="A805" s="3"/>
      <c r="B805" s="213" t="s">
        <v>6</v>
      </c>
      <c r="C805" s="213"/>
      <c r="D805" s="213"/>
      <c r="E805" s="213"/>
      <c r="F805" s="213"/>
      <c r="G805" s="213"/>
      <c r="H805" s="213"/>
      <c r="I805" s="213"/>
    </row>
    <row r="806" spans="1:9" ht="14.4" x14ac:dyDescent="0.3">
      <c r="A806" s="60"/>
      <c r="B806" s="212" t="s">
        <v>569</v>
      </c>
      <c r="C806" s="204"/>
      <c r="D806" s="204"/>
      <c r="E806" s="204"/>
      <c r="F806" s="204"/>
      <c r="G806" s="204"/>
      <c r="H806" s="204"/>
      <c r="I806" s="204"/>
    </row>
    <row r="807" spans="1:9" ht="14.4" x14ac:dyDescent="0.3">
      <c r="A807" s="175"/>
      <c r="B807" s="220"/>
      <c r="C807" s="221"/>
      <c r="D807" s="221"/>
      <c r="E807" s="221"/>
      <c r="F807" s="221"/>
      <c r="G807" s="221"/>
      <c r="H807" s="221"/>
      <c r="I807" s="221"/>
    </row>
    <row r="808" spans="1:9" ht="14.4" x14ac:dyDescent="0.3">
      <c r="A808" s="60"/>
      <c r="B808" s="213" t="s">
        <v>0</v>
      </c>
      <c r="C808" s="204"/>
      <c r="D808" s="204"/>
      <c r="E808" s="204"/>
      <c r="F808" s="204"/>
      <c r="G808" s="204"/>
      <c r="H808" s="204"/>
      <c r="I808" s="204"/>
    </row>
    <row r="809" spans="1:9" ht="14.4" x14ac:dyDescent="0.3">
      <c r="B809" s="171" t="s">
        <v>8</v>
      </c>
      <c r="C809" s="212" t="s">
        <v>102</v>
      </c>
      <c r="D809" s="204"/>
      <c r="E809" s="204"/>
      <c r="F809" s="204"/>
      <c r="G809" s="204"/>
      <c r="H809" s="204"/>
      <c r="I809" s="204"/>
    </row>
    <row r="810" spans="1:9" ht="14.4" x14ac:dyDescent="0.3">
      <c r="B810" s="171" t="s">
        <v>8</v>
      </c>
      <c r="C810" s="212" t="s">
        <v>570</v>
      </c>
      <c r="D810" s="204"/>
      <c r="E810" s="204"/>
      <c r="F810" s="204"/>
      <c r="G810" s="204"/>
      <c r="H810" s="204"/>
      <c r="I810" s="204"/>
    </row>
    <row r="811" spans="1:9" ht="24.9" customHeight="1" x14ac:dyDescent="0.3">
      <c r="B811" s="171" t="s">
        <v>8</v>
      </c>
      <c r="C811" s="212" t="s">
        <v>571</v>
      </c>
      <c r="D811" s="204"/>
      <c r="E811" s="204"/>
      <c r="F811" s="204"/>
      <c r="G811" s="204"/>
      <c r="H811" s="204"/>
      <c r="I811" s="204"/>
    </row>
    <row r="812" spans="1:9" ht="16.5" customHeight="1" x14ac:dyDescent="0.3">
      <c r="B812" s="171" t="s">
        <v>8</v>
      </c>
      <c r="C812" s="212" t="s">
        <v>572</v>
      </c>
      <c r="D812" s="204"/>
      <c r="E812" s="204"/>
      <c r="F812" s="204"/>
      <c r="G812" s="204"/>
      <c r="H812" s="204"/>
      <c r="I812" s="204"/>
    </row>
    <row r="814" spans="1:9" ht="14.4" x14ac:dyDescent="0.3">
      <c r="A814" s="183" t="s">
        <v>573</v>
      </c>
      <c r="B814" s="214" t="s">
        <v>534</v>
      </c>
      <c r="C814" s="204"/>
      <c r="D814" s="204"/>
      <c r="E814" s="204"/>
      <c r="F814" s="204"/>
      <c r="G814" s="204"/>
      <c r="H814" s="204"/>
      <c r="I814" s="204"/>
    </row>
    <row r="815" spans="1:9" ht="14.4" x14ac:dyDescent="0.3">
      <c r="A815" s="3"/>
      <c r="B815" s="213" t="s">
        <v>6</v>
      </c>
      <c r="C815" s="204"/>
      <c r="D815" s="204"/>
      <c r="E815" s="204"/>
      <c r="F815" s="204"/>
      <c r="G815" s="204"/>
      <c r="H815" s="204"/>
      <c r="I815" s="204"/>
    </row>
    <row r="816" spans="1:9" ht="28.5" customHeight="1" x14ac:dyDescent="0.3">
      <c r="A816" s="60"/>
      <c r="B816" s="212" t="s">
        <v>574</v>
      </c>
      <c r="C816" s="204"/>
      <c r="D816" s="204"/>
      <c r="E816" s="204"/>
      <c r="F816" s="204"/>
      <c r="G816" s="204"/>
      <c r="H816" s="204"/>
      <c r="I816" s="204"/>
    </row>
    <row r="817" spans="1:9" ht="14.4" x14ac:dyDescent="0.3">
      <c r="A817" s="60"/>
      <c r="B817" s="212"/>
      <c r="C817" s="204"/>
      <c r="D817" s="204"/>
      <c r="E817" s="204"/>
      <c r="F817" s="204"/>
      <c r="G817" s="204"/>
      <c r="H817" s="204"/>
      <c r="I817" s="204"/>
    </row>
    <row r="818" spans="1:9" ht="14.4" x14ac:dyDescent="0.3">
      <c r="A818" s="60"/>
      <c r="B818" s="213" t="s">
        <v>0</v>
      </c>
      <c r="C818" s="204"/>
      <c r="D818" s="204"/>
      <c r="E818" s="204"/>
      <c r="F818" s="204"/>
      <c r="G818" s="204"/>
      <c r="H818" s="204"/>
      <c r="I818" s="204"/>
    </row>
    <row r="819" spans="1:9" ht="14.4" x14ac:dyDescent="0.3">
      <c r="B819" s="171" t="s">
        <v>8</v>
      </c>
      <c r="C819" s="212" t="s">
        <v>575</v>
      </c>
      <c r="D819" s="204"/>
      <c r="E819" s="204"/>
      <c r="F819" s="204"/>
      <c r="G819" s="204"/>
      <c r="H819" s="204"/>
      <c r="I819" s="204"/>
    </row>
    <row r="820" spans="1:9" ht="14.4" x14ac:dyDescent="0.3">
      <c r="B820" s="171" t="s">
        <v>8</v>
      </c>
      <c r="C820" s="212" t="s">
        <v>576</v>
      </c>
      <c r="D820" s="204"/>
      <c r="E820" s="204"/>
      <c r="F820" s="204"/>
      <c r="G820" s="204"/>
      <c r="H820" s="204"/>
      <c r="I820" s="204"/>
    </row>
    <row r="821" spans="1:9" ht="14.4" x14ac:dyDescent="0.3">
      <c r="B821" s="171" t="s">
        <v>8</v>
      </c>
      <c r="C821" s="212" t="s">
        <v>577</v>
      </c>
      <c r="D821" s="204"/>
      <c r="E821" s="204"/>
      <c r="F821" s="204"/>
      <c r="G821" s="204"/>
      <c r="H821" s="204"/>
      <c r="I821" s="204"/>
    </row>
    <row r="822" spans="1:9" ht="14.4" customHeight="1" x14ac:dyDescent="0.3">
      <c r="B822" s="171" t="s">
        <v>8</v>
      </c>
      <c r="C822" s="212"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14" t="s">
        <v>539</v>
      </c>
      <c r="C824" s="214"/>
      <c r="D824" s="214"/>
      <c r="E824" s="214"/>
      <c r="F824" s="214"/>
      <c r="G824" s="214"/>
      <c r="H824" s="214"/>
      <c r="I824" s="214"/>
    </row>
    <row r="825" spans="1:9" x14ac:dyDescent="0.3">
      <c r="A825" s="3"/>
      <c r="B825" s="213" t="s">
        <v>6</v>
      </c>
      <c r="C825" s="213"/>
      <c r="D825" s="213"/>
      <c r="E825" s="213"/>
      <c r="F825" s="213"/>
      <c r="G825" s="213"/>
      <c r="H825" s="213"/>
      <c r="I825" s="213"/>
    </row>
    <row r="826" spans="1:9" x14ac:dyDescent="0.3">
      <c r="A826" s="60"/>
      <c r="B826" s="212" t="s">
        <v>540</v>
      </c>
      <c r="C826" s="212"/>
      <c r="D826" s="212"/>
      <c r="E826" s="212"/>
      <c r="F826" s="212"/>
      <c r="G826" s="212"/>
      <c r="H826" s="212"/>
      <c r="I826" s="212"/>
    </row>
    <row r="827" spans="1:9" x14ac:dyDescent="0.3">
      <c r="A827" s="175"/>
      <c r="B827" s="220"/>
      <c r="C827" s="220"/>
      <c r="D827" s="220"/>
      <c r="E827" s="220"/>
      <c r="F827" s="220"/>
      <c r="G827" s="220"/>
      <c r="H827" s="220"/>
      <c r="I827" s="220"/>
    </row>
    <row r="828" spans="1:9" x14ac:dyDescent="0.3">
      <c r="A828" s="60"/>
      <c r="B828" s="213" t="s">
        <v>0</v>
      </c>
      <c r="C828" s="213"/>
      <c r="D828" s="213"/>
      <c r="E828" s="213"/>
      <c r="F828" s="213"/>
      <c r="G828" s="213"/>
      <c r="H828" s="213"/>
      <c r="I828" s="213"/>
    </row>
    <row r="829" spans="1:9" x14ac:dyDescent="0.3">
      <c r="B829" s="171" t="s">
        <v>8</v>
      </c>
      <c r="C829" s="212" t="s">
        <v>541</v>
      </c>
      <c r="D829" s="212"/>
      <c r="E829" s="212"/>
      <c r="F829" s="212"/>
      <c r="G829" s="212"/>
      <c r="H829" s="212"/>
      <c r="I829" s="212"/>
    </row>
    <row r="830" spans="1:9" ht="14.1" customHeight="1" x14ac:dyDescent="0.3">
      <c r="B830" s="171" t="s">
        <v>8</v>
      </c>
      <c r="C830" s="212" t="s">
        <v>580</v>
      </c>
      <c r="D830" s="212"/>
      <c r="E830" s="212"/>
      <c r="F830" s="212"/>
      <c r="G830" s="212"/>
      <c r="H830" s="212"/>
      <c r="I830" s="212"/>
    </row>
    <row r="831" spans="1:9" ht="48.9" customHeight="1" x14ac:dyDescent="0.3">
      <c r="B831" s="171" t="s">
        <v>8</v>
      </c>
      <c r="C831" s="212" t="s">
        <v>581</v>
      </c>
      <c r="D831" s="212"/>
      <c r="E831" s="212"/>
      <c r="F831" s="212"/>
      <c r="G831" s="212"/>
      <c r="H831" s="212"/>
      <c r="I831" s="212"/>
    </row>
    <row r="833" spans="1:9" ht="14.4" x14ac:dyDescent="0.3">
      <c r="A833" s="183" t="s">
        <v>582</v>
      </c>
      <c r="B833" s="214" t="s">
        <v>583</v>
      </c>
      <c r="C833" s="204"/>
      <c r="D833" s="204"/>
      <c r="E833" s="204"/>
      <c r="F833" s="204"/>
      <c r="G833" s="204"/>
      <c r="H833" s="204"/>
      <c r="I833" s="204"/>
    </row>
    <row r="834" spans="1:9" ht="14.4" x14ac:dyDescent="0.3">
      <c r="A834" s="3"/>
      <c r="B834" s="213" t="s">
        <v>6</v>
      </c>
      <c r="C834" s="204"/>
      <c r="D834" s="204"/>
      <c r="E834" s="204"/>
      <c r="F834" s="204"/>
      <c r="G834" s="204"/>
      <c r="H834" s="204"/>
      <c r="I834" s="204"/>
    </row>
    <row r="835" spans="1:9" ht="41.4" customHeight="1" x14ac:dyDescent="0.3">
      <c r="A835" s="60"/>
      <c r="B835" s="212" t="s">
        <v>584</v>
      </c>
      <c r="C835" s="204"/>
      <c r="D835" s="204"/>
      <c r="E835" s="204"/>
      <c r="F835" s="204"/>
      <c r="G835" s="204"/>
      <c r="H835" s="204"/>
      <c r="I835" s="204"/>
    </row>
    <row r="836" spans="1:9" ht="14.4" x14ac:dyDescent="0.3">
      <c r="A836" s="175"/>
      <c r="B836" s="220"/>
      <c r="C836" s="221"/>
      <c r="D836" s="221"/>
      <c r="E836" s="221"/>
      <c r="F836" s="221"/>
      <c r="G836" s="221"/>
      <c r="H836" s="221"/>
      <c r="I836" s="221"/>
    </row>
    <row r="837" spans="1:9" ht="14.4" x14ac:dyDescent="0.3">
      <c r="A837" s="60"/>
      <c r="B837" s="213" t="s">
        <v>0</v>
      </c>
      <c r="C837" s="204"/>
      <c r="D837" s="204"/>
      <c r="E837" s="204"/>
      <c r="F837" s="204"/>
      <c r="G837" s="204"/>
      <c r="H837" s="204"/>
      <c r="I837" s="204"/>
    </row>
    <row r="838" spans="1:9" ht="14.4" x14ac:dyDescent="0.3">
      <c r="B838" s="171" t="s">
        <v>8</v>
      </c>
      <c r="C838" s="212"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14"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14" t="s">
        <v>587</v>
      </c>
      <c r="C842" s="204"/>
      <c r="D842" s="204"/>
      <c r="E842" s="204"/>
      <c r="F842" s="204"/>
      <c r="G842" s="204"/>
      <c r="H842" s="204"/>
      <c r="I842" s="204"/>
    </row>
    <row r="843" spans="1:9" ht="14.4" x14ac:dyDescent="0.3">
      <c r="A843" s="3"/>
      <c r="B843" s="213" t="s">
        <v>6</v>
      </c>
      <c r="C843" s="204"/>
      <c r="D843" s="204"/>
      <c r="E843" s="204"/>
      <c r="F843" s="204"/>
      <c r="G843" s="204"/>
      <c r="H843" s="204"/>
      <c r="I843" s="204"/>
    </row>
    <row r="844" spans="1:9" ht="27" customHeight="1" x14ac:dyDescent="0.3">
      <c r="A844" s="60"/>
      <c r="B844" s="212"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3" t="s">
        <v>0</v>
      </c>
      <c r="C846" s="204"/>
      <c r="D846" s="204"/>
      <c r="E846" s="204"/>
      <c r="F846" s="204"/>
      <c r="G846" s="204"/>
      <c r="H846" s="204"/>
      <c r="I846" s="204"/>
    </row>
    <row r="847" spans="1:9" ht="14.4" x14ac:dyDescent="0.3">
      <c r="B847" s="171" t="s">
        <v>8</v>
      </c>
      <c r="C847" s="212" t="s">
        <v>410</v>
      </c>
      <c r="D847" s="204"/>
      <c r="E847" s="204"/>
      <c r="F847" s="204"/>
      <c r="G847" s="204"/>
      <c r="H847" s="204"/>
      <c r="I847" s="204"/>
    </row>
    <row r="848" spans="1:9" ht="14.4" x14ac:dyDescent="0.3">
      <c r="B848" s="171" t="s">
        <v>8</v>
      </c>
      <c r="C848" s="212" t="s">
        <v>589</v>
      </c>
      <c r="D848" s="204"/>
      <c r="E848" s="204"/>
      <c r="F848" s="204"/>
      <c r="G848" s="204"/>
      <c r="H848" s="204"/>
      <c r="I848" s="204"/>
    </row>
    <row r="849" spans="1:9" ht="27.9" customHeight="1" x14ac:dyDescent="0.3">
      <c r="B849" s="171" t="s">
        <v>8</v>
      </c>
      <c r="C849" s="212" t="s">
        <v>590</v>
      </c>
      <c r="D849" s="204"/>
      <c r="E849" s="204"/>
      <c r="F849" s="204"/>
      <c r="G849" s="204"/>
      <c r="H849" s="204"/>
      <c r="I849" s="204"/>
    </row>
    <row r="850" spans="1:9" ht="16.5" customHeight="1" x14ac:dyDescent="0.3">
      <c r="B850" s="171" t="s">
        <v>8</v>
      </c>
      <c r="C850" s="212" t="s">
        <v>591</v>
      </c>
      <c r="D850" s="204"/>
      <c r="E850" s="204"/>
      <c r="F850" s="204"/>
      <c r="G850" s="204"/>
      <c r="H850" s="204"/>
      <c r="I850" s="204"/>
    </row>
    <row r="852" spans="1:9" ht="14.4" x14ac:dyDescent="0.3">
      <c r="A852" s="183" t="s">
        <v>592</v>
      </c>
      <c r="B852" s="214" t="s">
        <v>534</v>
      </c>
      <c r="C852" s="204"/>
      <c r="D852" s="204"/>
      <c r="E852" s="204"/>
      <c r="F852" s="204"/>
      <c r="G852" s="204"/>
      <c r="H852" s="204"/>
      <c r="I852" s="204"/>
    </row>
    <row r="853" spans="1:9" ht="14.4" x14ac:dyDescent="0.3">
      <c r="A853" s="3"/>
      <c r="B853" s="213" t="s">
        <v>6</v>
      </c>
      <c r="C853" s="204"/>
      <c r="D853" s="204"/>
      <c r="E853" s="204"/>
      <c r="F853" s="204"/>
      <c r="G853" s="204"/>
      <c r="H853" s="204"/>
      <c r="I853" s="204"/>
    </row>
    <row r="854" spans="1:9" ht="30" customHeight="1" x14ac:dyDescent="0.3">
      <c r="A854" s="60"/>
      <c r="B854" s="212" t="s">
        <v>593</v>
      </c>
      <c r="C854" s="204"/>
      <c r="D854" s="204"/>
      <c r="E854" s="204"/>
      <c r="F854" s="204"/>
      <c r="G854" s="204"/>
      <c r="H854" s="204"/>
      <c r="I854" s="204"/>
    </row>
    <row r="855" spans="1:9" ht="14.4" x14ac:dyDescent="0.3">
      <c r="A855" s="175"/>
      <c r="B855" s="220"/>
      <c r="C855" s="221"/>
      <c r="D855" s="221"/>
      <c r="E855" s="221"/>
      <c r="F855" s="221"/>
      <c r="G855" s="221"/>
      <c r="H855" s="221"/>
      <c r="I855" s="221"/>
    </row>
    <row r="856" spans="1:9" ht="14.4" x14ac:dyDescent="0.3">
      <c r="A856" s="60"/>
      <c r="B856" s="213" t="s">
        <v>0</v>
      </c>
      <c r="C856" s="204"/>
      <c r="D856" s="204"/>
      <c r="E856" s="204"/>
      <c r="F856" s="204"/>
      <c r="G856" s="204"/>
      <c r="H856" s="204"/>
      <c r="I856" s="204"/>
    </row>
    <row r="857" spans="1:9" ht="14.4" x14ac:dyDescent="0.3">
      <c r="B857" s="171" t="s">
        <v>8</v>
      </c>
      <c r="C857" s="212" t="s">
        <v>536</v>
      </c>
      <c r="D857" s="204"/>
      <c r="E857" s="204"/>
      <c r="F857" s="204"/>
      <c r="G857" s="204"/>
      <c r="H857" s="204"/>
      <c r="I857" s="204"/>
    </row>
    <row r="858" spans="1:9" ht="14.4" customHeight="1" x14ac:dyDescent="0.3">
      <c r="B858" s="171" t="s">
        <v>8</v>
      </c>
      <c r="C858" s="212" t="s">
        <v>576</v>
      </c>
      <c r="D858" s="204"/>
      <c r="E858" s="204"/>
      <c r="F858" s="204"/>
      <c r="G858" s="204"/>
      <c r="H858" s="204"/>
      <c r="I858" s="204"/>
    </row>
    <row r="859" spans="1:9" ht="14.4" x14ac:dyDescent="0.3">
      <c r="B859" s="171" t="s">
        <v>8</v>
      </c>
      <c r="C859" s="212"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14" t="s">
        <v>539</v>
      </c>
      <c r="C861" s="204"/>
      <c r="D861" s="204"/>
      <c r="E861" s="204"/>
      <c r="F861" s="204"/>
      <c r="G861" s="204"/>
      <c r="H861" s="204"/>
      <c r="I861" s="204"/>
    </row>
    <row r="862" spans="1:9" ht="14.4" x14ac:dyDescent="0.3">
      <c r="A862" s="3"/>
      <c r="B862" s="213" t="s">
        <v>6</v>
      </c>
      <c r="C862" s="204"/>
      <c r="D862" s="204"/>
      <c r="E862" s="204"/>
      <c r="F862" s="204"/>
      <c r="G862" s="204"/>
      <c r="H862" s="204"/>
      <c r="I862" s="204"/>
    </row>
    <row r="863" spans="1:9" ht="14.4" x14ac:dyDescent="0.3">
      <c r="A863" s="60"/>
      <c r="B863" s="212"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3" t="s">
        <v>0</v>
      </c>
      <c r="C865" s="204"/>
      <c r="D865" s="204"/>
      <c r="E865" s="204"/>
      <c r="F865" s="204"/>
      <c r="G865" s="204"/>
      <c r="H865" s="204"/>
      <c r="I865" s="204"/>
    </row>
    <row r="866" spans="1:9" ht="14.4" x14ac:dyDescent="0.3">
      <c r="B866" s="171" t="s">
        <v>8</v>
      </c>
      <c r="C866" s="212" t="s">
        <v>102</v>
      </c>
      <c r="D866" s="204"/>
      <c r="E866" s="204"/>
      <c r="F866" s="204"/>
      <c r="G866" s="204"/>
      <c r="H866" s="204"/>
      <c r="I866" s="204"/>
    </row>
    <row r="867" spans="1:9" ht="14.4" x14ac:dyDescent="0.3">
      <c r="B867" s="171" t="s">
        <v>8</v>
      </c>
      <c r="C867" s="212" t="s">
        <v>596</v>
      </c>
      <c r="D867" s="204"/>
      <c r="E867" s="204"/>
      <c r="F867" s="204"/>
      <c r="G867" s="204"/>
      <c r="H867" s="204"/>
      <c r="I867" s="204"/>
    </row>
    <row r="868" spans="1:9" ht="53.4" customHeight="1" x14ac:dyDescent="0.3">
      <c r="B868" s="171" t="s">
        <v>8</v>
      </c>
      <c r="C868" s="212" t="s">
        <v>597</v>
      </c>
      <c r="D868" s="204"/>
      <c r="E868" s="204"/>
      <c r="F868" s="204"/>
      <c r="G868" s="204"/>
      <c r="H868" s="204"/>
      <c r="I868" s="204"/>
    </row>
    <row r="869" spans="1:9" ht="14.4" x14ac:dyDescent="0.3">
      <c r="D869" s="170"/>
      <c r="E869" s="170"/>
      <c r="F869" s="170"/>
      <c r="H869" s="170"/>
      <c r="I869" s="170"/>
    </row>
    <row r="870" spans="1:9" x14ac:dyDescent="0.3">
      <c r="A870" s="183" t="s">
        <v>598</v>
      </c>
      <c r="B870" s="214" t="s">
        <v>599</v>
      </c>
      <c r="C870" s="214"/>
      <c r="D870" s="214"/>
      <c r="E870" s="214"/>
      <c r="F870" s="214"/>
      <c r="G870" s="214"/>
      <c r="H870" s="214"/>
      <c r="I870" s="214"/>
    </row>
    <row r="871" spans="1:9" x14ac:dyDescent="0.3">
      <c r="A871" s="3"/>
      <c r="B871" s="213" t="s">
        <v>6</v>
      </c>
      <c r="C871" s="213"/>
      <c r="D871" s="213"/>
      <c r="E871" s="213"/>
      <c r="F871" s="213"/>
      <c r="G871" s="213"/>
      <c r="H871" s="213"/>
      <c r="I871" s="213"/>
    </row>
    <row r="872" spans="1:9" ht="55.5" customHeight="1" x14ac:dyDescent="0.3">
      <c r="A872" s="60"/>
      <c r="B872" s="212" t="s">
        <v>600</v>
      </c>
      <c r="C872" s="212"/>
      <c r="D872" s="212"/>
      <c r="E872" s="212"/>
      <c r="F872" s="212"/>
      <c r="G872" s="212"/>
      <c r="H872" s="212"/>
      <c r="I872" s="212"/>
    </row>
    <row r="873" spans="1:9" x14ac:dyDescent="0.3">
      <c r="A873" s="175"/>
      <c r="B873" s="220"/>
      <c r="C873" s="220"/>
      <c r="D873" s="220"/>
      <c r="E873" s="220"/>
      <c r="F873" s="220"/>
      <c r="G873" s="220"/>
      <c r="H873" s="220"/>
      <c r="I873" s="220"/>
    </row>
    <row r="874" spans="1:9" x14ac:dyDescent="0.3">
      <c r="A874" s="60"/>
      <c r="B874" s="213" t="s">
        <v>0</v>
      </c>
      <c r="C874" s="213"/>
      <c r="D874" s="213"/>
      <c r="E874" s="213"/>
      <c r="F874" s="213"/>
      <c r="G874" s="213"/>
      <c r="H874" s="213"/>
      <c r="I874" s="213"/>
    </row>
    <row r="875" spans="1:9" x14ac:dyDescent="0.3">
      <c r="B875" s="171" t="s">
        <v>8</v>
      </c>
      <c r="C875" s="212" t="s">
        <v>601</v>
      </c>
      <c r="D875" s="212"/>
      <c r="E875" s="212"/>
      <c r="F875" s="212"/>
      <c r="G875" s="212"/>
      <c r="H875" s="212"/>
      <c r="I875" s="212"/>
    </row>
    <row r="877" spans="1:9" ht="14.4" x14ac:dyDescent="0.3">
      <c r="A877" s="183" t="s">
        <v>602</v>
      </c>
      <c r="B877" s="214" t="s">
        <v>603</v>
      </c>
      <c r="C877" s="204"/>
      <c r="D877" s="204"/>
      <c r="E877" s="204"/>
      <c r="F877" s="204"/>
      <c r="G877" s="204"/>
      <c r="H877" s="204"/>
      <c r="I877" s="204"/>
    </row>
    <row r="878" spans="1:9" ht="14.4" x14ac:dyDescent="0.3">
      <c r="A878" s="3"/>
      <c r="B878" s="213" t="s">
        <v>6</v>
      </c>
      <c r="C878" s="204"/>
      <c r="D878" s="204"/>
      <c r="E878" s="204"/>
      <c r="F878" s="204"/>
      <c r="G878" s="204"/>
      <c r="H878" s="204"/>
      <c r="I878" s="204"/>
    </row>
    <row r="879" spans="1:9" ht="29.4" customHeight="1" x14ac:dyDescent="0.3">
      <c r="A879" s="60"/>
      <c r="B879" s="212" t="s">
        <v>604</v>
      </c>
      <c r="C879" s="204"/>
      <c r="D879" s="204"/>
      <c r="E879" s="204"/>
      <c r="F879" s="204"/>
      <c r="G879" s="204"/>
      <c r="H879" s="204"/>
      <c r="I879" s="204"/>
    </row>
    <row r="880" spans="1:9" ht="14.4" x14ac:dyDescent="0.3">
      <c r="A880" s="175"/>
      <c r="B880" s="220"/>
      <c r="C880" s="221"/>
      <c r="D880" s="221"/>
      <c r="E880" s="221"/>
      <c r="F880" s="221"/>
      <c r="G880" s="221"/>
      <c r="H880" s="221"/>
      <c r="I880" s="221"/>
    </row>
    <row r="881" spans="1:9" ht="14.4" x14ac:dyDescent="0.3">
      <c r="A881" s="60"/>
      <c r="B881" s="213" t="s">
        <v>0</v>
      </c>
      <c r="C881" s="204"/>
      <c r="D881" s="204"/>
      <c r="E881" s="204"/>
      <c r="F881" s="204"/>
      <c r="G881" s="204"/>
      <c r="H881" s="204"/>
      <c r="I881" s="204"/>
    </row>
    <row r="882" spans="1:9" ht="14.4" x14ac:dyDescent="0.3">
      <c r="B882" s="171" t="s">
        <v>8</v>
      </c>
      <c r="C882" s="212"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14" t="s">
        <v>609</v>
      </c>
      <c r="C886" s="204"/>
      <c r="D886" s="204"/>
      <c r="E886" s="204"/>
      <c r="F886" s="204"/>
      <c r="G886" s="204"/>
      <c r="H886" s="204"/>
      <c r="I886" s="204"/>
    </row>
    <row r="887" spans="1:9" ht="14.4" x14ac:dyDescent="0.3">
      <c r="A887" s="3"/>
      <c r="B887" s="213" t="s">
        <v>6</v>
      </c>
      <c r="C887" s="204"/>
      <c r="D887" s="204"/>
      <c r="E887" s="204"/>
      <c r="F887" s="204"/>
      <c r="G887" s="204"/>
      <c r="H887" s="204"/>
      <c r="I887" s="204"/>
    </row>
    <row r="888" spans="1:9" ht="14.4" x14ac:dyDescent="0.3">
      <c r="A888" s="60"/>
      <c r="B888" s="212" t="s">
        <v>610</v>
      </c>
      <c r="C888" s="204"/>
      <c r="D888" s="204"/>
      <c r="E888" s="204"/>
      <c r="F888" s="204"/>
      <c r="G888" s="204"/>
      <c r="H888" s="204"/>
      <c r="I888" s="204"/>
    </row>
    <row r="889" spans="1:9" ht="14.4" x14ac:dyDescent="0.3">
      <c r="A889" s="60"/>
      <c r="B889" s="212"/>
      <c r="C889" s="204"/>
      <c r="D889" s="204"/>
      <c r="E889" s="204"/>
      <c r="F889" s="204"/>
      <c r="G889" s="204"/>
      <c r="H889" s="204"/>
      <c r="I889" s="204"/>
    </row>
    <row r="890" spans="1:9" ht="14.4" x14ac:dyDescent="0.3">
      <c r="A890" s="60"/>
      <c r="B890" s="213" t="s">
        <v>0</v>
      </c>
      <c r="C890" s="204"/>
      <c r="D890" s="204"/>
      <c r="E890" s="204"/>
      <c r="F890" s="204"/>
      <c r="G890" s="204"/>
      <c r="H890" s="204"/>
      <c r="I890" s="204"/>
    </row>
    <row r="891" spans="1:9" ht="14.4" x14ac:dyDescent="0.3">
      <c r="B891" s="171" t="s">
        <v>8</v>
      </c>
      <c r="C891" s="212" t="s">
        <v>611</v>
      </c>
      <c r="D891" s="204"/>
      <c r="E891" s="204"/>
      <c r="F891" s="204"/>
      <c r="G891" s="204"/>
      <c r="H891" s="204"/>
      <c r="I891" s="204"/>
    </row>
    <row r="892" spans="1:9" ht="28.5" customHeight="1" x14ac:dyDescent="0.3">
      <c r="B892" s="171" t="s">
        <v>8</v>
      </c>
      <c r="C892" s="212" t="s">
        <v>612</v>
      </c>
      <c r="D892" s="212"/>
      <c r="E892" s="212"/>
      <c r="F892" s="212"/>
      <c r="G892" s="212"/>
      <c r="H892" s="212"/>
      <c r="I892" s="212"/>
    </row>
    <row r="893" spans="1:9" ht="14.4" x14ac:dyDescent="0.3">
      <c r="D893" s="170"/>
      <c r="E893" s="170"/>
      <c r="F893" s="170"/>
      <c r="G893" s="170"/>
      <c r="H893" s="170"/>
      <c r="I893" s="170"/>
    </row>
    <row r="894" spans="1:9" ht="14.4" x14ac:dyDescent="0.3">
      <c r="A894" s="183" t="s">
        <v>613</v>
      </c>
      <c r="B894" s="214" t="s">
        <v>614</v>
      </c>
      <c r="C894" s="204"/>
      <c r="D894" s="204"/>
      <c r="E894" s="204"/>
      <c r="F894" s="204"/>
      <c r="G894" s="204"/>
      <c r="H894" s="204"/>
      <c r="I894" s="204"/>
    </row>
    <row r="895" spans="1:9" ht="14.4" x14ac:dyDescent="0.3">
      <c r="A895" s="3"/>
      <c r="B895" s="213" t="s">
        <v>6</v>
      </c>
      <c r="C895" s="204"/>
      <c r="D895" s="204"/>
      <c r="E895" s="204"/>
      <c r="F895" s="204"/>
      <c r="G895" s="204"/>
      <c r="H895" s="204"/>
      <c r="I895" s="204"/>
    </row>
    <row r="896" spans="1:9" ht="27.6" customHeight="1" x14ac:dyDescent="0.3">
      <c r="A896" s="60"/>
      <c r="B896" s="212" t="s">
        <v>615</v>
      </c>
      <c r="C896" s="204"/>
      <c r="D896" s="204"/>
      <c r="E896" s="204"/>
      <c r="F896" s="204"/>
      <c r="G896" s="204"/>
      <c r="H896" s="204"/>
      <c r="I896" s="204"/>
    </row>
    <row r="897" spans="1:9" ht="14.4" x14ac:dyDescent="0.3">
      <c r="A897" s="175"/>
      <c r="B897" s="220"/>
      <c r="C897" s="221"/>
      <c r="D897" s="221"/>
      <c r="E897" s="221"/>
      <c r="F897" s="221"/>
      <c r="G897" s="221"/>
      <c r="H897" s="221"/>
      <c r="I897" s="221"/>
    </row>
    <row r="898" spans="1:9" ht="14.4" x14ac:dyDescent="0.3">
      <c r="A898" s="60"/>
      <c r="B898" s="213" t="s">
        <v>0</v>
      </c>
      <c r="C898" s="204"/>
      <c r="D898" s="204"/>
      <c r="E898" s="204"/>
      <c r="F898" s="204"/>
      <c r="G898" s="204"/>
      <c r="H898" s="204"/>
      <c r="I898" s="204"/>
    </row>
    <row r="899" spans="1:9" ht="14.4" x14ac:dyDescent="0.3">
      <c r="B899" s="171" t="s">
        <v>8</v>
      </c>
      <c r="C899" s="212"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14" t="s">
        <v>617</v>
      </c>
      <c r="C901" s="204"/>
      <c r="D901" s="204"/>
      <c r="E901" s="204"/>
      <c r="F901" s="204"/>
      <c r="G901" s="204"/>
      <c r="H901" s="204"/>
      <c r="I901" s="204"/>
    </row>
    <row r="902" spans="1:9" ht="14.4" x14ac:dyDescent="0.3">
      <c r="A902" s="3"/>
      <c r="B902" s="213" t="s">
        <v>6</v>
      </c>
      <c r="C902" s="204"/>
      <c r="D902" s="204"/>
      <c r="E902" s="204"/>
      <c r="F902" s="204"/>
      <c r="G902" s="204"/>
      <c r="H902" s="204"/>
      <c r="I902" s="204"/>
    </row>
    <row r="903" spans="1:9" ht="30.6" customHeight="1" x14ac:dyDescent="0.3">
      <c r="A903" s="60"/>
      <c r="B903" s="212"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3" t="s">
        <v>0</v>
      </c>
      <c r="C905" s="204"/>
      <c r="D905" s="204"/>
      <c r="E905" s="204"/>
      <c r="F905" s="204"/>
      <c r="G905" s="204"/>
      <c r="H905" s="204"/>
      <c r="I905" s="204"/>
    </row>
    <row r="906" spans="1:9" ht="13.5" customHeight="1" x14ac:dyDescent="0.3">
      <c r="B906" s="171" t="s">
        <v>8</v>
      </c>
      <c r="C906" s="212" t="s">
        <v>149</v>
      </c>
      <c r="D906" s="204"/>
      <c r="E906" s="204"/>
      <c r="F906" s="204"/>
      <c r="G906" s="204"/>
      <c r="H906" s="204"/>
      <c r="I906" s="204"/>
    </row>
    <row r="907" spans="1:9" ht="15.9" customHeight="1" x14ac:dyDescent="0.3">
      <c r="B907" s="171" t="s">
        <v>8</v>
      </c>
      <c r="C907" s="212" t="s">
        <v>619</v>
      </c>
      <c r="D907" s="204"/>
      <c r="E907" s="204"/>
      <c r="F907" s="204"/>
      <c r="G907" s="204"/>
      <c r="H907" s="204"/>
      <c r="I907" s="204"/>
    </row>
    <row r="908" spans="1:9" ht="14.4" x14ac:dyDescent="0.3">
      <c r="D908" s="170"/>
      <c r="E908" s="170"/>
      <c r="F908" s="170"/>
      <c r="H908" s="170"/>
      <c r="I908" s="170"/>
    </row>
    <row r="909" spans="1:9" x14ac:dyDescent="0.3">
      <c r="A909" s="183" t="s">
        <v>620</v>
      </c>
      <c r="B909" s="214" t="s">
        <v>621</v>
      </c>
      <c r="C909" s="214"/>
      <c r="D909" s="214"/>
      <c r="E909" s="214"/>
      <c r="F909" s="214"/>
      <c r="G909" s="214"/>
      <c r="H909" s="214"/>
      <c r="I909" s="214"/>
    </row>
    <row r="910" spans="1:9" x14ac:dyDescent="0.3">
      <c r="A910" s="3"/>
      <c r="B910" s="213" t="s">
        <v>6</v>
      </c>
      <c r="C910" s="213"/>
      <c r="D910" s="213"/>
      <c r="E910" s="213"/>
      <c r="F910" s="213"/>
      <c r="G910" s="213"/>
      <c r="H910" s="213"/>
      <c r="I910" s="213"/>
    </row>
    <row r="911" spans="1:9" x14ac:dyDescent="0.3">
      <c r="A911" s="60"/>
      <c r="B911" s="212" t="s">
        <v>622</v>
      </c>
      <c r="C911" s="212"/>
      <c r="D911" s="212"/>
      <c r="E911" s="212"/>
      <c r="F911" s="212"/>
      <c r="G911" s="212"/>
      <c r="H911" s="212"/>
      <c r="I911" s="212"/>
    </row>
    <row r="912" spans="1:9" x14ac:dyDescent="0.3">
      <c r="A912" s="175"/>
      <c r="B912" s="220"/>
      <c r="C912" s="220"/>
      <c r="D912" s="220"/>
      <c r="E912" s="220"/>
      <c r="F912" s="220"/>
      <c r="G912" s="220"/>
      <c r="H912" s="220"/>
      <c r="I912" s="220"/>
    </row>
    <row r="913" spans="1:9" x14ac:dyDescent="0.3">
      <c r="A913" s="60"/>
      <c r="B913" s="213" t="s">
        <v>0</v>
      </c>
      <c r="C913" s="213"/>
      <c r="D913" s="213"/>
      <c r="E913" s="213"/>
      <c r="F913" s="213"/>
      <c r="G913" s="213"/>
      <c r="H913" s="213"/>
      <c r="I913" s="213"/>
    </row>
    <row r="914" spans="1:9" x14ac:dyDescent="0.3">
      <c r="B914" s="171" t="s">
        <v>8</v>
      </c>
      <c r="C914" s="212" t="s">
        <v>149</v>
      </c>
      <c r="D914" s="212"/>
      <c r="E914" s="212"/>
      <c r="F914" s="212"/>
      <c r="G914" s="212"/>
      <c r="H914" s="212"/>
      <c r="I914" s="212"/>
    </row>
    <row r="916" spans="1:9" ht="16.2" x14ac:dyDescent="0.35">
      <c r="A916" s="142" t="s">
        <v>623</v>
      </c>
      <c r="B916" s="201" t="s">
        <v>624</v>
      </c>
      <c r="C916" s="202"/>
      <c r="D916" s="202"/>
      <c r="E916" s="202"/>
      <c r="F916" s="202"/>
      <c r="G916" s="202"/>
      <c r="H916" s="202"/>
      <c r="I916" s="202"/>
    </row>
    <row r="917" spans="1:9" ht="14.4" x14ac:dyDescent="0.3">
      <c r="A917" s="175"/>
      <c r="B917" s="220"/>
      <c r="C917" s="221"/>
      <c r="D917" s="221"/>
      <c r="E917" s="221"/>
      <c r="F917" s="221"/>
      <c r="G917" s="221"/>
      <c r="H917" s="221"/>
      <c r="I917" s="221"/>
    </row>
    <row r="918" spans="1:9" ht="14.4" x14ac:dyDescent="0.3">
      <c r="A918" s="183" t="s">
        <v>625</v>
      </c>
      <c r="B918" s="214" t="s">
        <v>626</v>
      </c>
      <c r="C918" s="204"/>
      <c r="D918" s="204"/>
      <c r="E918" s="204"/>
      <c r="F918" s="204"/>
      <c r="G918" s="204"/>
      <c r="H918" s="204"/>
      <c r="I918" s="204"/>
    </row>
    <row r="919" spans="1:9" ht="14.4" x14ac:dyDescent="0.3">
      <c r="A919" s="3"/>
      <c r="B919" s="213" t="s">
        <v>6</v>
      </c>
      <c r="C919" s="204"/>
      <c r="D919" s="204"/>
      <c r="E919" s="204"/>
      <c r="F919" s="204"/>
      <c r="G919" s="204"/>
      <c r="H919" s="204"/>
      <c r="I919" s="204"/>
    </row>
    <row r="920" spans="1:9" ht="69" customHeight="1" x14ac:dyDescent="0.3">
      <c r="A920" s="60"/>
      <c r="B920" s="212"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5" t="s">
        <v>628</v>
      </c>
      <c r="D922" s="215"/>
      <c r="E922" s="215"/>
      <c r="F922" s="215"/>
      <c r="G922" s="215"/>
      <c r="H922" s="215"/>
      <c r="I922" s="215"/>
    </row>
    <row r="923" spans="1:9" ht="27.9" customHeight="1" x14ac:dyDescent="0.3">
      <c r="A923" s="60"/>
      <c r="B923" s="171" t="s">
        <v>23</v>
      </c>
      <c r="C923" s="215" t="s">
        <v>629</v>
      </c>
      <c r="D923" s="215"/>
      <c r="E923" s="215"/>
      <c r="F923" s="215"/>
      <c r="G923" s="215"/>
      <c r="H923" s="215"/>
      <c r="I923" s="215"/>
    </row>
    <row r="924" spans="1:9" ht="14.4" x14ac:dyDescent="0.3">
      <c r="A924" s="175"/>
      <c r="B924" s="220"/>
      <c r="C924" s="221"/>
      <c r="D924" s="221"/>
      <c r="E924" s="221"/>
      <c r="F924" s="221"/>
      <c r="G924" s="221"/>
      <c r="H924" s="221"/>
      <c r="I924" s="221"/>
    </row>
    <row r="925" spans="1:9" ht="14.4" x14ac:dyDescent="0.3">
      <c r="A925" s="60"/>
      <c r="B925" s="213" t="s">
        <v>0</v>
      </c>
      <c r="C925" s="204"/>
      <c r="D925" s="204"/>
      <c r="E925" s="204"/>
      <c r="F925" s="204"/>
      <c r="G925" s="204"/>
      <c r="H925" s="204"/>
      <c r="I925" s="204"/>
    </row>
    <row r="926" spans="1:9" ht="14.4" x14ac:dyDescent="0.3">
      <c r="B926" s="171" t="s">
        <v>8</v>
      </c>
      <c r="C926" s="212" t="s">
        <v>70</v>
      </c>
      <c r="D926" s="204"/>
      <c r="E926" s="204"/>
      <c r="F926" s="204"/>
      <c r="G926" s="204"/>
      <c r="H926" s="204"/>
      <c r="I926" s="204"/>
    </row>
    <row r="927" spans="1:9" ht="14.4" x14ac:dyDescent="0.3">
      <c r="B927" s="171" t="s">
        <v>8</v>
      </c>
      <c r="C927" s="212" t="s">
        <v>630</v>
      </c>
      <c r="D927" s="204"/>
      <c r="E927" s="204"/>
      <c r="F927" s="204"/>
      <c r="G927" s="204"/>
      <c r="H927" s="204"/>
      <c r="I927" s="204"/>
    </row>
    <row r="928" spans="1:9" ht="54" customHeight="1" x14ac:dyDescent="0.3">
      <c r="B928" s="171" t="s">
        <v>8</v>
      </c>
      <c r="C928" s="212" t="s">
        <v>631</v>
      </c>
      <c r="D928" s="204"/>
      <c r="E928" s="204"/>
      <c r="F928" s="204"/>
      <c r="G928" s="204"/>
      <c r="H928" s="204"/>
      <c r="I928" s="204"/>
    </row>
    <row r="929" spans="1:9" ht="39.6" customHeight="1" x14ac:dyDescent="0.3">
      <c r="B929" s="171" t="s">
        <v>8</v>
      </c>
      <c r="C929" s="212"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14" t="s">
        <v>634</v>
      </c>
      <c r="C931" s="204"/>
      <c r="D931" s="204"/>
      <c r="E931" s="204"/>
      <c r="F931" s="204"/>
      <c r="G931" s="204"/>
      <c r="H931" s="204"/>
      <c r="I931" s="204"/>
    </row>
    <row r="932" spans="1:9" ht="14.4" x14ac:dyDescent="0.3">
      <c r="A932" s="3"/>
      <c r="B932" s="213" t="s">
        <v>6</v>
      </c>
      <c r="C932" s="204"/>
      <c r="D932" s="204"/>
      <c r="E932" s="204"/>
      <c r="F932" s="204"/>
      <c r="G932" s="204"/>
      <c r="H932" s="204"/>
      <c r="I932" s="204"/>
    </row>
    <row r="933" spans="1:9" ht="120.6" customHeight="1" x14ac:dyDescent="0.3">
      <c r="A933" s="60"/>
      <c r="B933" s="212"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3" t="s">
        <v>0</v>
      </c>
      <c r="C935" s="204"/>
      <c r="D935" s="204"/>
      <c r="E935" s="204"/>
      <c r="F935" s="204"/>
      <c r="G935" s="204"/>
      <c r="H935" s="204"/>
      <c r="I935" s="204"/>
    </row>
    <row r="936" spans="1:9" ht="14.4" x14ac:dyDescent="0.3">
      <c r="B936" s="171" t="s">
        <v>8</v>
      </c>
      <c r="C936" s="212" t="s">
        <v>70</v>
      </c>
      <c r="D936" s="204"/>
      <c r="E936" s="204"/>
      <c r="F936" s="204"/>
      <c r="G936" s="204"/>
      <c r="H936" s="204"/>
      <c r="I936" s="204"/>
    </row>
    <row r="937" spans="1:9" ht="14.4" x14ac:dyDescent="0.3">
      <c r="B937" s="171" t="s">
        <v>8</v>
      </c>
      <c r="C937" s="212"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14" t="s">
        <v>638</v>
      </c>
      <c r="C939" s="204"/>
      <c r="D939" s="204"/>
      <c r="E939" s="204"/>
      <c r="F939" s="204"/>
      <c r="G939" s="204"/>
      <c r="H939" s="204"/>
      <c r="I939" s="204"/>
    </row>
    <row r="940" spans="1:9" ht="14.4" x14ac:dyDescent="0.3">
      <c r="A940" s="3"/>
      <c r="B940" s="213" t="s">
        <v>6</v>
      </c>
      <c r="C940" s="204"/>
      <c r="D940" s="204"/>
      <c r="E940" s="204"/>
      <c r="F940" s="204"/>
      <c r="G940" s="204"/>
      <c r="H940" s="204"/>
      <c r="I940" s="204"/>
    </row>
    <row r="941" spans="1:9" ht="66" customHeight="1" x14ac:dyDescent="0.3">
      <c r="A941" s="60"/>
      <c r="B941" s="212" t="s">
        <v>639</v>
      </c>
      <c r="C941" s="204"/>
      <c r="D941" s="204"/>
      <c r="E941" s="204"/>
      <c r="F941" s="204"/>
      <c r="G941" s="204"/>
      <c r="H941" s="204"/>
      <c r="I941" s="204"/>
    </row>
    <row r="942" spans="1:9" ht="14.4" x14ac:dyDescent="0.3">
      <c r="A942" s="175"/>
      <c r="B942" s="220"/>
      <c r="C942" s="221"/>
      <c r="D942" s="221"/>
      <c r="E942" s="221"/>
      <c r="F942" s="221"/>
      <c r="G942" s="221"/>
      <c r="H942" s="221"/>
      <c r="I942" s="221"/>
    </row>
    <row r="943" spans="1:9" ht="14.4" x14ac:dyDescent="0.3">
      <c r="A943" s="60"/>
      <c r="B943" s="213" t="s">
        <v>0</v>
      </c>
      <c r="C943" s="204"/>
      <c r="D943" s="204"/>
      <c r="E943" s="204"/>
      <c r="F943" s="204"/>
      <c r="G943" s="204"/>
      <c r="H943" s="204"/>
      <c r="I943" s="204"/>
    </row>
    <row r="944" spans="1:9" ht="14.4" x14ac:dyDescent="0.3">
      <c r="B944" s="171" t="s">
        <v>8</v>
      </c>
      <c r="C944" s="212"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20"/>
      <c r="C947" s="221"/>
      <c r="D947" s="221"/>
      <c r="E947" s="221"/>
      <c r="F947" s="221"/>
      <c r="G947" s="221"/>
      <c r="H947" s="221"/>
      <c r="I947" s="221"/>
    </row>
    <row r="948" spans="1:9" ht="14.4" x14ac:dyDescent="0.3">
      <c r="A948" s="183" t="s">
        <v>642</v>
      </c>
      <c r="B948" s="214" t="s">
        <v>643</v>
      </c>
      <c r="C948" s="204"/>
      <c r="D948" s="204"/>
      <c r="E948" s="204"/>
      <c r="F948" s="204"/>
      <c r="G948" s="204"/>
      <c r="H948" s="204"/>
      <c r="I948" s="204"/>
    </row>
    <row r="949" spans="1:9" ht="14.4" x14ac:dyDescent="0.3">
      <c r="A949" s="3"/>
      <c r="B949" s="213" t="s">
        <v>6</v>
      </c>
      <c r="C949" s="204"/>
      <c r="D949" s="204"/>
      <c r="E949" s="204"/>
      <c r="F949" s="204"/>
      <c r="G949" s="204"/>
      <c r="H949" s="204"/>
      <c r="I949" s="204"/>
    </row>
    <row r="950" spans="1:9" ht="14.4" x14ac:dyDescent="0.3">
      <c r="A950" s="60"/>
      <c r="B950" s="212"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3" t="s">
        <v>0</v>
      </c>
      <c r="C952" s="204"/>
      <c r="D952" s="204"/>
      <c r="E952" s="204"/>
      <c r="F952" s="204"/>
      <c r="G952" s="204"/>
      <c r="H952" s="204"/>
      <c r="I952" s="204"/>
    </row>
    <row r="953" spans="1:9" ht="14.4" x14ac:dyDescent="0.3">
      <c r="B953" s="171" t="s">
        <v>8</v>
      </c>
      <c r="C953" s="212" t="s">
        <v>645</v>
      </c>
      <c r="D953" s="204"/>
      <c r="E953" s="204"/>
      <c r="F953" s="204"/>
      <c r="G953" s="204"/>
      <c r="H953" s="204"/>
      <c r="I953" s="204"/>
    </row>
    <row r="954" spans="1:9" ht="29.1" customHeight="1" x14ac:dyDescent="0.3">
      <c r="B954" s="171" t="s">
        <v>8</v>
      </c>
      <c r="C954" s="212" t="s">
        <v>646</v>
      </c>
      <c r="D954" s="204"/>
      <c r="E954" s="204"/>
      <c r="F954" s="204"/>
      <c r="G954" s="204"/>
      <c r="H954" s="204"/>
      <c r="I954" s="204"/>
    </row>
    <row r="955" spans="1:9" ht="53.4" customHeight="1" x14ac:dyDescent="0.3">
      <c r="C955" s="222" t="s">
        <v>647</v>
      </c>
      <c r="D955" s="223"/>
      <c r="E955" s="223"/>
      <c r="F955" s="223"/>
      <c r="G955" s="223"/>
      <c r="H955" s="223"/>
      <c r="I955" s="223"/>
    </row>
    <row r="956" spans="1:9" ht="14.4" x14ac:dyDescent="0.3">
      <c r="C956" s="176"/>
      <c r="D956" s="181"/>
      <c r="E956" s="181"/>
      <c r="F956" s="181"/>
      <c r="G956" s="181"/>
      <c r="H956" s="181"/>
      <c r="I956" s="181"/>
    </row>
    <row r="957" spans="1:9" x14ac:dyDescent="0.3">
      <c r="A957" s="183" t="s">
        <v>648</v>
      </c>
      <c r="B957" s="214" t="s">
        <v>649</v>
      </c>
      <c r="C957" s="214"/>
      <c r="D957" s="214"/>
      <c r="E957" s="214"/>
      <c r="F957" s="214"/>
      <c r="G957" s="214"/>
      <c r="H957" s="214"/>
      <c r="I957" s="214"/>
    </row>
    <row r="958" spans="1:9" x14ac:dyDescent="0.3">
      <c r="A958" s="3"/>
      <c r="B958" s="213" t="s">
        <v>6</v>
      </c>
      <c r="C958" s="213"/>
      <c r="D958" s="213"/>
      <c r="E958" s="213"/>
      <c r="F958" s="213"/>
      <c r="G958" s="213"/>
      <c r="H958" s="213"/>
      <c r="I958" s="213"/>
    </row>
    <row r="959" spans="1:9" ht="28.5" customHeight="1" x14ac:dyDescent="0.3">
      <c r="A959" s="60"/>
      <c r="B959" s="212" t="s">
        <v>650</v>
      </c>
      <c r="C959" s="212"/>
      <c r="D959" s="212"/>
      <c r="E959" s="212"/>
      <c r="F959" s="212"/>
      <c r="G959" s="212"/>
      <c r="H959" s="212"/>
      <c r="I959" s="212"/>
    </row>
    <row r="960" spans="1:9" x14ac:dyDescent="0.3">
      <c r="A960" s="175"/>
      <c r="B960" s="220"/>
      <c r="C960" s="220"/>
      <c r="D960" s="220"/>
      <c r="E960" s="220"/>
      <c r="F960" s="220"/>
      <c r="G960" s="220"/>
      <c r="H960" s="220"/>
      <c r="I960" s="220"/>
    </row>
    <row r="961" spans="1:9" x14ac:dyDescent="0.3">
      <c r="A961" s="60"/>
      <c r="B961" s="213" t="s">
        <v>0</v>
      </c>
      <c r="C961" s="213"/>
      <c r="D961" s="213"/>
      <c r="E961" s="213"/>
      <c r="F961" s="213"/>
      <c r="G961" s="213"/>
      <c r="H961" s="213"/>
      <c r="I961" s="213"/>
    </row>
    <row r="962" spans="1:9" x14ac:dyDescent="0.3">
      <c r="B962" s="171" t="s">
        <v>8</v>
      </c>
      <c r="C962" s="212" t="s">
        <v>651</v>
      </c>
      <c r="D962" s="212"/>
      <c r="E962" s="212"/>
      <c r="F962" s="212"/>
      <c r="G962" s="212"/>
      <c r="H962" s="212"/>
      <c r="I962" s="212"/>
    </row>
    <row r="963" spans="1:9" x14ac:dyDescent="0.3">
      <c r="B963" s="171" t="s">
        <v>8</v>
      </c>
      <c r="C963" s="212" t="s">
        <v>652</v>
      </c>
      <c r="D963" s="212"/>
      <c r="E963" s="212"/>
      <c r="F963" s="212"/>
      <c r="G963" s="212"/>
      <c r="H963" s="212"/>
      <c r="I963" s="212"/>
    </row>
  </sheetData>
  <mergeCells count="865">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12:I912"/>
    <mergeCell ref="B913:I913"/>
    <mergeCell ref="C914:I914"/>
    <mergeCell ref="B916:I916"/>
    <mergeCell ref="B917:I917"/>
    <mergeCell ref="B918:I918"/>
    <mergeCell ref="B905:I905"/>
    <mergeCell ref="C906:I906"/>
    <mergeCell ref="C907:I907"/>
    <mergeCell ref="B909:I909"/>
    <mergeCell ref="B910:I910"/>
    <mergeCell ref="B911:I911"/>
    <mergeCell ref="B897:I897"/>
    <mergeCell ref="B898:I898"/>
    <mergeCell ref="C899:I899"/>
    <mergeCell ref="B901:I901"/>
    <mergeCell ref="B902:I902"/>
    <mergeCell ref="B903:I903"/>
    <mergeCell ref="B890:I890"/>
    <mergeCell ref="C891:I891"/>
    <mergeCell ref="C892:I892"/>
    <mergeCell ref="B894:I894"/>
    <mergeCell ref="B895:I895"/>
    <mergeCell ref="B896:I896"/>
    <mergeCell ref="C882:I882"/>
    <mergeCell ref="B884:I884"/>
    <mergeCell ref="B886:I886"/>
    <mergeCell ref="B887:I887"/>
    <mergeCell ref="B888:I888"/>
    <mergeCell ref="B889:I889"/>
    <mergeCell ref="C875:I875"/>
    <mergeCell ref="B877:I877"/>
    <mergeCell ref="B878:I878"/>
    <mergeCell ref="B879:I879"/>
    <mergeCell ref="B880:I880"/>
    <mergeCell ref="B881:I881"/>
    <mergeCell ref="C868:I868"/>
    <mergeCell ref="B870:I870"/>
    <mergeCell ref="B871:I871"/>
    <mergeCell ref="B872:I872"/>
    <mergeCell ref="B873:I873"/>
    <mergeCell ref="B874:I874"/>
    <mergeCell ref="B861:I861"/>
    <mergeCell ref="B862:I862"/>
    <mergeCell ref="B863:I863"/>
    <mergeCell ref="B865:I865"/>
    <mergeCell ref="C866:I866"/>
    <mergeCell ref="C867:I86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11:I811"/>
    <mergeCell ref="C812:I812"/>
    <mergeCell ref="B814:I814"/>
    <mergeCell ref="B815:I815"/>
    <mergeCell ref="B816:I816"/>
    <mergeCell ref="B817:I817"/>
    <mergeCell ref="B805:I805"/>
    <mergeCell ref="B806:I806"/>
    <mergeCell ref="B807:I807"/>
    <mergeCell ref="B808:I808"/>
    <mergeCell ref="C809:I809"/>
    <mergeCell ref="C810:I810"/>
    <mergeCell ref="B796:I796"/>
    <mergeCell ref="C797:I797"/>
    <mergeCell ref="C798:I798"/>
    <mergeCell ref="B800:I800"/>
    <mergeCell ref="B802:I802"/>
    <mergeCell ref="B804:I804"/>
    <mergeCell ref="C788:I788"/>
    <mergeCell ref="B790:I790"/>
    <mergeCell ref="B792:I792"/>
    <mergeCell ref="B793:I793"/>
    <mergeCell ref="B794:I794"/>
    <mergeCell ref="B795:I79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23:I723"/>
    <mergeCell ref="B724:I724"/>
    <mergeCell ref="B725:I725"/>
    <mergeCell ref="C727:I727"/>
    <mergeCell ref="C728:I728"/>
    <mergeCell ref="B730:I730"/>
    <mergeCell ref="B716:I716"/>
    <mergeCell ref="B717:I717"/>
    <mergeCell ref="B718:I718"/>
    <mergeCell ref="B719:I719"/>
    <mergeCell ref="C720:I720"/>
    <mergeCell ref="B722:I722"/>
    <mergeCell ref="C709:I709"/>
    <mergeCell ref="C710:I710"/>
    <mergeCell ref="C711:I711"/>
    <mergeCell ref="C712:I712"/>
    <mergeCell ref="C713:I713"/>
    <mergeCell ref="B715:I715"/>
    <mergeCell ref="C702:I702"/>
    <mergeCell ref="B704:I704"/>
    <mergeCell ref="B705:I705"/>
    <mergeCell ref="B706:I706"/>
    <mergeCell ref="B707:I707"/>
    <mergeCell ref="B708:I708"/>
    <mergeCell ref="C694:I694"/>
    <mergeCell ref="B696:I696"/>
    <mergeCell ref="B697:I697"/>
    <mergeCell ref="B698:I698"/>
    <mergeCell ref="B700:I700"/>
    <mergeCell ref="C701:I701"/>
    <mergeCell ref="C687:I687"/>
    <mergeCell ref="B689:I689"/>
    <mergeCell ref="B690:I690"/>
    <mergeCell ref="B691:I691"/>
    <mergeCell ref="B692:I692"/>
    <mergeCell ref="B693:I693"/>
    <mergeCell ref="B680:I680"/>
    <mergeCell ref="B682:I682"/>
    <mergeCell ref="B683:I683"/>
    <mergeCell ref="B684:I684"/>
    <mergeCell ref="B685:I685"/>
    <mergeCell ref="B686:I686"/>
    <mergeCell ref="B673:I673"/>
    <mergeCell ref="B674:I674"/>
    <mergeCell ref="B675:I675"/>
    <mergeCell ref="C676:I676"/>
    <mergeCell ref="C677:I677"/>
    <mergeCell ref="B679:I679"/>
    <mergeCell ref="B666:I666"/>
    <mergeCell ref="B667:I667"/>
    <mergeCell ref="C668:I668"/>
    <mergeCell ref="C669:I669"/>
    <mergeCell ref="B671:I671"/>
    <mergeCell ref="B672:I672"/>
    <mergeCell ref="C657:I657"/>
    <mergeCell ref="C659:I659"/>
    <mergeCell ref="B661:I661"/>
    <mergeCell ref="B663:I663"/>
    <mergeCell ref="B664:I664"/>
    <mergeCell ref="B665:I665"/>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34:I634"/>
    <mergeCell ref="B635:I635"/>
    <mergeCell ref="B636:I636"/>
    <mergeCell ref="B637:I637"/>
    <mergeCell ref="C639:I639"/>
    <mergeCell ref="B641:I641"/>
    <mergeCell ref="B627:I627"/>
    <mergeCell ref="B628:I628"/>
    <mergeCell ref="B629:I629"/>
    <mergeCell ref="B630:I630"/>
    <mergeCell ref="C631:I631"/>
    <mergeCell ref="B633:I633"/>
    <mergeCell ref="B620:I620"/>
    <mergeCell ref="B621:I621"/>
    <mergeCell ref="B622:I622"/>
    <mergeCell ref="C623:I623"/>
    <mergeCell ref="B625:I625"/>
    <mergeCell ref="B626:I626"/>
    <mergeCell ref="B613:I613"/>
    <mergeCell ref="C614:I614"/>
    <mergeCell ref="C615:I615"/>
    <mergeCell ref="C616:I616"/>
    <mergeCell ref="B618:I618"/>
    <mergeCell ref="B619:I61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590:I590"/>
    <mergeCell ref="B591:I591"/>
    <mergeCell ref="C592:I592"/>
    <mergeCell ref="C593:I593"/>
    <mergeCell ref="B595:I595"/>
    <mergeCell ref="B597:I597"/>
    <mergeCell ref="B583:I583"/>
    <mergeCell ref="C584:I584"/>
    <mergeCell ref="C585:I585"/>
    <mergeCell ref="B587:I587"/>
    <mergeCell ref="B588:I588"/>
    <mergeCell ref="B589:I589"/>
    <mergeCell ref="C576:I576"/>
    <mergeCell ref="C577:I577"/>
    <mergeCell ref="B579:I579"/>
    <mergeCell ref="B580:I580"/>
    <mergeCell ref="B581:I581"/>
    <mergeCell ref="B582:I582"/>
    <mergeCell ref="B569:I569"/>
    <mergeCell ref="B571:I571"/>
    <mergeCell ref="B572:I572"/>
    <mergeCell ref="B573:I573"/>
    <mergeCell ref="B574:I574"/>
    <mergeCell ref="B575:I575"/>
    <mergeCell ref="C562:I562"/>
    <mergeCell ref="C563:I563"/>
    <mergeCell ref="C564:I564"/>
    <mergeCell ref="C565:I565"/>
    <mergeCell ref="C566:I566"/>
    <mergeCell ref="C567:I567"/>
    <mergeCell ref="B556:I556"/>
    <mergeCell ref="B557:I557"/>
    <mergeCell ref="B558:I558"/>
    <mergeCell ref="C559:I559"/>
    <mergeCell ref="C560:I560"/>
    <mergeCell ref="C561:I561"/>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21:I521"/>
    <mergeCell ref="B522:I522"/>
    <mergeCell ref="B523:I523"/>
    <mergeCell ref="C524:I524"/>
    <mergeCell ref="C525:I525"/>
    <mergeCell ref="C526:I526"/>
    <mergeCell ref="C514:I514"/>
    <mergeCell ref="C515:I515"/>
    <mergeCell ref="C516:I516"/>
    <mergeCell ref="B518:I518"/>
    <mergeCell ref="B519:I519"/>
    <mergeCell ref="B520:I520"/>
    <mergeCell ref="B508:I508"/>
    <mergeCell ref="C509:I509"/>
    <mergeCell ref="C510:I510"/>
    <mergeCell ref="C511:I511"/>
    <mergeCell ref="C512:I512"/>
    <mergeCell ref="C513:I513"/>
    <mergeCell ref="C501:I501"/>
    <mergeCell ref="C502:I502"/>
    <mergeCell ref="B504:I504"/>
    <mergeCell ref="B505:I505"/>
    <mergeCell ref="B506:I506"/>
    <mergeCell ref="B507:I507"/>
    <mergeCell ref="C495:I495"/>
    <mergeCell ref="C496:I496"/>
    <mergeCell ref="C497:I497"/>
    <mergeCell ref="B498:I498"/>
    <mergeCell ref="B499:I499"/>
    <mergeCell ref="C500:I500"/>
    <mergeCell ref="C487:I487"/>
    <mergeCell ref="B489:I489"/>
    <mergeCell ref="B490:I490"/>
    <mergeCell ref="B491:I491"/>
    <mergeCell ref="B492:I492"/>
    <mergeCell ref="B493:I493"/>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08:I408"/>
    <mergeCell ref="B410:I410"/>
    <mergeCell ref="B411:I411"/>
    <mergeCell ref="B412:I412"/>
    <mergeCell ref="B414:I414"/>
    <mergeCell ref="C415:I415"/>
    <mergeCell ref="B402:I402"/>
    <mergeCell ref="B403:I403"/>
    <mergeCell ref="B404:I404"/>
    <mergeCell ref="B405:I405"/>
    <mergeCell ref="B406:I406"/>
    <mergeCell ref="C407:I407"/>
    <mergeCell ref="C396:I396"/>
    <mergeCell ref="C397:I397"/>
    <mergeCell ref="C398:I398"/>
    <mergeCell ref="C399:I399"/>
    <mergeCell ref="C400:I400"/>
    <mergeCell ref="B401:I401"/>
    <mergeCell ref="C389:I389"/>
    <mergeCell ref="B391:I391"/>
    <mergeCell ref="B392:I392"/>
    <mergeCell ref="B393:I393"/>
    <mergeCell ref="B394:I394"/>
    <mergeCell ref="B395:I395"/>
    <mergeCell ref="B383:I383"/>
    <mergeCell ref="B384:I384"/>
    <mergeCell ref="C385:I385"/>
    <mergeCell ref="B386:I386"/>
    <mergeCell ref="C387:I387"/>
    <mergeCell ref="C388:I388"/>
    <mergeCell ref="C376:I376"/>
    <mergeCell ref="C377:I377"/>
    <mergeCell ref="C378:I378"/>
    <mergeCell ref="B380:I380"/>
    <mergeCell ref="B381:I381"/>
    <mergeCell ref="B382:I382"/>
    <mergeCell ref="B369:I369"/>
    <mergeCell ref="B371:I371"/>
    <mergeCell ref="B372:I372"/>
    <mergeCell ref="B373:I373"/>
    <mergeCell ref="B374:I374"/>
    <mergeCell ref="B375:I375"/>
    <mergeCell ref="B361:I361"/>
    <mergeCell ref="B362:I362"/>
    <mergeCell ref="B363:I363"/>
    <mergeCell ref="B365:I365"/>
    <mergeCell ref="C366:I366"/>
    <mergeCell ref="C367:I367"/>
    <mergeCell ref="C354:I354"/>
    <mergeCell ref="C355:I355"/>
    <mergeCell ref="C356:I356"/>
    <mergeCell ref="C357:I357"/>
    <mergeCell ref="C358:I358"/>
    <mergeCell ref="C359:I359"/>
    <mergeCell ref="B348:I348"/>
    <mergeCell ref="B349:I349"/>
    <mergeCell ref="B350:I350"/>
    <mergeCell ref="B351:I351"/>
    <mergeCell ref="B352:I352"/>
    <mergeCell ref="C353:I353"/>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15:I315"/>
    <mergeCell ref="B317:I317"/>
    <mergeCell ref="C318:I318"/>
    <mergeCell ref="C319:I319"/>
    <mergeCell ref="C320:I320"/>
    <mergeCell ref="C321:I321"/>
    <mergeCell ref="B308:I308"/>
    <mergeCell ref="B309:I309"/>
    <mergeCell ref="B310:I310"/>
    <mergeCell ref="B311:I311"/>
    <mergeCell ref="B312:I312"/>
    <mergeCell ref="B314:I314"/>
    <mergeCell ref="B302:I302"/>
    <mergeCell ref="C303:I303"/>
    <mergeCell ref="C304:I304"/>
    <mergeCell ref="C305:I305"/>
    <mergeCell ref="C306:I306"/>
    <mergeCell ref="C307:I307"/>
    <mergeCell ref="C295:I295"/>
    <mergeCell ref="C296:I296"/>
    <mergeCell ref="C297:I297"/>
    <mergeCell ref="B299:I299"/>
    <mergeCell ref="B300:I300"/>
    <mergeCell ref="B301:I301"/>
    <mergeCell ref="B289:I289"/>
    <mergeCell ref="B290:I290"/>
    <mergeCell ref="B291:I291"/>
    <mergeCell ref="C292:I292"/>
    <mergeCell ref="C293:I293"/>
    <mergeCell ref="C294:I294"/>
    <mergeCell ref="B281:I281"/>
    <mergeCell ref="C282:I282"/>
    <mergeCell ref="C283:I283"/>
    <mergeCell ref="C284:I284"/>
    <mergeCell ref="B287:I287"/>
    <mergeCell ref="B288:I288"/>
    <mergeCell ref="C274:I274"/>
    <mergeCell ref="C275:I275"/>
    <mergeCell ref="B277:I277"/>
    <mergeCell ref="B278:I278"/>
    <mergeCell ref="B279:I279"/>
    <mergeCell ref="B280:I280"/>
    <mergeCell ref="B268:I268"/>
    <mergeCell ref="B269:I269"/>
    <mergeCell ref="B270:I270"/>
    <mergeCell ref="C271:I271"/>
    <mergeCell ref="C272:I272"/>
    <mergeCell ref="C273:I273"/>
    <mergeCell ref="C262:I262"/>
    <mergeCell ref="C263:I263"/>
    <mergeCell ref="C264:I264"/>
    <mergeCell ref="B265:I265"/>
    <mergeCell ref="B266:I266"/>
    <mergeCell ref="B267:I267"/>
    <mergeCell ref="B256:I256"/>
    <mergeCell ref="B257:I257"/>
    <mergeCell ref="B258:I258"/>
    <mergeCell ref="B259:I259"/>
    <mergeCell ref="B260:I260"/>
    <mergeCell ref="C261:I261"/>
    <mergeCell ref="B249:I249"/>
    <mergeCell ref="B250:I250"/>
    <mergeCell ref="B251:I251"/>
    <mergeCell ref="B252:I252"/>
    <mergeCell ref="C253:I253"/>
    <mergeCell ref="C254:I254"/>
    <mergeCell ref="C237:I237"/>
    <mergeCell ref="B239:I239"/>
    <mergeCell ref="C244:G244"/>
    <mergeCell ref="C245:G245"/>
    <mergeCell ref="C246:G246"/>
    <mergeCell ref="B248:I248"/>
    <mergeCell ref="B231:I231"/>
    <mergeCell ref="B232:I232"/>
    <mergeCell ref="B233:I233"/>
    <mergeCell ref="C234:I234"/>
    <mergeCell ref="C235:I235"/>
    <mergeCell ref="C236:I236"/>
    <mergeCell ref="C225:F225"/>
    <mergeCell ref="G225:I225"/>
    <mergeCell ref="B227:I227"/>
    <mergeCell ref="B228:I228"/>
    <mergeCell ref="B229:I229"/>
    <mergeCell ref="B230:I230"/>
    <mergeCell ref="C222:F222"/>
    <mergeCell ref="G222:I222"/>
    <mergeCell ref="C223:F223"/>
    <mergeCell ref="G223:I223"/>
    <mergeCell ref="C224:F224"/>
    <mergeCell ref="G224:I224"/>
    <mergeCell ref="C219:F219"/>
    <mergeCell ref="G219:I219"/>
    <mergeCell ref="C220:F220"/>
    <mergeCell ref="G220:I220"/>
    <mergeCell ref="C221:F221"/>
    <mergeCell ref="G221:I221"/>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B206:I206"/>
    <mergeCell ref="C207:I207"/>
    <mergeCell ref="C208:I208"/>
    <mergeCell ref="C209:I209"/>
    <mergeCell ref="C210:I210"/>
    <mergeCell ref="C211:I211"/>
    <mergeCell ref="C198:I198"/>
    <mergeCell ref="B199:I199"/>
    <mergeCell ref="B201:I201"/>
    <mergeCell ref="B202:I202"/>
    <mergeCell ref="B203:I203"/>
    <mergeCell ref="B204:I204"/>
    <mergeCell ref="B192:I192"/>
    <mergeCell ref="B193:I193"/>
    <mergeCell ref="C194:I194"/>
    <mergeCell ref="C195:I195"/>
    <mergeCell ref="C196:I196"/>
    <mergeCell ref="C197:I197"/>
    <mergeCell ref="C185:I185"/>
    <mergeCell ref="C186:I186"/>
    <mergeCell ref="C187:I187"/>
    <mergeCell ref="B189:I189"/>
    <mergeCell ref="B190:I190"/>
    <mergeCell ref="B191:I191"/>
    <mergeCell ref="B179:I179"/>
    <mergeCell ref="B180:I180"/>
    <mergeCell ref="B181:I181"/>
    <mergeCell ref="B182:I182"/>
    <mergeCell ref="C183:I183"/>
    <mergeCell ref="C184:I184"/>
    <mergeCell ref="C173:F173"/>
    <mergeCell ref="G173:I173"/>
    <mergeCell ref="C174:F174"/>
    <mergeCell ref="G174:I174"/>
    <mergeCell ref="C176:I176"/>
    <mergeCell ref="B178:I178"/>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14:I114"/>
    <mergeCell ref="B115:I115"/>
    <mergeCell ref="B116:I116"/>
    <mergeCell ref="C117:I117"/>
    <mergeCell ref="C118:I118"/>
    <mergeCell ref="B120:I120"/>
    <mergeCell ref="C107:I107"/>
    <mergeCell ref="C108:I108"/>
    <mergeCell ref="C109:I109"/>
    <mergeCell ref="B110:I110"/>
    <mergeCell ref="B112:I112"/>
    <mergeCell ref="B113:I113"/>
    <mergeCell ref="C98:I98"/>
    <mergeCell ref="B100:I100"/>
    <mergeCell ref="B102:I102"/>
    <mergeCell ref="B103:I103"/>
    <mergeCell ref="B104:I104"/>
    <mergeCell ref="B106:I106"/>
    <mergeCell ref="C91:E91"/>
    <mergeCell ref="B93:I93"/>
    <mergeCell ref="C94:I94"/>
    <mergeCell ref="C95:I95"/>
    <mergeCell ref="C96:I96"/>
    <mergeCell ref="C97:I97"/>
    <mergeCell ref="B83:I83"/>
    <mergeCell ref="B84:I84"/>
    <mergeCell ref="B85:I85"/>
    <mergeCell ref="B86:I86"/>
    <mergeCell ref="B87:I87"/>
    <mergeCell ref="B89:I89"/>
    <mergeCell ref="C76:I76"/>
    <mergeCell ref="C77:I77"/>
    <mergeCell ref="B79:I79"/>
    <mergeCell ref="B80:I80"/>
    <mergeCell ref="B81:I81"/>
    <mergeCell ref="B82:I82"/>
    <mergeCell ref="B69:I69"/>
    <mergeCell ref="B71:I71"/>
    <mergeCell ref="B72:I72"/>
    <mergeCell ref="B73:I73"/>
    <mergeCell ref="B74:I74"/>
    <mergeCell ref="B75:I75"/>
    <mergeCell ref="B61:I61"/>
    <mergeCell ref="B62:I62"/>
    <mergeCell ref="B63:I63"/>
    <mergeCell ref="C64:I64"/>
    <mergeCell ref="C65:I65"/>
    <mergeCell ref="B67:I67"/>
    <mergeCell ref="C56:F56"/>
    <mergeCell ref="G56:I56"/>
    <mergeCell ref="C57:F57"/>
    <mergeCell ref="G57:I57"/>
    <mergeCell ref="B59:I59"/>
    <mergeCell ref="B60:I60"/>
    <mergeCell ref="C53:F53"/>
    <mergeCell ref="G53:I53"/>
    <mergeCell ref="C54:F54"/>
    <mergeCell ref="G54:I54"/>
    <mergeCell ref="C55:F55"/>
    <mergeCell ref="G55:I55"/>
    <mergeCell ref="C47:I47"/>
    <mergeCell ref="C48:I48"/>
    <mergeCell ref="C49:I49"/>
    <mergeCell ref="B50:I50"/>
    <mergeCell ref="B51:I51"/>
    <mergeCell ref="C52:F52"/>
    <mergeCell ref="G52:I52"/>
    <mergeCell ref="B41:I41"/>
    <mergeCell ref="B42:I42"/>
    <mergeCell ref="B43:I43"/>
    <mergeCell ref="B44:I44"/>
    <mergeCell ref="B45:I45"/>
    <mergeCell ref="B46:I46"/>
    <mergeCell ref="C37:E37"/>
    <mergeCell ref="F37:I37"/>
    <mergeCell ref="C38:E38"/>
    <mergeCell ref="F38:I38"/>
    <mergeCell ref="C39:E39"/>
    <mergeCell ref="F39:I39"/>
    <mergeCell ref="C32:I32"/>
    <mergeCell ref="B33:I33"/>
    <mergeCell ref="B34:I34"/>
    <mergeCell ref="C35:E35"/>
    <mergeCell ref="F35:I35"/>
    <mergeCell ref="C36:E36"/>
    <mergeCell ref="F36:I36"/>
    <mergeCell ref="C26:I26"/>
    <mergeCell ref="C27:I27"/>
    <mergeCell ref="B28:I28"/>
    <mergeCell ref="C29:I29"/>
    <mergeCell ref="C30:I30"/>
    <mergeCell ref="C31:I31"/>
    <mergeCell ref="B20:I20"/>
    <mergeCell ref="B21:I21"/>
    <mergeCell ref="C22:I22"/>
    <mergeCell ref="C23:I23"/>
    <mergeCell ref="C24:I24"/>
    <mergeCell ref="C25:I25"/>
    <mergeCell ref="C17:I17"/>
    <mergeCell ref="C18:I18"/>
    <mergeCell ref="B19:I19"/>
    <mergeCell ref="B7:I7"/>
    <mergeCell ref="C8:I8"/>
    <mergeCell ref="B9:I9"/>
    <mergeCell ref="B10:I10"/>
    <mergeCell ref="B11:I11"/>
    <mergeCell ref="B12:I12"/>
    <mergeCell ref="A1:I1"/>
    <mergeCell ref="A2:I2"/>
    <mergeCell ref="B3:I3"/>
    <mergeCell ref="B4:I4"/>
    <mergeCell ref="B5:I5"/>
    <mergeCell ref="B6:I6"/>
    <mergeCell ref="B13:I13"/>
    <mergeCell ref="B15:I15"/>
    <mergeCell ref="C16:I16"/>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53" t="s">
        <v>5</v>
      </c>
      <c r="C3" s="253"/>
      <c r="D3" s="253"/>
      <c r="E3" s="253"/>
      <c r="F3" s="253"/>
      <c r="G3" s="253"/>
      <c r="H3" s="253"/>
      <c r="I3" s="253"/>
    </row>
    <row r="4" spans="1:9" s="69" customFormat="1" ht="12" customHeight="1" x14ac:dyDescent="0.3">
      <c r="A4" s="81"/>
      <c r="B4" s="82"/>
      <c r="C4" s="82"/>
      <c r="D4" s="82"/>
      <c r="E4" s="82"/>
      <c r="F4" s="82"/>
      <c r="G4" s="82"/>
      <c r="H4" s="82"/>
      <c r="I4" s="82"/>
    </row>
    <row r="5" spans="1:9" s="69" customFormat="1" ht="14.4" x14ac:dyDescent="0.3">
      <c r="A5" s="68"/>
      <c r="C5" s="251" t="s">
        <v>653</v>
      </c>
      <c r="D5" s="250"/>
      <c r="E5" s="243" t="str">
        <f>_xlfn.CONCAT(_xlfn.XLOOKUP("[S01_InstitutionDetails][0][NameAndDepartment]",Submission!$O:$O,Submission!$H:$N,""))</f>
        <v>Latvijas Vides, ģeoloģijas un meteoroloģijas centrs</v>
      </c>
      <c r="F5" s="244"/>
      <c r="G5" s="244"/>
      <c r="H5" s="244"/>
      <c r="I5" s="245"/>
    </row>
    <row r="6" spans="1:9" s="69" customFormat="1" ht="14.4" x14ac:dyDescent="0.3">
      <c r="A6" s="68"/>
      <c r="C6" s="251" t="s">
        <v>654</v>
      </c>
      <c r="D6" s="250"/>
      <c r="E6" s="243" t="str">
        <f>_xlfn.CONCAT(_xlfn.XLOOKUP("[S01_InstitutionDetails][0][ContactPersonName]",Submission!$O:$O,Submission!$H:$N,""))</f>
        <v>Jeļena Lazdāne-Mihalko</v>
      </c>
      <c r="F6" s="244"/>
      <c r="G6" s="244"/>
      <c r="H6" s="244"/>
      <c r="I6" s="245"/>
    </row>
    <row r="7" spans="1:9" s="69" customFormat="1" ht="14.4" x14ac:dyDescent="0.3">
      <c r="A7" s="68"/>
      <c r="C7" s="251" t="s">
        <v>655</v>
      </c>
      <c r="D7" s="250"/>
      <c r="E7" s="243" t="str">
        <f>_xlfn.CONCAT(_xlfn.XLOOKUP("[S01_InstitutionDetails][0][ContactPersonJobTitle]",Submission!$O:$O,Submission!$H:$N,""))</f>
        <v>Vecākais speciālists</v>
      </c>
      <c r="F7" s="244"/>
      <c r="G7" s="244"/>
      <c r="H7" s="244"/>
      <c r="I7" s="245"/>
    </row>
    <row r="8" spans="1:9" s="69" customFormat="1" ht="14.4" x14ac:dyDescent="0.3">
      <c r="A8" s="68"/>
      <c r="C8" s="251" t="s">
        <v>656</v>
      </c>
      <c r="D8" s="250"/>
      <c r="E8" s="243" t="str">
        <f>_xlfn.CONCAT(_xlfn.XLOOKUP("[S01_InstitutionDetails][0][Address]",Submission!$O:$O,Submission!$H:$N,""))</f>
        <v>Maskavas 165</v>
      </c>
      <c r="F8" s="244"/>
      <c r="G8" s="244"/>
      <c r="H8" s="244"/>
      <c r="I8" s="245"/>
    </row>
    <row r="9" spans="1:9" s="69" customFormat="1" ht="14.4" x14ac:dyDescent="0.3">
      <c r="A9" s="68"/>
      <c r="C9" s="251" t="s">
        <v>657</v>
      </c>
      <c r="D9" s="250"/>
      <c r="E9" s="246" t="str">
        <f>_xlfn.CONCAT(_xlfn.XLOOKUP("[S01_InstitutionDetails][0][InternationalTelephoneNumber]",Submission!$O:$O,Submission!$H:$N,""))</f>
        <v>37167032015</v>
      </c>
      <c r="F9" s="247"/>
      <c r="G9" s="247"/>
      <c r="H9" s="247"/>
      <c r="I9" s="248"/>
    </row>
    <row r="10" spans="1:9" s="69" customFormat="1" ht="14.4" x14ac:dyDescent="0.3">
      <c r="A10" s="68"/>
      <c r="C10" s="251" t="s">
        <v>658</v>
      </c>
      <c r="D10" s="250"/>
      <c r="E10" s="252" t="str">
        <f>_xlfn.CONCAT(_xlfn.XLOOKUP("[S01_InstitutionDetails][0][EMail]",Submission!$O:$O,Submission!$H:$N,""))</f>
        <v>Jelena.Lazdane@lvgmc.lv</v>
      </c>
      <c r="F10" s="244"/>
      <c r="G10" s="244"/>
      <c r="H10" s="244"/>
      <c r="I10" s="245"/>
    </row>
    <row r="11" spans="1:9" s="79" customFormat="1" ht="14.4" x14ac:dyDescent="0.3">
      <c r="A11" s="78"/>
      <c r="C11" s="249" t="s">
        <v>2229</v>
      </c>
      <c r="D11" s="250"/>
      <c r="E11" s="243" t="str">
        <f>_xlfn.CONCAT(_xlfn.XLOOKUP("[S01_InstitutionDetails][0][ReportingYear]",Submission!$O:$O,Submission!$H:$N,""))</f>
        <v>2021</v>
      </c>
      <c r="F11" s="244"/>
      <c r="G11" s="244"/>
      <c r="H11" s="244"/>
      <c r="I11" s="245"/>
    </row>
    <row r="13" spans="1:9" x14ac:dyDescent="0.3">
      <c r="C13" s="25"/>
    </row>
  </sheetData>
  <mergeCells count="16">
    <mergeCell ref="A1:I1"/>
    <mergeCell ref="B3:I3"/>
    <mergeCell ref="C5:D5"/>
    <mergeCell ref="C6:D6"/>
    <mergeCell ref="C7:D7"/>
    <mergeCell ref="E5:I5"/>
    <mergeCell ref="E6:I6"/>
    <mergeCell ref="E7:I7"/>
    <mergeCell ref="E8:I8"/>
    <mergeCell ref="E9:I9"/>
    <mergeCell ref="C11:D11"/>
    <mergeCell ref="E11:I11"/>
    <mergeCell ref="C8:D8"/>
    <mergeCell ref="C9:D9"/>
    <mergeCell ref="C10:D10"/>
    <mergeCell ref="E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53" t="s">
        <v>659</v>
      </c>
      <c r="C3" s="253"/>
      <c r="D3" s="253"/>
      <c r="E3" s="253"/>
      <c r="F3" s="253"/>
      <c r="G3" s="253"/>
      <c r="H3" s="253"/>
      <c r="I3" s="253"/>
    </row>
    <row r="4" spans="1:11" s="69" customFormat="1" ht="15.6" x14ac:dyDescent="0.3">
      <c r="A4" s="57" t="s">
        <v>12</v>
      </c>
      <c r="B4" s="283" t="s">
        <v>660</v>
      </c>
      <c r="C4" s="284"/>
      <c r="D4" s="284"/>
      <c r="E4" s="284"/>
      <c r="F4" s="284"/>
      <c r="G4" s="284"/>
      <c r="H4" s="284"/>
      <c r="I4" s="284"/>
    </row>
    <row r="5" spans="1:11" s="27" customFormat="1" ht="34.950000000000003" customHeight="1" x14ac:dyDescent="0.3">
      <c r="A5" s="144"/>
      <c r="B5" s="275" t="s">
        <v>661</v>
      </c>
      <c r="C5" s="276"/>
      <c r="D5" s="276"/>
      <c r="E5" s="276"/>
      <c r="F5" s="276"/>
      <c r="G5" s="276"/>
      <c r="H5" s="276"/>
      <c r="I5" s="276"/>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Vides aizsardzības un reģionālās attīstības ministrija</v>
      </c>
      <c r="D7" s="72" t="str">
        <f>_xlfn.CONCAT(_xlfn.XLOOKUP("[S02_CompetentAuthority][1][CAAbbreviation]",Submission!$O:$O,Submission!$H:$N,""))</f>
        <v>VARAM</v>
      </c>
      <c r="E7" s="72" t="str">
        <f>_xlfn.CONCAT(_xlfn.XLOOKUP("[S02_CompetentAuthority][1][CAType]",Submission!$O:$O,Submission!$H:$N,""))</f>
        <v>Central competent authority</v>
      </c>
      <c r="F7" s="105" t="str">
        <f>_xlfn.CONCAT(_xlfn.XLOOKUP("[S02_CompetentAuthority][1][CANumber]",Submission!$O:$O,Submission!$H:$N,""))</f>
        <v/>
      </c>
      <c r="G7" s="177" t="str">
        <f>_xlfn.CONCAT(_xlfn.XLOOKUP("[S02_CompetentAuthority][1][CATelephone]",Submission!$O:$O,Submission!$H:$N,""))</f>
        <v>37167026533</v>
      </c>
      <c r="H7" s="83" t="str">
        <f>_xlfn.CONCAT(_xlfn.XLOOKUP("[S02_CompetentAuthority][1][CAEmail]",Submission!$O:$O,Submission!$H:$N,""))</f>
        <v>pasts@varam.gov.lv</v>
      </c>
      <c r="I7" s="72" t="str">
        <f>_xlfn.CONCAT(_xlfn.XLOOKUP("[S02_CompetentAuthority][1][CAWebsite]",Submission!$O:$O,Submission!$H:$N,""))</f>
        <v>http://www.varam.gov.lv</v>
      </c>
      <c r="J7" s="79"/>
    </row>
    <row r="8" spans="1:11" s="58" customFormat="1" ht="15.9" customHeight="1" x14ac:dyDescent="0.3">
      <c r="B8" s="79"/>
      <c r="C8" s="71" t="str">
        <f>_xlfn.CONCAT(_xlfn.XLOOKUP("[S02_CompetentAuthority][2][CAName]",Submission!$O:$O,Submission!$H:$N,""))</f>
        <v>Vides pārraudzības valsts birojs</v>
      </c>
      <c r="D8" s="72" t="str">
        <f>_xlfn.CONCAT(_xlfn.XLOOKUP("[S02_CompetentAuthority][2][CAAbbreviation]",Submission!$O:$O,Submission!$H:$N,""))</f>
        <v>VPVB</v>
      </c>
      <c r="E8" s="72" t="str">
        <f>_xlfn.CONCAT(_xlfn.XLOOKUP("[S02_CompetentAuthority][2][CAType]",Submission!$O:$O,Submission!$H:$N,""))</f>
        <v>Central competent authority</v>
      </c>
      <c r="F8" s="105" t="str">
        <f>_xlfn.CONCAT(_xlfn.XLOOKUP("[S02_CompetentAuthority][2][CANumber]",Submission!$O:$O,Submission!$H:$N,""))</f>
        <v/>
      </c>
      <c r="G8" s="177" t="str">
        <f>_xlfn.CONCAT(_xlfn.XLOOKUP("[S02_CompetentAuthority][2][CATelephone]",Submission!$O:$O,Submission!$H:$N,""))</f>
        <v>37167321173</v>
      </c>
      <c r="H8" s="83" t="str">
        <f>_xlfn.CONCAT(_xlfn.XLOOKUP("[S02_CompetentAuthority][2][CAEmail]",Submission!$O:$O,Submission!$H:$N,""))</f>
        <v>vpvb@vpvb.gov.lv</v>
      </c>
      <c r="I8" s="72" t="str">
        <f>_xlfn.CONCAT(_xlfn.XLOOKUP("[S02_CompetentAuthority][2][CAWebsite]",Submission!$O:$O,Submission!$H:$N,""))</f>
        <v>http://www.vpvb.gov.lv/lv</v>
      </c>
      <c r="J8" s="79"/>
    </row>
    <row r="9" spans="1:11" s="58" customFormat="1" ht="15.9" customHeight="1" x14ac:dyDescent="0.3">
      <c r="B9" s="79"/>
      <c r="C9" s="71" t="str">
        <f>_xlfn.CONCAT(_xlfn.XLOOKUP("[S02_CompetentAuthority][3][CAName]",Submission!$O:$O,Submission!$H:$N,""))</f>
        <v>Valsts vides dienests</v>
      </c>
      <c r="D9" s="72" t="str">
        <f>_xlfn.CONCAT(_xlfn.XLOOKUP("[S02_CompetentAuthority][3][CAAbbreviation]",Submission!$O:$O,Submission!$H:$N,""))</f>
        <v>VVD</v>
      </c>
      <c r="E9" s="72" t="str">
        <f>_xlfn.CONCAT(_xlfn.XLOOKUP("[S02_CompetentAuthority][3][CAType]",Submission!$O:$O,Submission!$H:$N,""))</f>
        <v>Central competent authority</v>
      </c>
      <c r="F9" s="105" t="str">
        <f>_xlfn.CONCAT(_xlfn.XLOOKUP("[S02_CompetentAuthority][3][CANumber]",Submission!$O:$O,Submission!$H:$N,""))</f>
        <v/>
      </c>
      <c r="G9" s="177" t="str">
        <f>_xlfn.CONCAT(_xlfn.XLOOKUP("[S02_CompetentAuthority][3][CATelephone]",Submission!$O:$O,Submission!$H:$N,""))</f>
        <v>37167084200</v>
      </c>
      <c r="H9" s="83" t="str">
        <f>_xlfn.CONCAT(_xlfn.XLOOKUP("[S02_CompetentAuthority][3][CAEmail]",Submission!$O:$O,Submission!$H:$N,""))</f>
        <v>vvd@vvd.gov.lv</v>
      </c>
      <c r="I9" s="72" t="str">
        <f>_xlfn.CONCAT(_xlfn.XLOOKUP("[S02_CompetentAuthority][3][CAWebsite]",Submission!$O:$O,Submission!$H:$N,""))</f>
        <v>http://www.vvd.gov.lv</v>
      </c>
      <c r="J9" s="79"/>
    </row>
    <row r="10" spans="1:11" s="58" customFormat="1" ht="15.9" customHeight="1" x14ac:dyDescent="0.3">
      <c r="B10" s="79"/>
      <c r="C10" s="71" t="str">
        <f>_xlfn.CONCAT(_xlfn.XLOOKUP("[S02_CompetentAuthority][4][CAName]",Submission!$O:$O,Submission!$H:$N,""))</f>
        <v>Valsts ieņēmumu dienests</v>
      </c>
      <c r="D10" s="72" t="str">
        <f>_xlfn.CONCAT(_xlfn.XLOOKUP("[S02_CompetentAuthority][4][CAAbbreviation]",Submission!$O:$O,Submission!$H:$N,""))</f>
        <v>VID</v>
      </c>
      <c r="E10" s="72" t="str">
        <f>_xlfn.CONCAT(_xlfn.XLOOKUP("[S02_CompetentAuthority][4][CAType]",Submission!$O:$O,Submission!$H:$N,""))</f>
        <v>Central competent authority</v>
      </c>
      <c r="F10" s="105" t="str">
        <f>_xlfn.CONCAT(_xlfn.XLOOKUP("[S02_CompetentAuthority][4][CANumber]",Submission!$O:$O,Submission!$H:$N,""))</f>
        <v/>
      </c>
      <c r="G10" s="177" t="str">
        <f>_xlfn.CONCAT(_xlfn.XLOOKUP("[S02_CompetentAuthority][4][CATelephone]",Submission!$O:$O,Submission!$H:$N,""))</f>
        <v>37167122689</v>
      </c>
      <c r="H10" s="83" t="str">
        <f>_xlfn.CONCAT(_xlfn.XLOOKUP("[S02_CompetentAuthority][4][CAEmail]",Submission!$O:$O,Submission!$H:$N,""))</f>
        <v>vid@vid.gov.lv</v>
      </c>
      <c r="I10" s="72" t="str">
        <f>_xlfn.CONCAT(_xlfn.XLOOKUP("[S02_CompetentAuthority][4][CAWebsite]",Submission!$O:$O,Submission!$H:$N,""))</f>
        <v>http://www.vid.gov.lv</v>
      </c>
      <c r="J10" s="79"/>
    </row>
    <row r="11" spans="1:11" s="58" customFormat="1" ht="41.4" x14ac:dyDescent="0.3">
      <c r="B11" s="79"/>
      <c r="C11" s="71" t="str">
        <f>_xlfn.CONCAT(_xlfn.XLOOKUP("[S02_CompetentAuthority][5][CAName]",Submission!$O:$O,Submission!$H:$N,""))</f>
        <v>Civilās aviācijas aģentūra</v>
      </c>
      <c r="D11" s="72" t="str">
        <f>_xlfn.CONCAT(_xlfn.XLOOKUP("[S02_CompetentAuthority][5][CAAbbreviation]",Submission!$O:$O,Submission!$H:$N,""))</f>
        <v>CAA</v>
      </c>
      <c r="E11" s="72" t="str">
        <f>_xlfn.CONCAT(_xlfn.XLOOKUP("[S02_CompetentAuthority][5][CAType]",Submission!$O:$O,Submission!$H:$N,""))</f>
        <v>Central competent authority</v>
      </c>
      <c r="F11" s="105" t="str">
        <f>_xlfn.CONCAT(_xlfn.XLOOKUP("[S02_CompetentAuthority][5][CANumber]",Submission!$O:$O,Submission!$H:$N,""))</f>
        <v/>
      </c>
      <c r="G11" s="177" t="str">
        <f>_xlfn.CONCAT(_xlfn.XLOOKUP("[S02_CompetentAuthority][5][CATelephone]",Submission!$O:$O,Submission!$H:$N,""))</f>
        <v>37167830936</v>
      </c>
      <c r="H11" s="83" t="str">
        <f>_xlfn.CONCAT(_xlfn.XLOOKUP("[S02_CompetentAuthority][5][CAEmail]",Submission!$O:$O,Submission!$H:$N,""))</f>
        <v>caa@caa.gov.lv</v>
      </c>
      <c r="I11" s="72" t="str">
        <f>_xlfn.CONCAT(_xlfn.XLOOKUP("[S02_CompetentAuthority][5][CAWebsite]",Submission!$O:$O,Submission!$H:$N,""))</f>
        <v>http://www.caa.lv</v>
      </c>
      <c r="J11" s="79"/>
    </row>
    <row r="12" spans="1:11" s="58" customFormat="1" ht="15.6" hidden="1" outlineLevel="1" x14ac:dyDescent="0.3">
      <c r="B12" s="79"/>
      <c r="C12" s="71" t="str">
        <f>_xlfn.CONCAT(_xlfn.XLOOKUP("[S02_CompetentAuthority][6][CAName]",Submission!$O:$O,Submission!$H:$N,""))</f>
        <v>Latvijas Vides, ģeoloģijas un meteoroloģijas centrs</v>
      </c>
      <c r="D12" s="72" t="str">
        <f>_xlfn.CONCAT(_xlfn.XLOOKUP("[S02_CompetentAuthority][6][CAAbbreviation]",Submission!$O:$O,Submission!$H:$N,""))</f>
        <v>LVĢMC</v>
      </c>
      <c r="E12" s="72" t="str">
        <f>_xlfn.CONCAT(_xlfn.XLOOKUP("[S02_CompetentAuthority][6][CAType]",Submission!$O:$O,Submission!$H:$N,""))</f>
        <v>Central competent authority</v>
      </c>
      <c r="F12" s="103" t="str">
        <f>_xlfn.CONCAT(_xlfn.XLOOKUP("[S02_CompetentAuthority][6][CANumber]",Submission!$O:$O,Submission!$H:$N,""))</f>
        <v/>
      </c>
      <c r="G12" s="177" t="str">
        <f>_xlfn.CONCAT(_xlfn.XLOOKUP("[S02_CompetentAuthority][6][CATelephone]",Submission!$O:$O,Submission!$H:$N,""))</f>
        <v>37167032600</v>
      </c>
      <c r="H12" s="83" t="str">
        <f>_xlfn.CONCAT(_xlfn.XLOOKUP("[S02_CompetentAuthority][6][CAEmail]",Submission!$O:$O,Submission!$H:$N,""))</f>
        <v>lvgmc@lvgmc.lv</v>
      </c>
      <c r="I12" s="72" t="str">
        <f>_xlfn.CONCAT(_xlfn.XLOOKUP("[S02_CompetentAuthority][6][CAWebsite]",Submission!$O:$O,Submission!$H:$N,""))</f>
        <v>http://www.meteo.lv</v>
      </c>
      <c r="J12" s="79"/>
    </row>
    <row r="13" spans="1:11" s="58" customFormat="1" ht="27.6" hidden="1" outlineLevel="1" x14ac:dyDescent="0.3">
      <c r="B13" s="79"/>
      <c r="C13" s="71" t="str">
        <f>_xlfn.CONCAT(_xlfn.XLOOKUP("[S02_CompetentAuthority][7][CAName]",Submission!$O:$O,Submission!$H:$N,""))</f>
        <v>Latvijas Nacionālais akreditācijas birojs</v>
      </c>
      <c r="D13" s="72" t="str">
        <f>_xlfn.CONCAT(_xlfn.XLOOKUP("[S02_CompetentAuthority][7][CAAbbreviation]",Submission!$O:$O,Submission!$H:$N,""))</f>
        <v>LATAK</v>
      </c>
      <c r="E13" s="72" t="str">
        <f>_xlfn.CONCAT(_xlfn.XLOOKUP("[S02_CompetentAuthority][7][CAType]",Submission!$O:$O,Submission!$H:$N,""))</f>
        <v>Central competent authority</v>
      </c>
      <c r="F13" s="103" t="str">
        <f>_xlfn.CONCAT(_xlfn.XLOOKUP("[S02_CompetentAuthority][7][CANumber]",Submission!$O:$O,Submission!$H:$N,""))</f>
        <v/>
      </c>
      <c r="G13" s="177" t="str">
        <f>_xlfn.CONCAT(_xlfn.XLOOKUP("[S02_CompetentAuthority][7][CATelephone]",Submission!$O:$O,Submission!$H:$N,""))</f>
        <v>37167373051</v>
      </c>
      <c r="H13" s="83" t="str">
        <f>_xlfn.CONCAT(_xlfn.XLOOKUP("[S02_CompetentAuthority][7][CAEmail]",Submission!$O:$O,Submission!$H:$N,""))</f>
        <v>pasts@latak.gov.lv</v>
      </c>
      <c r="I13" s="72" t="str">
        <f>_xlfn.CONCAT(_xlfn.XLOOKUP("[S02_CompetentAuthority][7][CAWebsite]",Submission!$O:$O,Submission!$H:$N,""))</f>
        <v>http://www.latak.gov.lv</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7"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7"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7"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7"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62" t="s">
        <v>669</v>
      </c>
      <c r="D30" s="263"/>
      <c r="E30" s="263"/>
      <c r="F30" s="263"/>
      <c r="G30" s="263"/>
      <c r="H30" s="263"/>
      <c r="I30" s="263"/>
      <c r="J30" s="79"/>
      <c r="K30" s="69"/>
    </row>
    <row r="31" spans="2:11" s="58" customFormat="1" ht="15.6" x14ac:dyDescent="0.3">
      <c r="B31" s="84"/>
      <c r="C31" s="262" t="s">
        <v>670</v>
      </c>
      <c r="D31" s="263"/>
      <c r="E31" s="263"/>
      <c r="F31" s="263"/>
      <c r="G31" s="263"/>
      <c r="H31" s="263"/>
      <c r="I31" s="263"/>
      <c r="J31" s="79"/>
      <c r="K31" s="69"/>
    </row>
    <row r="32" spans="2:11" s="58" customFormat="1" ht="15.6" x14ac:dyDescent="0.3">
      <c r="B32" s="84"/>
      <c r="C32" s="262" t="s">
        <v>671</v>
      </c>
      <c r="D32" s="263"/>
      <c r="E32" s="263"/>
      <c r="F32" s="263"/>
      <c r="G32" s="263"/>
      <c r="H32" s="263"/>
      <c r="I32" s="263"/>
      <c r="J32" s="79"/>
      <c r="K32" s="69"/>
    </row>
    <row r="33" spans="1:9" s="69" customFormat="1" ht="14.4" x14ac:dyDescent="0.3"/>
    <row r="34" spans="1:9" s="58" customFormat="1" ht="45.6" customHeight="1" x14ac:dyDescent="0.3">
      <c r="A34" s="75"/>
      <c r="B34" s="285" t="s">
        <v>672</v>
      </c>
      <c r="C34" s="286"/>
      <c r="D34" s="286"/>
      <c r="E34" s="286"/>
      <c r="F34" s="286"/>
      <c r="G34" s="286"/>
      <c r="H34" s="287"/>
      <c r="I34" s="41" t="str">
        <f>_xlfn.CONCAT(_xlfn.XLOOKUP("[S02_AccreditationBodyYesNo][0][S02_AccreditationBodyYesNo]",Submission!$O:$O,Submission!$H:$N,""))</f>
        <v>Yes</v>
      </c>
    </row>
    <row r="35" spans="1:9" s="27" customFormat="1" ht="16.95" customHeight="1" x14ac:dyDescent="0.3">
      <c r="A35" s="154"/>
      <c r="B35" s="149"/>
      <c r="C35" s="279" t="s">
        <v>673</v>
      </c>
      <c r="D35" s="280"/>
      <c r="E35" s="280"/>
      <c r="F35" s="280"/>
      <c r="G35" s="280"/>
      <c r="H35" s="280"/>
      <c r="I35" s="280"/>
    </row>
    <row r="36" spans="1:9" s="58" customFormat="1" ht="15.9" customHeight="1" x14ac:dyDescent="0.3">
      <c r="A36" s="75"/>
      <c r="B36" s="76"/>
      <c r="C36" s="66"/>
      <c r="D36" s="66"/>
      <c r="E36" s="66"/>
      <c r="F36" s="66"/>
      <c r="G36" s="66"/>
      <c r="H36" s="66"/>
    </row>
    <row r="37" spans="1:9" s="58" customFormat="1" ht="19.95" customHeight="1" x14ac:dyDescent="0.3">
      <c r="A37" s="75"/>
      <c r="B37" s="264" t="s">
        <v>674</v>
      </c>
      <c r="C37" s="265"/>
      <c r="D37" s="265"/>
      <c r="E37" s="265"/>
      <c r="F37" s="265"/>
      <c r="G37" s="265"/>
      <c r="H37" s="265"/>
      <c r="I37" s="265"/>
    </row>
    <row r="38" spans="1:9" s="58" customFormat="1" ht="15.9" customHeight="1" x14ac:dyDescent="0.3">
      <c r="C38" s="294" t="s">
        <v>662</v>
      </c>
      <c r="D38" s="295"/>
      <c r="E38" s="53" t="s">
        <v>663</v>
      </c>
      <c r="F38" s="53" t="s">
        <v>675</v>
      </c>
      <c r="G38" s="44" t="s">
        <v>676</v>
      </c>
      <c r="H38" s="290" t="s">
        <v>677</v>
      </c>
      <c r="I38" s="291"/>
    </row>
    <row r="39" spans="1:9" s="58" customFormat="1" ht="15.9" customHeight="1" x14ac:dyDescent="0.3">
      <c r="C39" s="288" t="str">
        <f>_xlfn.CONCAT(_xlfn.XLOOKUP("[S02_AccreditationBody][1][AccBodyName]",Submission!$O:$O,Submission!$H:$N,""))</f>
        <v>Latvijas Nacionālais akreditācijas birojs</v>
      </c>
      <c r="D39" s="289"/>
      <c r="E39" s="72" t="str">
        <f>_xlfn.CONCAT(_xlfn.XLOOKUP("[S02_AccreditationBody][1][AccBodyAbbreviation]",Submission!$O:$O,Submission!$H:$N,""))</f>
        <v>LATAK</v>
      </c>
      <c r="F39" s="177" t="str">
        <f>_xlfn.CONCAT(_xlfn.XLOOKUP("[S02_AccreditationBody][1][AccBodyTelephone]",Submission!$O:$O,Submission!$H:$N,""))</f>
        <v>37167373051</v>
      </c>
      <c r="G39" s="77" t="str">
        <f>_xlfn.CONCAT(_xlfn.XLOOKUP("[S02_AccreditationBody][1][AccBodyEmail]",Submission!$O:$O,Submission!$H:$N,""))</f>
        <v>pasts@latak.gov.lv</v>
      </c>
      <c r="H39" s="292" t="str">
        <f>_xlfn.CONCAT(_xlfn.XLOOKUP("[S02_AccreditationBody][1][AccBodyWebsite]",Submission!$O:$O,Submission!$H:$N,""))</f>
        <v>http://www.latak.gov.lv</v>
      </c>
      <c r="I39" s="293"/>
    </row>
    <row r="40" spans="1:9" s="58" customFormat="1" ht="15.9" customHeight="1" x14ac:dyDescent="0.3">
      <c r="A40" s="75"/>
    </row>
    <row r="41" spans="1:9" s="58" customFormat="1" ht="15.6" x14ac:dyDescent="0.3">
      <c r="A41" s="75"/>
      <c r="B41" s="277" t="s">
        <v>678</v>
      </c>
      <c r="C41" s="265"/>
      <c r="D41" s="265"/>
      <c r="E41" s="265"/>
      <c r="F41" s="265"/>
      <c r="G41" s="265"/>
      <c r="H41" s="278"/>
      <c r="I41" s="41" t="str">
        <f>_xlfn.CONCAT(_xlfn.XLOOKUP("[CertificationBodySetUp][0][CertificationBodySetUp]",Submission!$O:$O,Submission!$H:$N,""))</f>
        <v>No</v>
      </c>
    </row>
    <row r="42" spans="1:9" s="58" customFormat="1" ht="20.399999999999999" customHeight="1" x14ac:dyDescent="0.3">
      <c r="A42" s="75"/>
      <c r="B42" s="277" t="s">
        <v>679</v>
      </c>
      <c r="C42" s="265"/>
      <c r="D42" s="265"/>
      <c r="E42" s="265"/>
      <c r="F42" s="265"/>
      <c r="G42" s="265"/>
      <c r="H42" s="265"/>
      <c r="I42" s="265"/>
    </row>
    <row r="43" spans="1:9" s="27" customFormat="1" ht="29.4" customHeight="1" x14ac:dyDescent="0.3">
      <c r="A43" s="154"/>
      <c r="B43" s="22"/>
      <c r="C43" s="279" t="s">
        <v>680</v>
      </c>
      <c r="D43" s="280"/>
      <c r="E43" s="280"/>
      <c r="F43" s="280"/>
      <c r="G43" s="280"/>
      <c r="H43" s="280"/>
      <c r="I43" s="280"/>
    </row>
    <row r="44" spans="1:9" s="58" customFormat="1" ht="15.9" customHeight="1" x14ac:dyDescent="0.3">
      <c r="C44" s="294" t="s">
        <v>662</v>
      </c>
      <c r="D44" s="295"/>
      <c r="E44" s="53" t="s">
        <v>663</v>
      </c>
      <c r="F44" s="53" t="s">
        <v>675</v>
      </c>
      <c r="G44" s="44" t="s">
        <v>676</v>
      </c>
      <c r="H44" s="290" t="s">
        <v>677</v>
      </c>
      <c r="I44" s="291"/>
    </row>
    <row r="45" spans="1:9" s="58" customFormat="1" ht="15.9" customHeight="1" x14ac:dyDescent="0.3">
      <c r="C45" s="288" t="str">
        <f>_xlfn.CONCAT(_xlfn.XLOOKUP("[S02_CertificationAuthExistsDetails][1][CertAuthName]",Submission!$O:$O,Submission!$H:$N,""))</f>
        <v/>
      </c>
      <c r="D45" s="289"/>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92" t="str">
        <f>_xlfn.CONCAT(_xlfn.XLOOKUP("[S02_CertificationAuthExistsDetails][1][CertAuthWebsite]",Submission!$O:$O,Submission!$H:$N,""))</f>
        <v/>
      </c>
      <c r="I45" s="293"/>
    </row>
    <row r="46" spans="1:9" s="58" customFormat="1" ht="15.9" customHeight="1" x14ac:dyDescent="0.3">
      <c r="A46" s="75"/>
    </row>
    <row r="47" spans="1:9" s="58" customFormat="1" ht="18" customHeight="1" x14ac:dyDescent="0.3">
      <c r="A47" s="75"/>
      <c r="B47" s="264" t="s">
        <v>681</v>
      </c>
      <c r="C47" s="265"/>
      <c r="D47" s="265"/>
      <c r="E47" s="265"/>
      <c r="F47" s="265"/>
      <c r="G47" s="265"/>
      <c r="H47" s="265"/>
      <c r="I47" s="265"/>
    </row>
    <row r="48" spans="1:9" s="58" customFormat="1" ht="15.9" customHeight="1" x14ac:dyDescent="0.3">
      <c r="C48" s="294" t="s">
        <v>662</v>
      </c>
      <c r="D48" s="295"/>
      <c r="E48" s="53" t="s">
        <v>663</v>
      </c>
      <c r="F48" s="53" t="s">
        <v>675</v>
      </c>
      <c r="G48" s="44" t="s">
        <v>676</v>
      </c>
      <c r="H48" s="290" t="s">
        <v>677</v>
      </c>
      <c r="I48" s="291"/>
    </row>
    <row r="49" spans="1:9" s="58" customFormat="1" ht="15.9" customHeight="1" x14ac:dyDescent="0.3">
      <c r="C49" s="288" t="str">
        <f>_xlfn.CONCAT(_xlfn.XLOOKUP("[S02_RegistryAdministrator][1][RegAdminName]",Submission!$O:$O,Submission!$H:$N,""))</f>
        <v>Latvijas Vides, ģeoloģijas un meteoroloģijas centrs</v>
      </c>
      <c r="D49" s="289"/>
      <c r="E49" s="72" t="str">
        <f>_xlfn.CONCAT(_xlfn.XLOOKUP("[S02_RegistryAdministrator][1][RegAdminAbbreviation]",Submission!$O:$O,Submission!$H:$N,""))</f>
        <v>LVĢMC</v>
      </c>
      <c r="F49" s="177" t="str">
        <f>_xlfn.CONCAT(_xlfn.XLOOKUP("[S02_RegistryAdministrator][1][RegAdminTelephone]",Submission!$O:$O,Submission!$H:$N,""))</f>
        <v>37167032015</v>
      </c>
      <c r="G49" s="77" t="str">
        <f>_xlfn.CONCAT(_xlfn.XLOOKUP("[S02_RegistryAdministrator][1][RegAdminEmail]",Submission!$O:$O,Submission!$H:$N,""))</f>
        <v>lvgmc@lvgmc.lv</v>
      </c>
      <c r="H49" s="292" t="str">
        <f>_xlfn.CONCAT(_xlfn.XLOOKUP("[S02_RegistryAdministrator][1][RegAdminWebsite]",Submission!$O:$O,Submission!$H:$N,""))</f>
        <v>https://www.meteo.lv</v>
      </c>
      <c r="I49" s="293"/>
    </row>
    <row r="50" spans="1:9" s="58" customFormat="1" ht="15.9" customHeight="1" x14ac:dyDescent="0.3">
      <c r="A50" s="75"/>
    </row>
    <row r="51" spans="1:9" s="58" customFormat="1" ht="15.9" customHeight="1" x14ac:dyDescent="0.3">
      <c r="A51" s="57" t="s">
        <v>18</v>
      </c>
      <c r="B51" s="277" t="s">
        <v>682</v>
      </c>
      <c r="C51" s="265"/>
      <c r="D51" s="265"/>
      <c r="E51" s="265"/>
      <c r="F51" s="265"/>
      <c r="G51" s="265"/>
      <c r="H51" s="265"/>
      <c r="I51" s="265"/>
    </row>
    <row r="52" spans="1:9" s="79" customFormat="1" ht="13.2" customHeight="1" x14ac:dyDescent="0.3">
      <c r="A52" s="78"/>
      <c r="C52" s="281" t="s">
        <v>683</v>
      </c>
      <c r="D52" s="281"/>
      <c r="E52" s="281"/>
      <c r="F52" s="281"/>
      <c r="G52" s="281"/>
      <c r="H52" s="281"/>
      <c r="I52" s="281"/>
    </row>
    <row r="53" spans="1:9" s="79" customFormat="1" ht="14.4" x14ac:dyDescent="0.3">
      <c r="A53" s="78"/>
      <c r="C53" s="269" t="s">
        <v>684</v>
      </c>
      <c r="D53" s="270"/>
      <c r="E53" s="271"/>
      <c r="F53" s="282" t="s">
        <v>74</v>
      </c>
      <c r="G53" s="282"/>
      <c r="H53" s="282" t="s">
        <v>685</v>
      </c>
      <c r="I53" s="282"/>
    </row>
    <row r="54" spans="1:9" s="79" customFormat="1" ht="28.95" customHeight="1" x14ac:dyDescent="0.3">
      <c r="A54" s="78"/>
      <c r="C54" s="251" t="s">
        <v>686</v>
      </c>
      <c r="D54" s="272"/>
      <c r="E54" s="273"/>
      <c r="F54" s="255" t="str">
        <f>_xlfn.CONCAT(_xlfn.XLOOKUP("[S02_CompetentAuthorityRoles][1][CAForInstallationTask]",Submission!$O:$O,Submission!$H:$N,""))</f>
        <v/>
      </c>
      <c r="G54" s="256"/>
      <c r="H54" s="261"/>
      <c r="I54" s="261"/>
    </row>
    <row r="55" spans="1:9" s="79" customFormat="1" ht="28.95" customHeight="1" x14ac:dyDescent="0.3">
      <c r="A55" s="78"/>
      <c r="C55" s="251" t="s">
        <v>687</v>
      </c>
      <c r="D55" s="272"/>
      <c r="E55" s="273"/>
      <c r="F55" s="255" t="str">
        <f>_xlfn.CONCAT(_xlfn.XLOOKUP("[S02_CompetentAuthorityRoles][2][CAForInstallationTask]",Submission!$O:$O,Submission!$H:$N,""))</f>
        <v/>
      </c>
      <c r="G55" s="256"/>
      <c r="H55" s="261"/>
      <c r="I55" s="261"/>
    </row>
    <row r="56" spans="1:9" s="79" customFormat="1" ht="28.95" customHeight="1" x14ac:dyDescent="0.3">
      <c r="A56" s="78"/>
      <c r="C56" s="251" t="s">
        <v>688</v>
      </c>
      <c r="D56" s="272"/>
      <c r="E56" s="273"/>
      <c r="F56" s="255" t="str">
        <f>_xlfn.CONCAT(_xlfn.XLOOKUP("[S02_CompetentAuthorityRoles][3][CAForInstallationTask]",Submission!$O:$O,Submission!$H:$N,""))</f>
        <v/>
      </c>
      <c r="G56" s="256"/>
      <c r="H56" s="261"/>
      <c r="I56" s="261"/>
    </row>
    <row r="57" spans="1:9" s="79" customFormat="1" ht="28.95" customHeight="1" x14ac:dyDescent="0.3">
      <c r="A57" s="78"/>
      <c r="C57" s="251" t="s">
        <v>689</v>
      </c>
      <c r="D57" s="272"/>
      <c r="E57" s="273"/>
      <c r="F57" s="255" t="str">
        <f>_xlfn.CONCAT(_xlfn.XLOOKUP("[S02_CompetentAuthorityRoles][4][CAForInstallationTask]",Submission!$O:$O,Submission!$H:$N,""))</f>
        <v/>
      </c>
      <c r="G57" s="256"/>
      <c r="H57" s="261"/>
      <c r="I57" s="261"/>
    </row>
    <row r="58" spans="1:9" s="79" customFormat="1" ht="28.95" customHeight="1" x14ac:dyDescent="0.3">
      <c r="A58" s="78"/>
      <c r="C58" s="251" t="s">
        <v>690</v>
      </c>
      <c r="D58" s="272"/>
      <c r="E58" s="273"/>
      <c r="F58" s="261"/>
      <c r="G58" s="261"/>
      <c r="H58" s="255" t="str">
        <f>_xlfn.CONCAT(_xlfn.XLOOKUP("[S02_CompetentAuthorityRoles][5][CAForAviationTask]",Submission!$O:$O,Submission!$H:$N,""))</f>
        <v/>
      </c>
      <c r="I58" s="256"/>
    </row>
    <row r="59" spans="1:9" s="79" customFormat="1" ht="28.95" customHeight="1" x14ac:dyDescent="0.3">
      <c r="A59" s="78"/>
      <c r="C59" s="251" t="s">
        <v>691</v>
      </c>
      <c r="D59" s="272"/>
      <c r="E59" s="273"/>
      <c r="F59" s="255" t="str">
        <f>_xlfn.CONCAT(_xlfn.XLOOKUP("[S02_CompetentAuthorityRoles][6][CAForInstallationTask]",Submission!$O:$O,Submission!$H:$N,""))</f>
        <v/>
      </c>
      <c r="G59" s="256"/>
      <c r="H59" s="255" t="str">
        <f>_xlfn.CONCAT(_xlfn.XLOOKUP("[S02_CompetentAuthorityRoles][6][CAForAviationTask]",Submission!$O:$O,Submission!$H:$N,""))</f>
        <v/>
      </c>
      <c r="I59" s="256"/>
    </row>
    <row r="60" spans="1:9" s="79" customFormat="1" ht="28.95" customHeight="1" x14ac:dyDescent="0.3">
      <c r="A60" s="78"/>
      <c r="C60" s="251" t="s">
        <v>42</v>
      </c>
      <c r="D60" s="272"/>
      <c r="E60" s="273"/>
      <c r="F60" s="255" t="str">
        <f>_xlfn.CONCAT(_xlfn.XLOOKUP("[S02_CompetentAuthorityRoles][7][CAForInstallationTask]",Submission!$O:$O,Submission!$H:$N,""))</f>
        <v/>
      </c>
      <c r="G60" s="256"/>
      <c r="H60" s="255" t="str">
        <f>_xlfn.CONCAT(_xlfn.XLOOKUP("[S02_CompetentAuthorityRoles][7][CAForAviationTask]",Submission!$O:$O,Submission!$H:$N,""))</f>
        <v/>
      </c>
      <c r="I60" s="256"/>
    </row>
    <row r="61" spans="1:9" s="79" customFormat="1" ht="28.95" customHeight="1" x14ac:dyDescent="0.3">
      <c r="A61" s="78"/>
      <c r="C61" s="251" t="s">
        <v>692</v>
      </c>
      <c r="D61" s="272"/>
      <c r="E61" s="273"/>
      <c r="F61" s="255" t="str">
        <f>_xlfn.CONCAT(_xlfn.XLOOKUP("[S02_CompetentAuthorityRoles][8][CAForInstallationTask]",Submission!$O:$O,Submission!$H:$N,""))</f>
        <v/>
      </c>
      <c r="G61" s="256"/>
      <c r="H61" s="255" t="str">
        <f>_xlfn.CONCAT(_xlfn.XLOOKUP("[S02_CompetentAuthorityRoles][8][CAForAviationTask]",Submission!$O:$O,Submission!$H:$N,""))</f>
        <v/>
      </c>
      <c r="I61" s="256"/>
    </row>
    <row r="62" spans="1:9" s="79" customFormat="1" ht="28.95" customHeight="1" x14ac:dyDescent="0.3">
      <c r="A62" s="78"/>
      <c r="C62" s="251" t="s">
        <v>693</v>
      </c>
      <c r="D62" s="272"/>
      <c r="E62" s="273"/>
      <c r="F62" s="255" t="str">
        <f>_xlfn.CONCAT(_xlfn.XLOOKUP("[S02_CompetentAuthorityRoles][9][CAForInstallationTask]",Submission!$O:$O,Submission!$H:$N,""))</f>
        <v/>
      </c>
      <c r="G62" s="256"/>
      <c r="H62" s="255" t="str">
        <f>_xlfn.CONCAT(_xlfn.XLOOKUP("[S02_CompetentAuthorityRoles][9][CAForAviationTask]",Submission!$O:$O,Submission!$H:$N,""))</f>
        <v/>
      </c>
      <c r="I62" s="256"/>
    </row>
    <row r="63" spans="1:9" s="79" customFormat="1" ht="28.95" customHeight="1" x14ac:dyDescent="0.3">
      <c r="A63" s="78"/>
      <c r="C63" s="251" t="s">
        <v>694</v>
      </c>
      <c r="D63" s="272"/>
      <c r="E63" s="273"/>
      <c r="F63" s="255" t="str">
        <f>_xlfn.CONCAT(_xlfn.XLOOKUP("[S02_CompetentAuthorityRoles][10][CAForInstallationTask]",Submission!$O:$O,Submission!$H:$N,""))</f>
        <v/>
      </c>
      <c r="G63" s="256"/>
      <c r="H63" s="255" t="str">
        <f>_xlfn.CONCAT(_xlfn.XLOOKUP("[S02_CompetentAuthorityRoles][10][CAForAviationTask]",Submission!$O:$O,Submission!$H:$N,""))</f>
        <v/>
      </c>
      <c r="I63" s="256"/>
    </row>
    <row r="64" spans="1:9" s="79" customFormat="1" ht="28.95" customHeight="1" x14ac:dyDescent="0.3">
      <c r="A64" s="78"/>
      <c r="C64" s="251" t="s">
        <v>46</v>
      </c>
      <c r="D64" s="272"/>
      <c r="E64" s="273"/>
      <c r="F64" s="255" t="str">
        <f>_xlfn.CONCAT(_xlfn.XLOOKUP("[S02_CompetentAuthorityRoles][11][CAForInstallationTask]",Submission!$O:$O,Submission!$H:$N,""))</f>
        <v/>
      </c>
      <c r="G64" s="256"/>
      <c r="H64" s="255" t="str">
        <f>_xlfn.CONCAT(_xlfn.XLOOKUP("[S02_CompetentAuthorityRoles][11][CAForAviationTask]",Submission!$O:$O,Submission!$H:$N,""))</f>
        <v/>
      </c>
      <c r="I64" s="256"/>
    </row>
    <row r="65" spans="1:9" s="79" customFormat="1" ht="28.95" customHeight="1" x14ac:dyDescent="0.3">
      <c r="A65" s="78"/>
      <c r="C65" s="251" t="s">
        <v>695</v>
      </c>
      <c r="D65" s="272"/>
      <c r="E65" s="273"/>
      <c r="F65" s="255" t="str">
        <f>_xlfn.CONCAT(_xlfn.XLOOKUP("[S02_CompetentAuthorityRoles][12][CAForInstallationTask]",Submission!$O:$O,Submission!$H:$N,""))</f>
        <v/>
      </c>
      <c r="G65" s="256"/>
      <c r="H65" s="261"/>
      <c r="I65" s="261"/>
    </row>
    <row r="66" spans="1:9" s="79" customFormat="1" ht="28.95" customHeight="1" x14ac:dyDescent="0.3">
      <c r="A66" s="78"/>
      <c r="C66" s="251" t="s">
        <v>696</v>
      </c>
      <c r="D66" s="272"/>
      <c r="E66" s="273"/>
      <c r="F66" s="255" t="str">
        <f>_xlfn.CONCAT(_xlfn.XLOOKUP("[S02_CompetentAuthorityRoles][13][CAForInstallationTask]",Submission!$O:$O,Submission!$H:$N,""))</f>
        <v/>
      </c>
      <c r="G66" s="256"/>
      <c r="H66" s="261"/>
      <c r="I66" s="261"/>
    </row>
    <row r="67" spans="1:9" s="79" customFormat="1" ht="28.95" customHeight="1" x14ac:dyDescent="0.3">
      <c r="A67" s="78"/>
      <c r="C67" s="80" t="s">
        <v>697</v>
      </c>
      <c r="D67" s="254" t="str">
        <f>_xlfn.CONCAT(_xlfn.XLOOKUP("[S02_CompetentAuthorityRoles][14][OtherDescription]",Submission!$O:$O,Submission!$H:$N,""))</f>
        <v/>
      </c>
      <c r="E67" s="254"/>
      <c r="F67" s="255" t="str">
        <f>_xlfn.CONCAT(_xlfn.XLOOKUP("[S02_CompetentAuthorityRoles][14][CAForInstallationTask]",Submission!$O:$O,Submission!$H:$N,""))</f>
        <v/>
      </c>
      <c r="G67" s="256"/>
      <c r="H67" s="255" t="str">
        <f>_xlfn.CONCAT(_xlfn.XLOOKUP("[S02_CompetentAuthorityRoles][14][CAForAviationTask]",Submission!$O:$O,Submission!$H:$N,""))</f>
        <v/>
      </c>
      <c r="I67" s="256"/>
    </row>
    <row r="68" spans="1:9" s="79" customFormat="1" ht="28.95" hidden="1" customHeight="1" outlineLevel="1" x14ac:dyDescent="0.3">
      <c r="A68" s="78"/>
      <c r="C68" s="80" t="s">
        <v>697</v>
      </c>
      <c r="D68" s="254" t="str">
        <f>_xlfn.CONCAT(_xlfn.XLOOKUP("[S02_CompetentAuthorityRoles][15][OtherDescription]",Submission!$O:$O,Submission!$H:$N,""))</f>
        <v/>
      </c>
      <c r="E68" s="254"/>
      <c r="F68" s="255" t="str">
        <f>_xlfn.CONCAT(_xlfn.XLOOKUP("[S02_CompetentAuthorityRoles][15][CAForInstallationTask]",Submission!$O:$O,Submission!$H:$N,""))</f>
        <v/>
      </c>
      <c r="G68" s="256"/>
      <c r="H68" s="255" t="str">
        <f>_xlfn.CONCAT(_xlfn.XLOOKUP("[S02_CompetentAuthorityRoles][15][CAForAviationTask]",Submission!$O:$O,Submission!$H:$N,""))</f>
        <v/>
      </c>
      <c r="I68" s="256"/>
    </row>
    <row r="69" spans="1:9" s="79" customFormat="1" ht="28.95" hidden="1" customHeight="1" outlineLevel="1" x14ac:dyDescent="0.3">
      <c r="A69" s="78"/>
      <c r="C69" s="80" t="s">
        <v>697</v>
      </c>
      <c r="D69" s="254" t="str">
        <f>_xlfn.CONCAT(_xlfn.XLOOKUP("[S02_CompetentAuthorityRoles][16][OtherDescription]",Submission!$O:$O,Submission!$H:$N,""))</f>
        <v/>
      </c>
      <c r="E69" s="254"/>
      <c r="F69" s="255" t="str">
        <f>_xlfn.CONCAT(_xlfn.XLOOKUP("[S02_CompetentAuthorityRoles][16][CAForInstallationTask]",Submission!$O:$O,Submission!$H:$N,""))</f>
        <v/>
      </c>
      <c r="G69" s="256"/>
      <c r="H69" s="255" t="str">
        <f>_xlfn.CONCAT(_xlfn.XLOOKUP("[S02_CompetentAuthorityRoles][16][CAForAviationTask]",Submission!$O:$O,Submission!$H:$N,""))</f>
        <v/>
      </c>
      <c r="I69" s="256"/>
    </row>
    <row r="70" spans="1:9" s="79" customFormat="1" ht="28.95" hidden="1" customHeight="1" outlineLevel="1" x14ac:dyDescent="0.3">
      <c r="A70" s="78"/>
      <c r="C70" s="80" t="s">
        <v>697</v>
      </c>
      <c r="D70" s="254" t="str">
        <f>_xlfn.CONCAT(_xlfn.XLOOKUP("[S02_CompetentAuthorityRoles][17][OtherDescription]",Submission!$O:$O,Submission!$H:$N,""))</f>
        <v/>
      </c>
      <c r="E70" s="254"/>
      <c r="F70" s="255" t="str">
        <f>_xlfn.CONCAT(_xlfn.XLOOKUP("[S02_CompetentAuthorityRoles][17][CAForInstallationTask]",Submission!$O:$O,Submission!$H:$N,""))</f>
        <v/>
      </c>
      <c r="G70" s="256"/>
      <c r="H70" s="255" t="str">
        <f>_xlfn.CONCAT(_xlfn.XLOOKUP("[S02_CompetentAuthorityRoles][17][CAForAviationTask]",Submission!$O:$O,Submission!$H:$N,""))</f>
        <v/>
      </c>
      <c r="I70" s="256"/>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62" t="s">
        <v>698</v>
      </c>
      <c r="D72" s="263"/>
      <c r="E72" s="263"/>
      <c r="F72" s="263"/>
      <c r="G72" s="263"/>
      <c r="H72" s="263"/>
      <c r="I72" s="263"/>
    </row>
    <row r="73" spans="1:9" s="79" customFormat="1" ht="29.25" customHeight="1" x14ac:dyDescent="0.3">
      <c r="A73" s="78"/>
      <c r="B73" s="73"/>
      <c r="C73" s="262" t="s">
        <v>699</v>
      </c>
      <c r="D73" s="263"/>
      <c r="E73" s="263"/>
      <c r="F73" s="263"/>
      <c r="G73" s="263"/>
      <c r="H73" s="263"/>
      <c r="I73" s="263"/>
    </row>
    <row r="74" spans="1:9" s="79" customFormat="1" ht="29.25" customHeight="1" x14ac:dyDescent="0.3">
      <c r="A74" s="78"/>
      <c r="B74" s="73"/>
      <c r="C74" s="262" t="s">
        <v>700</v>
      </c>
      <c r="D74" s="263"/>
      <c r="E74" s="263"/>
      <c r="F74" s="263"/>
      <c r="G74" s="263"/>
      <c r="H74" s="263"/>
      <c r="I74" s="263"/>
    </row>
    <row r="75" spans="1:9" s="79" customFormat="1" ht="29.25" customHeight="1" x14ac:dyDescent="0.3">
      <c r="A75" s="78"/>
      <c r="B75" s="73"/>
      <c r="C75" s="262" t="s">
        <v>701</v>
      </c>
      <c r="D75" s="263"/>
      <c r="E75" s="263"/>
      <c r="F75" s="263"/>
      <c r="G75" s="263"/>
      <c r="H75" s="263"/>
      <c r="I75" s="263"/>
    </row>
    <row r="76" spans="1:9" s="79" customFormat="1" ht="17.25" customHeight="1" x14ac:dyDescent="0.3">
      <c r="A76" s="78"/>
      <c r="C76" s="262" t="s">
        <v>702</v>
      </c>
      <c r="D76" s="263"/>
      <c r="E76" s="263"/>
      <c r="F76" s="263"/>
      <c r="G76" s="263"/>
      <c r="H76" s="263"/>
      <c r="I76" s="263"/>
    </row>
    <row r="77" spans="1:9" s="79" customFormat="1" ht="17.25" customHeight="1" x14ac:dyDescent="0.3">
      <c r="A77" s="78"/>
      <c r="C77" s="262" t="s">
        <v>703</v>
      </c>
      <c r="D77" s="263"/>
      <c r="E77" s="263"/>
      <c r="F77" s="263"/>
      <c r="G77" s="263"/>
      <c r="H77" s="263"/>
      <c r="I77" s="263"/>
    </row>
    <row r="78" spans="1:9" s="79" customFormat="1" ht="12.9" customHeight="1" x14ac:dyDescent="0.3">
      <c r="A78" s="78"/>
    </row>
    <row r="79" spans="1:9" s="79" customFormat="1" ht="37.200000000000003" customHeight="1" x14ac:dyDescent="0.3">
      <c r="A79" s="57" t="s">
        <v>48</v>
      </c>
      <c r="B79" s="264" t="s">
        <v>704</v>
      </c>
      <c r="C79" s="265"/>
      <c r="D79" s="265"/>
      <c r="E79" s="265"/>
      <c r="F79" s="265"/>
      <c r="G79" s="265"/>
      <c r="H79" s="265"/>
      <c r="I79" s="265"/>
    </row>
    <row r="80" spans="1:9" s="79" customFormat="1" ht="28.95" customHeight="1" x14ac:dyDescent="0.3">
      <c r="A80" s="57"/>
      <c r="B80" s="65"/>
      <c r="C80" s="262" t="s">
        <v>705</v>
      </c>
      <c r="D80" s="263"/>
      <c r="E80" s="263"/>
      <c r="F80" s="263"/>
      <c r="G80" s="263"/>
      <c r="H80" s="263"/>
      <c r="I80" s="263"/>
    </row>
    <row r="81" spans="1:9" s="79" customFormat="1" ht="27" customHeight="1" x14ac:dyDescent="0.3">
      <c r="C81" s="269" t="s">
        <v>706</v>
      </c>
      <c r="D81" s="270"/>
      <c r="E81" s="270"/>
      <c r="F81" s="271"/>
      <c r="G81" s="266" t="s">
        <v>663</v>
      </c>
      <c r="H81" s="267"/>
      <c r="I81" s="268"/>
    </row>
    <row r="82" spans="1:9" s="79" customFormat="1" ht="12.9" customHeight="1" x14ac:dyDescent="0.3">
      <c r="A82" s="78"/>
      <c r="C82" s="254" t="str">
        <f>_xlfn.CONCAT(_xlfn.XLOOKUP("[S02_CAFocalPoint][0][CAArt70]",Submission!$O:$O,Submission!$H:$N,""))</f>
        <v>Latvijas Nacionālais akreditācijas birojs</v>
      </c>
      <c r="D82" s="254"/>
      <c r="E82" s="254"/>
      <c r="F82" s="254"/>
      <c r="G82" s="254" t="str">
        <f>_xlfn.CONCAT(_xlfn.XLOOKUP("[S02_CAFocalPoint][0][CAArt70Abbrev]",Submission!$O:$O,Submission!$H:$N,""))</f>
        <v>LATAK</v>
      </c>
      <c r="H82" s="254"/>
      <c r="I82" s="254"/>
    </row>
    <row r="83" spans="1:9" s="79" customFormat="1" ht="12.9" customHeight="1" x14ac:dyDescent="0.3">
      <c r="A83" s="78"/>
    </row>
    <row r="84" spans="1:9" s="79" customFormat="1" ht="34.950000000000003" customHeight="1" x14ac:dyDescent="0.3">
      <c r="A84" s="78"/>
      <c r="B84" s="264" t="s">
        <v>707</v>
      </c>
      <c r="C84" s="265"/>
      <c r="D84" s="265"/>
      <c r="E84" s="265"/>
      <c r="F84" s="265"/>
      <c r="G84" s="265"/>
      <c r="H84" s="265"/>
      <c r="I84" s="265"/>
    </row>
    <row r="85" spans="1:9" s="79" customFormat="1" ht="15" customHeight="1" x14ac:dyDescent="0.3">
      <c r="A85" s="78"/>
      <c r="C85" s="269" t="s">
        <v>708</v>
      </c>
      <c r="D85" s="270"/>
      <c r="E85" s="270"/>
      <c r="F85" s="271"/>
      <c r="G85" s="67" t="s">
        <v>709</v>
      </c>
      <c r="H85" s="269" t="s">
        <v>710</v>
      </c>
      <c r="I85" s="271"/>
    </row>
    <row r="86" spans="1:9" s="79" customFormat="1" ht="24.6" customHeight="1" x14ac:dyDescent="0.3">
      <c r="A86" s="78"/>
      <c r="C86" s="249" t="s">
        <v>711</v>
      </c>
      <c r="D86" s="272"/>
      <c r="E86" s="272"/>
      <c r="F86" s="273"/>
      <c r="G86" s="64" t="str">
        <f>_xlfn.CONCAT(_xlfn.XLOOKUP("[S02_CompetentAuthorityCoordination][1][CACoordinationYesNo]",Submission!$O:$O,Submission!$H:$N,""))</f>
        <v/>
      </c>
      <c r="H86" s="258" t="str">
        <f>_xlfn.CONCAT(_xlfn.XLOOKUP("[S02_CompetentAuthorityCoordination][1][CACoordinationComment]",Submission!$O:$O,Submission!$H:$N,""))</f>
        <v/>
      </c>
      <c r="I86" s="260"/>
    </row>
    <row r="87" spans="1:9" s="79" customFormat="1" ht="23.4" customHeight="1" x14ac:dyDescent="0.3">
      <c r="A87" s="78"/>
      <c r="C87" s="249" t="s">
        <v>712</v>
      </c>
      <c r="D87" s="272"/>
      <c r="E87" s="272"/>
      <c r="F87" s="273"/>
      <c r="G87" s="64" t="str">
        <f>_xlfn.CONCAT(_xlfn.XLOOKUP("[S02_CompetentAuthorityCoordination][2][CACoordinationYesNo]",Submission!$O:$O,Submission!$H:$N,""))</f>
        <v/>
      </c>
      <c r="H87" s="258" t="str">
        <f>_xlfn.CONCAT(_xlfn.XLOOKUP("[S02_CompetentAuthorityCoordination][2][CACoordinationComment]",Submission!$O:$O,Submission!$H:$N,""))</f>
        <v/>
      </c>
      <c r="I87" s="260"/>
    </row>
    <row r="88" spans="1:9" s="79" customFormat="1" ht="23.4" customHeight="1" x14ac:dyDescent="0.3">
      <c r="A88" s="78"/>
      <c r="C88" s="249" t="s">
        <v>713</v>
      </c>
      <c r="D88" s="272"/>
      <c r="E88" s="272"/>
      <c r="F88" s="273"/>
      <c r="G88" s="64" t="str">
        <f>_xlfn.CONCAT(_xlfn.XLOOKUP("[S02_CompetentAuthorityCoordination][3][CACoordinationYesNo]",Submission!$O:$O,Submission!$H:$N,""))</f>
        <v/>
      </c>
      <c r="H88" s="258" t="str">
        <f>_xlfn.CONCAT(_xlfn.XLOOKUP("[S02_CompetentAuthorityCoordination][3][CACoordinationComment]",Submission!$O:$O,Submission!$H:$N,""))</f>
        <v/>
      </c>
      <c r="I88" s="260"/>
    </row>
    <row r="89" spans="1:9" s="79" customFormat="1" ht="23.4" customHeight="1" x14ac:dyDescent="0.3">
      <c r="A89" s="78"/>
      <c r="C89" s="249" t="s">
        <v>60</v>
      </c>
      <c r="D89" s="272"/>
      <c r="E89" s="272"/>
      <c r="F89" s="273"/>
      <c r="G89" s="64" t="str">
        <f>_xlfn.CONCAT(_xlfn.XLOOKUP("[S02_CompetentAuthorityCoordination][4][CACoordinationYesNo]",Submission!$O:$O,Submission!$H:$N,""))</f>
        <v/>
      </c>
      <c r="H89" s="258" t="str">
        <f>_xlfn.CONCAT(_xlfn.XLOOKUP("[S02_CompetentAuthorityCoordination][4][CACoordinationComment]",Submission!$O:$O,Submission!$H:$N,""))</f>
        <v/>
      </c>
      <c r="I89" s="260"/>
    </row>
    <row r="90" spans="1:9" s="79" customFormat="1" ht="23.4" customHeight="1" x14ac:dyDescent="0.3">
      <c r="A90" s="78"/>
      <c r="C90" s="249" t="s">
        <v>714</v>
      </c>
      <c r="D90" s="272"/>
      <c r="E90" s="272"/>
      <c r="F90" s="273"/>
      <c r="G90" s="64" t="str">
        <f>_xlfn.CONCAT(_xlfn.XLOOKUP("[S02_CompetentAuthorityCoordination][5][CACoordinationYesNo]",Submission!$O:$O,Submission!$H:$N,""))</f>
        <v/>
      </c>
      <c r="H90" s="258" t="str">
        <f>_xlfn.CONCAT(_xlfn.XLOOKUP("[S02_CompetentAuthorityCoordination][5][CACoordinationComment]",Submission!$O:$O,Submission!$H:$N,""))</f>
        <v/>
      </c>
      <c r="I90" s="260"/>
    </row>
    <row r="91" spans="1:9" s="79" customFormat="1" ht="24.6" customHeight="1" x14ac:dyDescent="0.3">
      <c r="A91" s="78"/>
      <c r="C91" s="249" t="s">
        <v>715</v>
      </c>
      <c r="D91" s="272"/>
      <c r="E91" s="272"/>
      <c r="F91" s="273"/>
      <c r="G91" s="64" t="str">
        <f>_xlfn.CONCAT(_xlfn.XLOOKUP("[S02_CompetentAuthorityCoordination][6][CACoordinationYesNo]",Submission!$O:$O,Submission!$H:$N,""))</f>
        <v/>
      </c>
      <c r="H91" s="258" t="str">
        <f>_xlfn.CONCAT(_xlfn.XLOOKUP("[S02_CompetentAuthorityCoordination][6][CACoordinationComment]",Submission!$O:$O,Submission!$H:$N,""))</f>
        <v/>
      </c>
      <c r="I91" s="260"/>
    </row>
    <row r="92" spans="1:9" s="79" customFormat="1" ht="23.4" customHeight="1" x14ac:dyDescent="0.3">
      <c r="A92" s="78"/>
      <c r="C92" s="249" t="s">
        <v>716</v>
      </c>
      <c r="D92" s="257"/>
      <c r="E92" s="250"/>
      <c r="F92" s="258" t="str">
        <f>_xlfn.CONCAT(_xlfn.XLOOKUP("[S02_CompetentAuthorityCoordination][7][OtherDescription]",Submission!$O:$O,Submission!$H:$N,""))</f>
        <v/>
      </c>
      <c r="G92" s="259"/>
      <c r="H92" s="258" t="str">
        <f>_xlfn.CONCAT(_xlfn.XLOOKUP("[S02_CompetentAuthorityCoordination][7][CACoordinationComment]",Submission!$O:$O,Submission!$H:$N,""))</f>
        <v/>
      </c>
      <c r="I92" s="260"/>
    </row>
    <row r="93" spans="1:9" s="79" customFormat="1" ht="23.4" hidden="1" customHeight="1" outlineLevel="1" x14ac:dyDescent="0.3">
      <c r="A93" s="78"/>
      <c r="C93" s="249" t="s">
        <v>716</v>
      </c>
      <c r="D93" s="257"/>
      <c r="E93" s="250"/>
      <c r="F93" s="258" t="str">
        <f>_xlfn.CONCAT(_xlfn.XLOOKUP("[S02_CompetentAuthorityCoordination][8][OtherDescription]",Submission!$O:$O,Submission!$H:$N,""))</f>
        <v/>
      </c>
      <c r="G93" s="259"/>
      <c r="H93" s="258" t="str">
        <f>_xlfn.CONCAT(_xlfn.XLOOKUP("[S02_CompetentAuthorityCoordination][8][CACoordinationComment]",Submission!$O:$O,Submission!$H:$N,""))</f>
        <v/>
      </c>
      <c r="I93" s="260"/>
    </row>
    <row r="94" spans="1:9" s="79" customFormat="1" ht="23.4" hidden="1" customHeight="1" outlineLevel="1" x14ac:dyDescent="0.3">
      <c r="A94" s="78"/>
      <c r="C94" s="249" t="s">
        <v>716</v>
      </c>
      <c r="D94" s="257"/>
      <c r="E94" s="250"/>
      <c r="F94" s="258" t="str">
        <f>_xlfn.CONCAT(_xlfn.XLOOKUP("[S02_CompetentAuthorityCoordination][9][OtherDescription]",Submission!$O:$O,Submission!$H:$N,""))</f>
        <v/>
      </c>
      <c r="G94" s="259"/>
      <c r="H94" s="258" t="str">
        <f>_xlfn.CONCAT(_xlfn.XLOOKUP("[S02_CompetentAuthorityCoordination][9][CACoordinationComment]",Submission!$O:$O,Submission!$H:$N,""))</f>
        <v/>
      </c>
      <c r="I94" s="260"/>
    </row>
    <row r="95" spans="1:9" s="79" customFormat="1" ht="23.4" hidden="1" customHeight="1" outlineLevel="1" x14ac:dyDescent="0.3">
      <c r="A95" s="78"/>
      <c r="C95" s="249" t="s">
        <v>716</v>
      </c>
      <c r="D95" s="257"/>
      <c r="E95" s="250"/>
      <c r="F95" s="258" t="str">
        <f>_xlfn.CONCAT(_xlfn.XLOOKUP("[S02_CompetentAuthorityCoordination][10][OtherDescription]",Submission!$O:$O,Submission!$H:$N,""))</f>
        <v/>
      </c>
      <c r="G95" s="259"/>
      <c r="H95" s="258" t="str">
        <f>_xlfn.CONCAT(_xlfn.XLOOKUP("[S02_CompetentAuthorityCoordination][10][CACoordinationComment]",Submission!$O:$O,Submission!$H:$N,""))</f>
        <v/>
      </c>
      <c r="I95" s="260"/>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5" t="s">
        <v>717</v>
      </c>
      <c r="C98" s="276"/>
      <c r="D98" s="276"/>
      <c r="E98" s="276"/>
      <c r="F98" s="276"/>
      <c r="G98" s="276"/>
      <c r="H98" s="276"/>
      <c r="I98" s="276"/>
    </row>
    <row r="99" spans="1:9" s="79" customFormat="1" ht="15" customHeight="1" x14ac:dyDescent="0.3">
      <c r="A99" s="78"/>
      <c r="C99" s="269" t="s">
        <v>718</v>
      </c>
      <c r="D99" s="270"/>
      <c r="E99" s="270"/>
      <c r="F99" s="271"/>
      <c r="G99" s="67" t="s">
        <v>709</v>
      </c>
      <c r="H99" s="269" t="s">
        <v>710</v>
      </c>
      <c r="I99" s="271"/>
    </row>
    <row r="100" spans="1:9" s="79" customFormat="1" ht="27.6" customHeight="1" x14ac:dyDescent="0.3">
      <c r="A100" s="78"/>
      <c r="C100" s="249" t="s">
        <v>719</v>
      </c>
      <c r="D100" s="257"/>
      <c r="E100" s="257"/>
      <c r="F100" s="250"/>
      <c r="G100" s="64" t="str">
        <f>_xlfn.CONCAT(_xlfn.XLOOKUP("[S02_InformationExchangeAccBodyAndCA][1][InfoExchangeYesNo]",Submission!$O:$O,Submission!$H:$N,""))</f>
        <v>No</v>
      </c>
      <c r="H100" s="274" t="str">
        <f>_xlfn.CONCAT(_xlfn.XLOOKUP("[S02_InformationExchangeAccBodyAndCA][1][InfoExchangeComment]",Submission!$O:$O,Submission!$H:$N,""))</f>
        <v>The cooperation is mainly to solve particular issues, to agree on scope formulations, seminars regarding the new reporting periods, information exchange</v>
      </c>
      <c r="I100" s="259"/>
    </row>
    <row r="101" spans="1:9" s="79" customFormat="1" ht="27.6" customHeight="1" x14ac:dyDescent="0.3">
      <c r="A101" s="78"/>
      <c r="C101" s="249" t="s">
        <v>720</v>
      </c>
      <c r="D101" s="257"/>
      <c r="E101" s="257"/>
      <c r="F101" s="250"/>
      <c r="G101" s="64" t="str">
        <f>_xlfn.CONCAT(_xlfn.XLOOKUP("[S02_InformationExchangeAccBodyAndCA][2][InfoExchangeYesNo]",Submission!$O:$O,Submission!$H:$N,""))</f>
        <v>No</v>
      </c>
      <c r="H101" s="274" t="str">
        <f>_xlfn.CONCAT(_xlfn.XLOOKUP("[S02_InformationExchangeAccBodyAndCA][2][InfoExchangeComment]",Submission!$O:$O,Submission!$H:$N,""))</f>
        <v>Nacionālā līmenī tika organizēti kopēji semināri, bet kā organizators bija VARAM.</v>
      </c>
      <c r="I101" s="259"/>
    </row>
    <row r="102" spans="1:9" s="79" customFormat="1" ht="27.6" customHeight="1" x14ac:dyDescent="0.3">
      <c r="A102" s="78"/>
      <c r="C102" s="249" t="s">
        <v>721</v>
      </c>
      <c r="D102" s="257"/>
      <c r="E102" s="257"/>
      <c r="F102" s="250"/>
      <c r="G102" s="64" t="str">
        <f>_xlfn.CONCAT(_xlfn.XLOOKUP("[S02_InformationExchangeAccBodyAndCA][3][InfoExchangeYesNo]",Submission!$O:$O,Submission!$H:$N,""))</f>
        <v>Yes</v>
      </c>
      <c r="H102" s="274" t="str">
        <f>_xlfn.CONCAT(_xlfn.XLOOKUP("[S02_InformationExchangeAccBodyAndCA][3][InfoExchangeComment]",Submission!$O:$O,Submission!$H:$N,""))</f>
        <v>Also as a experts in national legislation and as observers</v>
      </c>
      <c r="I102" s="259"/>
    </row>
    <row r="103" spans="1:9" s="79" customFormat="1" ht="27.6" customHeight="1" x14ac:dyDescent="0.3">
      <c r="A103" s="78"/>
      <c r="C103" s="249" t="s">
        <v>716</v>
      </c>
      <c r="D103" s="257"/>
      <c r="E103" s="250"/>
      <c r="F103" s="258" t="str">
        <f>_xlfn.CONCAT(_xlfn.XLOOKUP("[S02_InformationExchangeAccBodyAndCA][4][OtherDescription]",Submission!$O:$O,Submission!$H:$N,""))</f>
        <v/>
      </c>
      <c r="G103" s="259"/>
      <c r="H103" s="274" t="str">
        <f>_xlfn.CONCAT(_xlfn.XLOOKUP("[S02_InformationExchangeAccBodyAndCA][4][InfoExchangeComment]",Submission!$O:$O,Submission!$H:$N,""))</f>
        <v/>
      </c>
      <c r="I103" s="259"/>
    </row>
    <row r="104" spans="1:9" s="79" customFormat="1" ht="27.6" hidden="1" customHeight="1" outlineLevel="1" x14ac:dyDescent="0.3">
      <c r="A104" s="78"/>
      <c r="C104" s="249" t="s">
        <v>716</v>
      </c>
      <c r="D104" s="257"/>
      <c r="E104" s="250"/>
      <c r="F104" s="258" t="str">
        <f>_xlfn.CONCAT(_xlfn.XLOOKUP("[S02_InformationExchangeAccBodyAndCA][5][OtherDescription]",Submission!$O:$O,Submission!$H:$N,""))</f>
        <v/>
      </c>
      <c r="G104" s="259"/>
      <c r="H104" s="274" t="str">
        <f>_xlfn.CONCAT(_xlfn.XLOOKUP("[S02_InformationExchangeAccBodyAndCA][5][InfoExchangeComment]",Submission!$O:$O,Submission!$H:$N,""))</f>
        <v/>
      </c>
      <c r="I104" s="259"/>
    </row>
    <row r="105" spans="1:9" s="79" customFormat="1" ht="27.6" hidden="1" customHeight="1" outlineLevel="1" x14ac:dyDescent="0.3">
      <c r="A105" s="78"/>
      <c r="C105" s="249" t="s">
        <v>716</v>
      </c>
      <c r="D105" s="257"/>
      <c r="E105" s="250"/>
      <c r="F105" s="258" t="str">
        <f>_xlfn.CONCAT(_xlfn.XLOOKUP("[S02_InformationExchangeAccBodyAndCA][6][OtherDescription]",Submission!$O:$O,Submission!$H:$N,""))</f>
        <v/>
      </c>
      <c r="G105" s="259"/>
      <c r="H105" s="274" t="str">
        <f>_xlfn.CONCAT(_xlfn.XLOOKUP("[S02_InformationExchangeAccBodyAndCA][6][InfoExchangeComment]",Submission!$O:$O,Submission!$H:$N,""))</f>
        <v/>
      </c>
      <c r="I105" s="259"/>
    </row>
    <row r="106" spans="1:9" s="79" customFormat="1" ht="27.6" hidden="1" customHeight="1" outlineLevel="1" x14ac:dyDescent="0.3">
      <c r="A106" s="78"/>
      <c r="C106" s="249" t="s">
        <v>716</v>
      </c>
      <c r="D106" s="257"/>
      <c r="E106" s="250"/>
      <c r="F106" s="258" t="str">
        <f>_xlfn.CONCAT(_xlfn.XLOOKUP("[S02_InformationExchangeAccBodyAndCA][7][OtherDescription]",Submission!$O:$O,Submission!$H:$N,""))</f>
        <v/>
      </c>
      <c r="G106" s="259"/>
      <c r="H106" s="274" t="str">
        <f>_xlfn.CONCAT(_xlfn.XLOOKUP("[S02_InformationExchangeAccBodyAndCA][7][InfoExchangeComment]",Submission!$O:$O,Submission!$H:$N,""))</f>
        <v/>
      </c>
      <c r="I106" s="259"/>
    </row>
    <row r="107" spans="1:9" s="79" customFormat="1" ht="15.9" customHeight="1" collapsed="1" x14ac:dyDescent="0.3">
      <c r="A107" s="78"/>
      <c r="B107" s="120" t="s">
        <v>2</v>
      </c>
    </row>
    <row r="108" spans="1:9" s="79" customFormat="1" x14ac:dyDescent="0.3">
      <c r="A108" s="78"/>
    </row>
  </sheetData>
  <mergeCells count="142">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B42:I42"/>
    <mergeCell ref="B41:H41"/>
    <mergeCell ref="C43:I43"/>
    <mergeCell ref="H57:I57"/>
    <mergeCell ref="H58:I58"/>
    <mergeCell ref="H59:I59"/>
    <mergeCell ref="F60:G60"/>
    <mergeCell ref="C52:I52"/>
    <mergeCell ref="F58:G58"/>
    <mergeCell ref="F53:G53"/>
    <mergeCell ref="F57:G57"/>
    <mergeCell ref="F59:G59"/>
    <mergeCell ref="B47:I47"/>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D68:E68"/>
    <mergeCell ref="F68:G68"/>
    <mergeCell ref="H68:I68"/>
    <mergeCell ref="C94:E94"/>
    <mergeCell ref="F94:G94"/>
    <mergeCell ref="H94:I94"/>
    <mergeCell ref="C93:E93"/>
    <mergeCell ref="F93:G93"/>
    <mergeCell ref="H93:I93"/>
    <mergeCell ref="C92:E92"/>
    <mergeCell ref="F92:G92"/>
    <mergeCell ref="H92:I92"/>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09" t="s">
        <v>722</v>
      </c>
      <c r="C3" s="309"/>
      <c r="D3" s="309"/>
      <c r="E3" s="309"/>
      <c r="F3" s="309"/>
      <c r="G3" s="309"/>
      <c r="H3" s="309"/>
      <c r="I3" s="309"/>
    </row>
    <row r="4" spans="1:9" s="7" customFormat="1" ht="18.899999999999999" customHeight="1" x14ac:dyDescent="0.35">
      <c r="A4" s="48" t="s">
        <v>723</v>
      </c>
      <c r="B4" s="310" t="s">
        <v>74</v>
      </c>
      <c r="C4" s="310"/>
      <c r="D4" s="310"/>
      <c r="E4" s="310"/>
      <c r="F4" s="310"/>
      <c r="G4" s="310"/>
      <c r="H4" s="310"/>
      <c r="I4" s="311"/>
    </row>
    <row r="5" spans="1:9" s="7" customFormat="1" ht="51" customHeight="1" x14ac:dyDescent="0.3">
      <c r="A5" s="12" t="s">
        <v>75</v>
      </c>
      <c r="B5" s="312" t="s">
        <v>724</v>
      </c>
      <c r="C5" s="313"/>
      <c r="D5" s="313"/>
      <c r="E5" s="313"/>
      <c r="F5" s="313"/>
      <c r="G5" s="313"/>
      <c r="H5" s="313"/>
      <c r="I5" s="313"/>
    </row>
    <row r="6" spans="1:9" s="7" customFormat="1" ht="12.6" customHeight="1" x14ac:dyDescent="0.3">
      <c r="A6" s="8"/>
      <c r="C6" s="314" t="s">
        <v>725</v>
      </c>
      <c r="D6" s="315"/>
      <c r="E6" s="315"/>
      <c r="F6" s="316"/>
      <c r="G6" s="314" t="s">
        <v>726</v>
      </c>
      <c r="H6" s="315"/>
      <c r="I6" s="316"/>
    </row>
    <row r="7" spans="1:9" s="7" customFormat="1" ht="15" customHeight="1" x14ac:dyDescent="0.3">
      <c r="A7" s="8"/>
      <c r="C7" s="301" t="s">
        <v>76</v>
      </c>
      <c r="D7" s="302"/>
      <c r="E7" s="302"/>
      <c r="F7" s="303"/>
      <c r="G7" s="304" t="str">
        <f>_xlfn.CONCAT(_xlfn.XLOOKUP("[S03_EmittingInstallations][1][NumberOfInstallations]",Submission!$O:$O,Submission!$H:$N,""))</f>
        <v>57</v>
      </c>
      <c r="H7" s="305"/>
      <c r="I7" s="306"/>
    </row>
    <row r="8" spans="1:9" s="7" customFormat="1" ht="15" customHeight="1" x14ac:dyDescent="0.3">
      <c r="A8" s="8"/>
      <c r="C8" s="301" t="s">
        <v>727</v>
      </c>
      <c r="D8" s="302"/>
      <c r="E8" s="302"/>
      <c r="F8" s="303"/>
      <c r="G8" s="304" t="str">
        <f>_xlfn.CONCAT(_xlfn.XLOOKUP("[S03_EmittingInstallations][2][NumberOfInstallations]",Submission!$O:$O,Submission!$H:$N,""))</f>
        <v>54</v>
      </c>
      <c r="H8" s="305"/>
      <c r="I8" s="306"/>
    </row>
    <row r="9" spans="1:9" s="7" customFormat="1" ht="15" customHeight="1" x14ac:dyDescent="0.3">
      <c r="A9" s="8"/>
      <c r="C9" s="301" t="s">
        <v>728</v>
      </c>
      <c r="D9" s="302"/>
      <c r="E9" s="302"/>
      <c r="F9" s="303"/>
      <c r="G9" s="304" t="str">
        <f>_xlfn.CONCAT(_xlfn.XLOOKUP("[S03_EmittingInstallations][3][NumberOfInstallations]",Submission!$O:$O,Submission!$H:$N,""))</f>
        <v>1</v>
      </c>
      <c r="H9" s="305"/>
      <c r="I9" s="306"/>
    </row>
    <row r="10" spans="1:9" s="7" customFormat="1" ht="15" customHeight="1" x14ac:dyDescent="0.3">
      <c r="A10" s="8"/>
      <c r="C10" s="301" t="s">
        <v>729</v>
      </c>
      <c r="D10" s="302"/>
      <c r="E10" s="302"/>
      <c r="F10" s="303"/>
      <c r="G10" s="304" t="str">
        <f>_xlfn.CONCAT(_xlfn.XLOOKUP("[S03_EmittingInstallations][4][NumberOfInstallations]",Submission!$O:$O,Submission!$H:$N,""))</f>
        <v>2</v>
      </c>
      <c r="H10" s="305"/>
      <c r="I10" s="306"/>
    </row>
    <row r="11" spans="1:9" s="7" customFormat="1" ht="15" customHeight="1" x14ac:dyDescent="0.3">
      <c r="A11" s="8"/>
      <c r="C11" s="301" t="s">
        <v>730</v>
      </c>
      <c r="D11" s="302"/>
      <c r="E11" s="302"/>
      <c r="F11" s="303"/>
      <c r="G11" s="304" t="str">
        <f>_xlfn.CONCAT(_xlfn.XLOOKUP("[S03_EmittingInstallations][5][NumberOfInstallations]",Submission!$O:$O,Submission!$H:$N,""))</f>
        <v>48</v>
      </c>
      <c r="H11" s="305"/>
      <c r="I11" s="306"/>
    </row>
    <row r="12" spans="1:9" s="11" customFormat="1" ht="14.4" x14ac:dyDescent="0.3"/>
    <row r="13" spans="1:9" s="7" customFormat="1" ht="20.399999999999999" customHeight="1" x14ac:dyDescent="0.3">
      <c r="A13" s="12"/>
      <c r="B13" s="307" t="s">
        <v>731</v>
      </c>
      <c r="C13" s="308"/>
      <c r="D13" s="308"/>
      <c r="E13" s="308"/>
      <c r="F13" s="308"/>
      <c r="G13" s="308"/>
      <c r="H13" s="308"/>
      <c r="I13" s="308"/>
    </row>
    <row r="14" spans="1:9" s="11" customFormat="1" ht="15" customHeight="1" x14ac:dyDescent="0.3">
      <c r="C14" s="319" t="s">
        <v>732</v>
      </c>
      <c r="D14" s="320"/>
      <c r="E14" s="320"/>
      <c r="F14" s="320"/>
      <c r="G14" s="321"/>
      <c r="H14" s="317" t="s">
        <v>709</v>
      </c>
      <c r="I14" s="318"/>
    </row>
    <row r="15" spans="1:9" s="11" customFormat="1" ht="14.4" x14ac:dyDescent="0.3">
      <c r="C15" s="296" t="s">
        <v>733</v>
      </c>
      <c r="D15" s="297"/>
      <c r="E15" s="297"/>
      <c r="F15" s="297"/>
      <c r="G15" s="298"/>
      <c r="H15" s="299" t="str">
        <f>_xlfn.CONCAT(_xlfn.XLOOKUP("[S03_ActivityPermits][1][ActivityPermitsIssued]",Submission!$O:$O,Submission!$H:$N,""))</f>
        <v>Yes</v>
      </c>
      <c r="I15" s="300"/>
    </row>
    <row r="16" spans="1:9" s="11" customFormat="1" ht="14.4" x14ac:dyDescent="0.3">
      <c r="C16" s="296" t="s">
        <v>734</v>
      </c>
      <c r="D16" s="297"/>
      <c r="E16" s="297"/>
      <c r="F16" s="297"/>
      <c r="G16" s="298"/>
      <c r="H16" s="299" t="str">
        <f>_xlfn.CONCAT(_xlfn.XLOOKUP("[S03_ActivityPermits][2][ActivityPermitsIssued]",Submission!$O:$O,Submission!$H:$N,""))</f>
        <v>No</v>
      </c>
      <c r="I16" s="300"/>
    </row>
    <row r="17" spans="3:9" s="11" customFormat="1" ht="14.4" x14ac:dyDescent="0.3">
      <c r="C17" s="296" t="s">
        <v>735</v>
      </c>
      <c r="D17" s="297"/>
      <c r="E17" s="297"/>
      <c r="F17" s="297"/>
      <c r="G17" s="298"/>
      <c r="H17" s="299" t="str">
        <f>_xlfn.CONCAT(_xlfn.XLOOKUP("[S03_ActivityPermits][3][ActivityPermitsIssued]",Submission!$O:$O,Submission!$H:$N,""))</f>
        <v>No</v>
      </c>
      <c r="I17" s="300"/>
    </row>
    <row r="18" spans="3:9" s="11" customFormat="1" ht="14.4" x14ac:dyDescent="0.3">
      <c r="C18" s="296" t="s">
        <v>736</v>
      </c>
      <c r="D18" s="297"/>
      <c r="E18" s="297"/>
      <c r="F18" s="297"/>
      <c r="G18" s="298"/>
      <c r="H18" s="299" t="str">
        <f>_xlfn.CONCAT(_xlfn.XLOOKUP("[S03_ActivityPermits][4][ActivityPermitsIssued]",Submission!$O:$O,Submission!$H:$N,""))</f>
        <v>No</v>
      </c>
      <c r="I18" s="300"/>
    </row>
    <row r="19" spans="3:9" s="11" customFormat="1" ht="14.4" x14ac:dyDescent="0.3">
      <c r="C19" s="296" t="s">
        <v>737</v>
      </c>
      <c r="D19" s="297"/>
      <c r="E19" s="297"/>
      <c r="F19" s="297"/>
      <c r="G19" s="298"/>
      <c r="H19" s="299" t="str">
        <f>_xlfn.CONCAT(_xlfn.XLOOKUP("[S03_ActivityPermits][5][ActivityPermitsIssued]",Submission!$O:$O,Submission!$H:$N,""))</f>
        <v>Yes</v>
      </c>
      <c r="I19" s="300"/>
    </row>
    <row r="20" spans="3:9" s="11" customFormat="1" ht="14.4" x14ac:dyDescent="0.3">
      <c r="C20" s="296" t="s">
        <v>738</v>
      </c>
      <c r="D20" s="297"/>
      <c r="E20" s="297"/>
      <c r="F20" s="297"/>
      <c r="G20" s="298"/>
      <c r="H20" s="299" t="str">
        <f>_xlfn.CONCAT(_xlfn.XLOOKUP("[S03_ActivityPermits][6][ActivityPermitsIssued]",Submission!$O:$O,Submission!$H:$N,""))</f>
        <v>Yes</v>
      </c>
      <c r="I20" s="300"/>
    </row>
    <row r="21" spans="3:9" s="11" customFormat="1" ht="14.4" x14ac:dyDescent="0.3">
      <c r="C21" s="296" t="s">
        <v>739</v>
      </c>
      <c r="D21" s="297"/>
      <c r="E21" s="297"/>
      <c r="F21" s="297"/>
      <c r="G21" s="298"/>
      <c r="H21" s="299" t="str">
        <f>_xlfn.CONCAT(_xlfn.XLOOKUP("[S03_ActivityPermits][7][ActivityPermitsIssued]",Submission!$O:$O,Submission!$H:$N,""))</f>
        <v>No</v>
      </c>
      <c r="I21" s="300"/>
    </row>
    <row r="22" spans="3:9" s="11" customFormat="1" ht="14.4" x14ac:dyDescent="0.3">
      <c r="C22" s="296" t="s">
        <v>740</v>
      </c>
      <c r="D22" s="297"/>
      <c r="E22" s="297"/>
      <c r="F22" s="297"/>
      <c r="G22" s="298"/>
      <c r="H22" s="299" t="str">
        <f>_xlfn.CONCAT(_xlfn.XLOOKUP("[S03_ActivityPermits][8][ActivityPermitsIssued]",Submission!$O:$O,Submission!$H:$N,""))</f>
        <v>No</v>
      </c>
      <c r="I22" s="300"/>
    </row>
    <row r="23" spans="3:9" s="11" customFormat="1" ht="14.4" x14ac:dyDescent="0.3">
      <c r="C23" s="296" t="s">
        <v>741</v>
      </c>
      <c r="D23" s="297"/>
      <c r="E23" s="297"/>
      <c r="F23" s="297"/>
      <c r="G23" s="298"/>
      <c r="H23" s="299" t="str">
        <f>_xlfn.CONCAT(_xlfn.XLOOKUP("[S03_ActivityPermits][9][ActivityPermitsIssued]",Submission!$O:$O,Submission!$H:$N,""))</f>
        <v>No</v>
      </c>
      <c r="I23" s="300"/>
    </row>
    <row r="24" spans="3:9" s="11" customFormat="1" ht="14.4" x14ac:dyDescent="0.3">
      <c r="C24" s="296" t="s">
        <v>742</v>
      </c>
      <c r="D24" s="297"/>
      <c r="E24" s="297"/>
      <c r="F24" s="297"/>
      <c r="G24" s="298"/>
      <c r="H24" s="299" t="str">
        <f>_xlfn.CONCAT(_xlfn.XLOOKUP("[S03_ActivityPermits][10][ActivityPermitsIssued]",Submission!$O:$O,Submission!$H:$N,""))</f>
        <v>Yes</v>
      </c>
      <c r="I24" s="300"/>
    </row>
    <row r="25" spans="3:9" s="11" customFormat="1" ht="14.4" x14ac:dyDescent="0.3">
      <c r="C25" s="296" t="s">
        <v>743</v>
      </c>
      <c r="D25" s="297"/>
      <c r="E25" s="297"/>
      <c r="F25" s="297"/>
      <c r="G25" s="298"/>
      <c r="H25" s="299" t="str">
        <f>_xlfn.CONCAT(_xlfn.XLOOKUP("[S03_ActivityPermits][11][ActivityPermitsIssued]",Submission!$O:$O,Submission!$H:$N,""))</f>
        <v>Yes</v>
      </c>
      <c r="I25" s="300"/>
    </row>
    <row r="26" spans="3:9" s="11" customFormat="1" ht="14.4" x14ac:dyDescent="0.3">
      <c r="C26" s="296" t="s">
        <v>744</v>
      </c>
      <c r="D26" s="297"/>
      <c r="E26" s="297"/>
      <c r="F26" s="297"/>
      <c r="G26" s="298"/>
      <c r="H26" s="299" t="str">
        <f>_xlfn.CONCAT(_xlfn.XLOOKUP("[S03_ActivityPermits][12][ActivityPermitsIssued]",Submission!$O:$O,Submission!$H:$N,""))</f>
        <v>Yes</v>
      </c>
      <c r="I26" s="300"/>
    </row>
    <row r="27" spans="3:9" s="11" customFormat="1" ht="14.4" x14ac:dyDescent="0.3">
      <c r="C27" s="296" t="s">
        <v>745</v>
      </c>
      <c r="D27" s="297"/>
      <c r="E27" s="297"/>
      <c r="F27" s="297"/>
      <c r="G27" s="298"/>
      <c r="H27" s="299" t="str">
        <f>_xlfn.CONCAT(_xlfn.XLOOKUP("[S03_ActivityPermits][13][ActivityPermitsIssued]",Submission!$O:$O,Submission!$H:$N,""))</f>
        <v>Yes</v>
      </c>
      <c r="I27" s="300"/>
    </row>
    <row r="28" spans="3:9" s="11" customFormat="1" ht="14.4" x14ac:dyDescent="0.3">
      <c r="C28" s="296" t="s">
        <v>746</v>
      </c>
      <c r="D28" s="297"/>
      <c r="E28" s="297"/>
      <c r="F28" s="297"/>
      <c r="G28" s="298"/>
      <c r="H28" s="299" t="str">
        <f>_xlfn.CONCAT(_xlfn.XLOOKUP("[S03_ActivityPermits][14][ActivityPermitsIssued]",Submission!$O:$O,Submission!$H:$N,""))</f>
        <v>No</v>
      </c>
      <c r="I28" s="300"/>
    </row>
    <row r="29" spans="3:9" s="11" customFormat="1" ht="14.4" x14ac:dyDescent="0.3">
      <c r="C29" s="296" t="s">
        <v>747</v>
      </c>
      <c r="D29" s="297"/>
      <c r="E29" s="297"/>
      <c r="F29" s="297"/>
      <c r="G29" s="298"/>
      <c r="H29" s="299" t="str">
        <f>_xlfn.CONCAT(_xlfn.XLOOKUP("[S03_ActivityPermits][15][ActivityPermitsIssued]",Submission!$O:$O,Submission!$H:$N,""))</f>
        <v>Yes</v>
      </c>
      <c r="I29" s="300"/>
    </row>
    <row r="30" spans="3:9" s="11" customFormat="1" ht="14.4" x14ac:dyDescent="0.3">
      <c r="C30" s="296" t="s">
        <v>748</v>
      </c>
      <c r="D30" s="297"/>
      <c r="E30" s="297"/>
      <c r="F30" s="297"/>
      <c r="G30" s="298"/>
      <c r="H30" s="299" t="str">
        <f>_xlfn.CONCAT(_xlfn.XLOOKUP("[S03_ActivityPermits][16][ActivityPermitsIssued]",Submission!$O:$O,Submission!$H:$N,""))</f>
        <v>Yes</v>
      </c>
      <c r="I30" s="300"/>
    </row>
    <row r="31" spans="3:9" s="11" customFormat="1" ht="14.4" x14ac:dyDescent="0.3">
      <c r="C31" s="296" t="s">
        <v>749</v>
      </c>
      <c r="D31" s="297"/>
      <c r="E31" s="297"/>
      <c r="F31" s="297"/>
      <c r="G31" s="298"/>
      <c r="H31" s="299" t="str">
        <f>_xlfn.CONCAT(_xlfn.XLOOKUP("[S03_ActivityPermits][17][ActivityPermitsIssued]",Submission!$O:$O,Submission!$H:$N,""))</f>
        <v>Yes</v>
      </c>
      <c r="I31" s="300"/>
    </row>
    <row r="32" spans="3:9" s="11" customFormat="1" ht="14.4" x14ac:dyDescent="0.3">
      <c r="C32" s="296" t="s">
        <v>750</v>
      </c>
      <c r="D32" s="297"/>
      <c r="E32" s="297"/>
      <c r="F32" s="297"/>
      <c r="G32" s="298"/>
      <c r="H32" s="299" t="str">
        <f>_xlfn.CONCAT(_xlfn.XLOOKUP("[S03_ActivityPermits][18][ActivityPermitsIssued]",Submission!$O:$O,Submission!$H:$N,""))</f>
        <v>No</v>
      </c>
      <c r="I32" s="300"/>
    </row>
    <row r="33" spans="1:9" s="11" customFormat="1" ht="14.4" x14ac:dyDescent="0.3">
      <c r="C33" s="296" t="s">
        <v>751</v>
      </c>
      <c r="D33" s="297"/>
      <c r="E33" s="297"/>
      <c r="F33" s="297"/>
      <c r="G33" s="298"/>
      <c r="H33" s="299" t="str">
        <f>_xlfn.CONCAT(_xlfn.XLOOKUP("[S03_ActivityPermits][19][ActivityPermitsIssued]",Submission!$O:$O,Submission!$H:$N,""))</f>
        <v>No</v>
      </c>
      <c r="I33" s="300"/>
    </row>
    <row r="34" spans="1:9" s="11" customFormat="1" ht="14.4" x14ac:dyDescent="0.3">
      <c r="C34" s="296" t="s">
        <v>752</v>
      </c>
      <c r="D34" s="297"/>
      <c r="E34" s="297"/>
      <c r="F34" s="297"/>
      <c r="G34" s="298"/>
      <c r="H34" s="299" t="str">
        <f>_xlfn.CONCAT(_xlfn.XLOOKUP("[S03_ActivityPermits][20][ActivityPermitsIssued]",Submission!$O:$O,Submission!$H:$N,""))</f>
        <v>No</v>
      </c>
      <c r="I34" s="300"/>
    </row>
    <row r="35" spans="1:9" s="11" customFormat="1" ht="14.4" x14ac:dyDescent="0.3">
      <c r="C35" s="296" t="s">
        <v>753</v>
      </c>
      <c r="D35" s="297"/>
      <c r="E35" s="297"/>
      <c r="F35" s="297"/>
      <c r="G35" s="298"/>
      <c r="H35" s="299" t="str">
        <f>_xlfn.CONCAT(_xlfn.XLOOKUP("[S03_ActivityPermits][21][ActivityPermitsIssued]",Submission!$O:$O,Submission!$H:$N,""))</f>
        <v>No</v>
      </c>
      <c r="I35" s="300"/>
    </row>
    <row r="36" spans="1:9" s="11" customFormat="1" ht="14.4" x14ac:dyDescent="0.3">
      <c r="C36" s="296" t="s">
        <v>754</v>
      </c>
      <c r="D36" s="297"/>
      <c r="E36" s="297"/>
      <c r="F36" s="297"/>
      <c r="G36" s="298"/>
      <c r="H36" s="299" t="str">
        <f>_xlfn.CONCAT(_xlfn.XLOOKUP("[S03_ActivityPermits][22][ActivityPermitsIssued]",Submission!$O:$O,Submission!$H:$N,""))</f>
        <v>No</v>
      </c>
      <c r="I36" s="300"/>
    </row>
    <row r="37" spans="1:9" s="11" customFormat="1" ht="14.4" x14ac:dyDescent="0.3">
      <c r="C37" s="296" t="s">
        <v>755</v>
      </c>
      <c r="D37" s="297"/>
      <c r="E37" s="297"/>
      <c r="F37" s="297"/>
      <c r="G37" s="298"/>
      <c r="H37" s="299" t="str">
        <f>_xlfn.CONCAT(_xlfn.XLOOKUP("[S03_ActivityPermits][23][ActivityPermitsIssued]",Submission!$O:$O,Submission!$H:$N,""))</f>
        <v>No</v>
      </c>
      <c r="I37" s="300"/>
    </row>
    <row r="38" spans="1:9" s="11" customFormat="1" ht="15" x14ac:dyDescent="0.3">
      <c r="C38" s="296" t="s">
        <v>756</v>
      </c>
      <c r="D38" s="297"/>
      <c r="E38" s="297"/>
      <c r="F38" s="297"/>
      <c r="G38" s="298"/>
      <c r="H38" s="299" t="str">
        <f>_xlfn.CONCAT(_xlfn.XLOOKUP("[S03_ActivityPermits][24][ActivityPermitsIssued]",Submission!$O:$O,Submission!$H:$N,""))</f>
        <v>No</v>
      </c>
      <c r="I38" s="300"/>
    </row>
    <row r="39" spans="1:9" s="11" customFormat="1" ht="15" x14ac:dyDescent="0.3">
      <c r="C39" s="296" t="s">
        <v>757</v>
      </c>
      <c r="D39" s="297"/>
      <c r="E39" s="297"/>
      <c r="F39" s="297"/>
      <c r="G39" s="298"/>
      <c r="H39" s="299" t="str">
        <f>_xlfn.CONCAT(_xlfn.XLOOKUP("[S03_ActivityPermits][25][ActivityPermitsIssued]",Submission!$O:$O,Submission!$H:$N,""))</f>
        <v>No</v>
      </c>
      <c r="I39" s="300"/>
    </row>
    <row r="40" spans="1:9" s="11" customFormat="1" ht="14.4" x14ac:dyDescent="0.3">
      <c r="C40" s="296" t="s">
        <v>758</v>
      </c>
      <c r="D40" s="297"/>
      <c r="E40" s="297"/>
      <c r="F40" s="297"/>
      <c r="G40" s="298"/>
      <c r="H40" s="299" t="str">
        <f>_xlfn.CONCAT(_xlfn.XLOOKUP("[S03_ActivityPermits][26][ActivityPermitsIssued]",Submission!$O:$O,Submission!$H:$N,""))</f>
        <v>No</v>
      </c>
      <c r="I40" s="300"/>
    </row>
    <row r="41" spans="1:9" s="11" customFormat="1" ht="14.4" x14ac:dyDescent="0.3">
      <c r="C41" s="296" t="s">
        <v>759</v>
      </c>
      <c r="D41" s="297"/>
      <c r="E41" s="297"/>
      <c r="F41" s="297"/>
      <c r="G41" s="298"/>
      <c r="H41" s="299" t="str">
        <f>_xlfn.CONCAT(_xlfn.XLOOKUP("[S03_ActivityPermits][27][ActivityPermitsIssued]",Submission!$O:$O,Submission!$H:$N,""))</f>
        <v>No</v>
      </c>
      <c r="I41" s="300"/>
    </row>
    <row r="42" spans="1:9" s="11" customFormat="1" ht="14.4" x14ac:dyDescent="0.3">
      <c r="C42" s="296" t="s">
        <v>760</v>
      </c>
      <c r="D42" s="297"/>
      <c r="E42" s="297"/>
      <c r="F42" s="297"/>
      <c r="G42" s="298"/>
      <c r="H42" s="299" t="str">
        <f>_xlfn.CONCAT(_xlfn.XLOOKUP("[S03_ActivityPermits][28][ActivityPermitsIssued]",Submission!$O:$O,Submission!$H:$N,""))</f>
        <v>No</v>
      </c>
      <c r="I42" s="300"/>
    </row>
    <row r="43" spans="1:9" s="11" customFormat="1" ht="29.25" customHeight="1" x14ac:dyDescent="0.3">
      <c r="C43" s="344" t="s">
        <v>761</v>
      </c>
      <c r="D43" s="344"/>
      <c r="E43" s="344"/>
      <c r="F43" s="344"/>
      <c r="G43" s="344"/>
      <c r="H43" s="344"/>
      <c r="I43" s="344"/>
    </row>
    <row r="44" spans="1:9" s="7" customFormat="1" ht="18.75" customHeight="1" x14ac:dyDescent="0.3">
      <c r="A44" s="8"/>
    </row>
    <row r="45" spans="1:9" ht="18" customHeight="1" x14ac:dyDescent="0.3">
      <c r="A45" s="12" t="s">
        <v>80</v>
      </c>
      <c r="B45" s="338" t="s">
        <v>762</v>
      </c>
      <c r="C45" s="308"/>
      <c r="D45" s="308"/>
      <c r="E45" s="308"/>
      <c r="F45" s="308"/>
      <c r="G45" s="308"/>
      <c r="H45" s="345"/>
      <c r="I45" s="41" t="str">
        <f>_xlfn.CONCAT(_xlfn.XLOOKUP("[InstallationsExcludedArt27][0][InstallationsExcludedArt27]",Submission!$O:$O,Submission!$H:$N,""))</f>
        <v>No</v>
      </c>
    </row>
    <row r="46" spans="1:9" ht="16.95" customHeight="1" x14ac:dyDescent="0.3">
      <c r="B46" s="338" t="s">
        <v>763</v>
      </c>
      <c r="C46" s="308"/>
      <c r="D46" s="308"/>
      <c r="E46" s="308"/>
      <c r="F46" s="308"/>
      <c r="G46" s="308"/>
      <c r="H46" s="308"/>
      <c r="I46" s="308"/>
    </row>
    <row r="47" spans="1:9" ht="28.2" customHeight="1" x14ac:dyDescent="0.3">
      <c r="B47" s="36" t="s">
        <v>8</v>
      </c>
      <c r="C47" s="339" t="s">
        <v>764</v>
      </c>
      <c r="D47" s="339"/>
      <c r="E47" s="339"/>
      <c r="F47" s="339"/>
      <c r="G47" s="339"/>
      <c r="H47" s="339"/>
      <c r="I47" s="339"/>
    </row>
    <row r="48" spans="1:9" ht="30.6" customHeight="1" x14ac:dyDescent="0.3">
      <c r="B48" s="36" t="s">
        <v>8</v>
      </c>
      <c r="C48" s="339" t="s">
        <v>765</v>
      </c>
      <c r="D48" s="339"/>
      <c r="E48" s="339"/>
      <c r="F48" s="339"/>
      <c r="G48" s="339"/>
      <c r="H48" s="339"/>
      <c r="I48" s="339"/>
    </row>
    <row r="49" spans="1:12" ht="31.95" customHeight="1" x14ac:dyDescent="0.3">
      <c r="B49" s="36" t="s">
        <v>8</v>
      </c>
      <c r="C49" s="327" t="s">
        <v>766</v>
      </c>
      <c r="D49" s="327"/>
      <c r="E49" s="327"/>
      <c r="F49" s="327"/>
      <c r="G49" s="327"/>
      <c r="H49" s="327"/>
      <c r="I49" s="327"/>
    </row>
    <row r="50" spans="1:12" s="7" customFormat="1" ht="42" customHeight="1" x14ac:dyDescent="0.3">
      <c r="A50" s="8"/>
      <c r="C50" s="314" t="s">
        <v>767</v>
      </c>
      <c r="D50" s="333"/>
      <c r="E50" s="334"/>
      <c r="F50" s="314" t="s">
        <v>768</v>
      </c>
      <c r="G50" s="316"/>
      <c r="H50" s="314" t="s">
        <v>769</v>
      </c>
      <c r="I50" s="316"/>
    </row>
    <row r="51" spans="1:12" s="7" customFormat="1" ht="14.4" x14ac:dyDescent="0.3">
      <c r="A51" s="8"/>
      <c r="C51" s="299" t="str">
        <f>_xlfn.CONCAT(_xlfn.XLOOKUP("[S03_InstallationsExcludedArt27Detail][1][ExclusionArticle]",Submission!$O:$O,Submission!$H:$N,""))</f>
        <v/>
      </c>
      <c r="D51" s="340"/>
      <c r="E51" s="341"/>
      <c r="F51" s="346" t="str">
        <f>_xlfn.CONCAT(_xlfn.XLOOKUP("[S03_InstallationsExcludedArt27Detail][1][InstallationsExcludedEmissions]",Submission!$O:$O,Submission!$H:$N,""))</f>
        <v/>
      </c>
      <c r="G51" s="326"/>
      <c r="H51" s="325" t="str">
        <f>_xlfn.CONCAT(_xlfn.XLOOKUP("[S03_InstallationsExcludedArt27Detail][1][InstallationsExceededThreshold]",Submission!$O:$O,Submission!$H:$N,""))</f>
        <v/>
      </c>
      <c r="I51" s="326"/>
    </row>
    <row r="52" spans="1:12" s="7" customFormat="1" ht="14.4" x14ac:dyDescent="0.3">
      <c r="A52" s="8"/>
      <c r="C52" s="299" t="str">
        <f>_xlfn.CONCAT(_xlfn.XLOOKUP("[S03_InstallationsExcludedArt27Detail][2][ExclusionArticle]",Submission!$O:$O,Submission!$H:$N,""))</f>
        <v/>
      </c>
      <c r="D52" s="340"/>
      <c r="E52" s="341"/>
      <c r="F52" s="325" t="str">
        <f>_xlfn.CONCAT(_xlfn.XLOOKUP("[S03_InstallationsExcludedArt27Detail][2][InstallationsExcludedEmissions]",Submission!$O:$O,Submission!$H:$N,""))</f>
        <v/>
      </c>
      <c r="G52" s="326"/>
      <c r="H52" s="325" t="str">
        <f>_xlfn.CONCAT(_xlfn.XLOOKUP("[S03_InstallationsExcludedArt27Detail][2][InstallationsExceededThreshold]",Submission!$O:$O,Submission!$H:$N,""))</f>
        <v/>
      </c>
      <c r="I52" s="326"/>
    </row>
    <row r="53" spans="1:12" s="7" customFormat="1" ht="14.4" x14ac:dyDescent="0.3">
      <c r="A53" s="8"/>
      <c r="C53" s="299" t="str">
        <f>_xlfn.CONCAT(_xlfn.XLOOKUP("[S03_InstallationsExcludedArt27Detail][3][ExclusionArticle]",Submission!$O:$O,Submission!$H:$N,""))</f>
        <v/>
      </c>
      <c r="D53" s="340"/>
      <c r="E53" s="341"/>
      <c r="F53" s="325" t="str">
        <f>_xlfn.CONCAT(_xlfn.XLOOKUP("[S03_InstallationsExcludedArt27Detail][3][InstallationsExcludedEmissions]",Submission!$O:$O,Submission!$H:$N,""))</f>
        <v/>
      </c>
      <c r="G53" s="326"/>
      <c r="H53" s="325" t="str">
        <f>_xlfn.CONCAT(_xlfn.XLOOKUP("[S03_InstallationsExcludedArt27Detail][3][InstallationsExceededThreshold]",Submission!$O:$O,Submission!$H:$N,""))</f>
        <v/>
      </c>
      <c r="I53" s="326"/>
    </row>
    <row r="54" spans="1:12" s="7" customFormat="1" ht="14.4" customHeight="1" x14ac:dyDescent="0.3">
      <c r="A54" s="8"/>
      <c r="C54" s="344" t="s">
        <v>770</v>
      </c>
      <c r="D54" s="344"/>
      <c r="E54" s="344"/>
      <c r="F54" s="344"/>
      <c r="G54" s="344"/>
      <c r="H54" s="344"/>
      <c r="I54" s="344"/>
      <c r="J54" s="19"/>
      <c r="K54" s="19"/>
      <c r="L54" s="19"/>
    </row>
    <row r="55" spans="1:12" s="38" customFormat="1" ht="14.4" x14ac:dyDescent="0.3">
      <c r="A55" s="39"/>
    </row>
    <row r="56" spans="1:12" s="7" customFormat="1" ht="18.600000000000001" customHeight="1" x14ac:dyDescent="0.3">
      <c r="A56" s="8"/>
      <c r="B56" s="338" t="s">
        <v>771</v>
      </c>
      <c r="C56" s="308"/>
      <c r="D56" s="308"/>
      <c r="E56" s="308"/>
      <c r="F56" s="308"/>
      <c r="G56" s="308"/>
      <c r="H56" s="308"/>
      <c r="I56" s="308"/>
    </row>
    <row r="57" spans="1:12" ht="15.9" customHeight="1" x14ac:dyDescent="0.3">
      <c r="A57" s="12"/>
      <c r="B57" s="40"/>
      <c r="C57" s="330"/>
      <c r="D57" s="331"/>
      <c r="E57" s="331"/>
      <c r="F57" s="314" t="s">
        <v>772</v>
      </c>
      <c r="G57" s="333"/>
      <c r="H57" s="333"/>
      <c r="I57" s="334"/>
    </row>
    <row r="58" spans="1:12" ht="15.9" customHeight="1" x14ac:dyDescent="0.3">
      <c r="A58" s="12"/>
      <c r="B58" s="40"/>
      <c r="C58" s="301" t="s">
        <v>773</v>
      </c>
      <c r="D58" s="332"/>
      <c r="E58" s="332"/>
      <c r="F58" s="335" t="str">
        <f>_xlfn.CONCAT(_xlfn.XLOOKUP("[S03_InstallationsExcludedClosed][0][ClosedArt27]",Submission!$O:$O,Submission!$H:$N,""))</f>
        <v/>
      </c>
      <c r="G58" s="336"/>
      <c r="H58" s="336"/>
      <c r="I58" s="337"/>
    </row>
    <row r="59" spans="1:12" s="7" customFormat="1" ht="15" customHeight="1" x14ac:dyDescent="0.3">
      <c r="A59" s="8"/>
      <c r="C59" s="301" t="s">
        <v>774</v>
      </c>
      <c r="D59" s="332"/>
      <c r="E59" s="332"/>
      <c r="F59" s="335" t="str">
        <f>_xlfn.CONCAT(_xlfn.XLOOKUP("[S03_InstallationsExcludedClosed][0][ClosedArt27a]",Submission!$O:$O,Submission!$H:$N,""))</f>
        <v/>
      </c>
      <c r="G59" s="336"/>
      <c r="H59" s="336"/>
      <c r="I59" s="337"/>
    </row>
    <row r="60" spans="1:12" s="7" customFormat="1" ht="14.4" x14ac:dyDescent="0.3">
      <c r="A60" s="8"/>
    </row>
    <row r="61" spans="1:12" s="86" customFormat="1" ht="18.899999999999999" customHeight="1" x14ac:dyDescent="0.35">
      <c r="A61" s="85" t="s">
        <v>775</v>
      </c>
      <c r="B61" s="310" t="s">
        <v>97</v>
      </c>
      <c r="C61" s="310"/>
      <c r="D61" s="310"/>
      <c r="E61" s="310"/>
      <c r="F61" s="310"/>
      <c r="G61" s="310"/>
      <c r="H61" s="310"/>
      <c r="I61" s="311"/>
    </row>
    <row r="62" spans="1:12" s="7" customFormat="1" ht="54" customHeight="1" x14ac:dyDescent="0.3">
      <c r="A62" s="12" t="s">
        <v>98</v>
      </c>
      <c r="B62" s="342" t="s">
        <v>776</v>
      </c>
      <c r="C62" s="343"/>
      <c r="D62" s="343"/>
      <c r="E62" s="343"/>
      <c r="F62" s="343"/>
      <c r="G62" s="343"/>
      <c r="H62" s="343"/>
      <c r="I62" s="343"/>
    </row>
    <row r="63" spans="1:12" s="7" customFormat="1" ht="46.2" customHeight="1" x14ac:dyDescent="0.3">
      <c r="A63" s="8"/>
      <c r="C63" s="317" t="s">
        <v>777</v>
      </c>
      <c r="D63" s="328"/>
      <c r="E63" s="328"/>
      <c r="F63" s="329"/>
      <c r="G63" s="46" t="s">
        <v>778</v>
      </c>
      <c r="H63" s="46" t="s">
        <v>779</v>
      </c>
      <c r="I63" s="46" t="s">
        <v>780</v>
      </c>
    </row>
    <row r="64" spans="1:12" ht="15.9" customHeight="1" x14ac:dyDescent="0.3">
      <c r="C64" s="322" t="s">
        <v>781</v>
      </c>
      <c r="D64" s="323"/>
      <c r="E64" s="323"/>
      <c r="F64" s="324"/>
      <c r="G64" s="132" t="str">
        <f>_xlfn.CONCAT(_xlfn.XLOOKUP("[S03_AircraftAnnex1Activities][1][NumberCommercialOperators]",Submission!$O:$O,Submission!$H:$N,""))</f>
        <v>2</v>
      </c>
      <c r="H64" s="132" t="str">
        <f>_xlfn.CONCAT(_xlfn.XLOOKUP("[S03_AircraftAnnex1Activities][1][NumberNonCommercialOperators]",Submission!$O:$O,Submission!$H:$N,""))</f>
        <v/>
      </c>
      <c r="I64" s="132" t="str">
        <f>_xlfn.CONCAT(_xlfn.XLOOKUP("[S03_AircraftAnnex1Activities][1][NumberTotalOperators]",Submission!$O:$O,Submission!$H:$N,""))</f>
        <v>2</v>
      </c>
    </row>
    <row r="65" spans="3:9" ht="15.9" customHeight="1" x14ac:dyDescent="0.3">
      <c r="C65" s="322" t="s">
        <v>782</v>
      </c>
      <c r="D65" s="323"/>
      <c r="E65" s="323"/>
      <c r="F65" s="324"/>
      <c r="G65" s="132" t="str">
        <f>_xlfn.CONCAT(_xlfn.XLOOKUP("[S03_AircraftAnnex1Activities][2][NumberCommercialOperators]",Submission!$O:$O,Submission!$H:$N,""))</f>
        <v>0</v>
      </c>
      <c r="H65" s="132" t="str">
        <f>_xlfn.CONCAT(_xlfn.XLOOKUP("[S03_AircraftAnnex1Activities][2][NumberNonCommercialOperators]",Submission!$O:$O,Submission!$H:$N,""))</f>
        <v/>
      </c>
      <c r="I65" s="132" t="str">
        <f>_xlfn.CONCAT(_xlfn.XLOOKUP("[S03_AircraftAnnex1Activities][2][NumberTotalOperators]",Submission!$O:$O,Submission!$H:$N,""))</f>
        <v>0</v>
      </c>
    </row>
    <row r="66" spans="3:9" ht="15.9" customHeight="1" x14ac:dyDescent="0.3">
      <c r="C66" s="322" t="s">
        <v>780</v>
      </c>
      <c r="D66" s="323"/>
      <c r="E66" s="323"/>
      <c r="F66" s="324"/>
      <c r="G66" s="132" t="str">
        <f>_xlfn.CONCAT(_xlfn.XLOOKUP("[S03_AircraftAnnex1Activities][3][NumberCommercialOperators]",Submission!$O:$O,Submission!$H:$N,""))</f>
        <v>2</v>
      </c>
      <c r="H66" s="132" t="str">
        <f>_xlfn.CONCAT(_xlfn.XLOOKUP("[S03_AircraftAnnex1Activities][3][NumberNonCommercialOperators]",Submission!$O:$O,Submission!$H:$N,""))</f>
        <v/>
      </c>
      <c r="I66" s="132" t="str">
        <f>_xlfn.CONCAT(_xlfn.XLOOKUP("[S03_AircraftAnnex1Activities][3][NumberTotalOperators]",Submission!$O:$O,Submission!$H:$N,""))</f>
        <v>2</v>
      </c>
    </row>
    <row r="67" spans="3:9" ht="15.9" customHeight="1" x14ac:dyDescent="0.3"/>
  </sheetData>
  <mergeCells count="107">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 ref="C23:G23"/>
    <mergeCell ref="C24:G24"/>
    <mergeCell ref="C25:G25"/>
    <mergeCell ref="C26:G26"/>
    <mergeCell ref="C27:G27"/>
    <mergeCell ref="H26:I26"/>
    <mergeCell ref="H27:I27"/>
    <mergeCell ref="C32:G32"/>
    <mergeCell ref="C51:E51"/>
    <mergeCell ref="B46:I46"/>
    <mergeCell ref="H23:I23"/>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21:G21"/>
    <mergeCell ref="H17:I17"/>
    <mergeCell ref="H18:I18"/>
    <mergeCell ref="C11:F11"/>
    <mergeCell ref="G11:I11"/>
    <mergeCell ref="B13:I13"/>
    <mergeCell ref="C15:G15"/>
    <mergeCell ref="C17:G17"/>
    <mergeCell ref="C18:G18"/>
    <mergeCell ref="C19:G19"/>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09" t="s">
        <v>105</v>
      </c>
      <c r="C3" s="309"/>
      <c r="D3" s="309"/>
      <c r="E3" s="309"/>
      <c r="F3" s="309"/>
      <c r="G3" s="309"/>
      <c r="H3" s="309"/>
      <c r="I3" s="309"/>
    </row>
    <row r="4" spans="1:9" s="7" customFormat="1" ht="17.399999999999999" customHeight="1" x14ac:dyDescent="0.3">
      <c r="A4" s="12"/>
      <c r="B4" s="283" t="s">
        <v>783</v>
      </c>
      <c r="C4" s="284"/>
      <c r="D4" s="284"/>
      <c r="E4" s="284"/>
      <c r="F4" s="284"/>
      <c r="G4" s="284"/>
      <c r="H4" s="284"/>
      <c r="I4" s="284"/>
    </row>
    <row r="5" spans="1:9" ht="18.600000000000001" customHeight="1" x14ac:dyDescent="0.3">
      <c r="A5" s="12" t="s">
        <v>106</v>
      </c>
      <c r="B5" s="338" t="s">
        <v>784</v>
      </c>
      <c r="C5" s="308"/>
      <c r="D5" s="308"/>
      <c r="E5" s="308"/>
      <c r="F5" s="308"/>
      <c r="G5" s="308"/>
      <c r="H5" s="308"/>
    </row>
    <row r="6" spans="1:9" x14ac:dyDescent="0.3">
      <c r="A6" s="12"/>
      <c r="B6" s="18"/>
      <c r="C6" s="279" t="s">
        <v>785</v>
      </c>
      <c r="D6" s="279"/>
      <c r="E6" s="279"/>
      <c r="F6" s="279"/>
      <c r="G6" s="279"/>
      <c r="H6" s="279"/>
      <c r="I6" s="279"/>
    </row>
    <row r="7" spans="1:9" ht="29.4" customHeight="1" x14ac:dyDescent="0.3">
      <c r="C7" s="314" t="s">
        <v>786</v>
      </c>
      <c r="D7" s="315"/>
      <c r="E7" s="315"/>
      <c r="F7" s="316"/>
      <c r="G7" s="42" t="s">
        <v>787</v>
      </c>
      <c r="H7" s="314" t="s">
        <v>710</v>
      </c>
      <c r="I7" s="316"/>
    </row>
    <row r="8" spans="1:9" s="58" customFormat="1" ht="31.95" customHeight="1" x14ac:dyDescent="0.3">
      <c r="A8" s="75"/>
      <c r="C8" s="249" t="s">
        <v>788</v>
      </c>
      <c r="D8" s="257"/>
      <c r="E8" s="257"/>
      <c r="F8" s="250"/>
      <c r="G8" s="63" t="str">
        <f>_xlfn.CONCAT(_xlfn.XLOOKUP("[S04_IEDProcedureRequirementsIntegratedYes][1][IntegrationYesNo]",Submission!$O:$O,Submission!$H:$N,""))</f>
        <v>No</v>
      </c>
      <c r="H8" s="258" t="str">
        <f>_xlfn.CONCAT(_xlfn.XLOOKUP("[S04_IEDProcedureRequirementsIntegratedYes][1][IntegrationComments]",Submission!$O:$O,Submission!$H:$N,""))</f>
        <v>SEG atļauja ir atsevišķs dokuments.</v>
      </c>
      <c r="I8" s="260"/>
    </row>
    <row r="9" spans="1:9" s="58" customFormat="1" ht="31.95" customHeight="1" x14ac:dyDescent="0.3">
      <c r="A9" s="75"/>
      <c r="C9" s="249" t="s">
        <v>789</v>
      </c>
      <c r="D9" s="272"/>
      <c r="E9" s="272"/>
      <c r="F9" s="273"/>
      <c r="G9" s="63" t="str">
        <f>_xlfn.CONCAT(_xlfn.XLOOKUP("[S04_IEDProcedureRequirementsIntegratedYes][2][IntegrationYesNo]",Submission!$O:$O,Submission!$H:$N,""))</f>
        <v>Yes</v>
      </c>
      <c r="H9" s="258" t="str">
        <f>_xlfn.CONCAT(_xlfn.XLOOKUP("[S04_IEDProcedureRequirementsIntegratedYes][2][IntegrationComments]",Submission!$O:$O,Submission!$H:$N,""))</f>
        <v>Latvijas TA ir noteikts, ka operators nodrošina atļauju atbilstību. Iesniedzot iesniegumu SEG atļaujai, operators iesniedz arī iesniegumu RED atļaujai. Termiņi ir pielīdzināti. Abas atļaujas iesniedz viena KI, kura veica abu atļauju pārbaudi.</v>
      </c>
      <c r="I9" s="260"/>
    </row>
    <row r="10" spans="1:9" s="58" customFormat="1" ht="31.95" customHeight="1" x14ac:dyDescent="0.3">
      <c r="A10" s="75"/>
      <c r="C10" s="249" t="s">
        <v>790</v>
      </c>
      <c r="D10" s="272"/>
      <c r="E10" s="272"/>
      <c r="F10" s="273"/>
      <c r="G10" s="63" t="str">
        <f>_xlfn.CONCAT(_xlfn.XLOOKUP("[S04_IEDProcedureRequirementsIntegratedYes][3][IntegrationYesNo]",Submission!$O:$O,Submission!$H:$N,""))</f>
        <v>No</v>
      </c>
      <c r="H10" s="258" t="str">
        <f>_xlfn.CONCAT(_xlfn.XLOOKUP("[S04_IEDProcedureRequirementsIntegratedYes][3][IntegrationComments]",Submission!$O:$O,Submission!$H:$N,""))</f>
        <v/>
      </c>
      <c r="I10" s="260"/>
    </row>
    <row r="11" spans="1:9" s="58" customFormat="1" ht="31.8" customHeight="1" x14ac:dyDescent="0.3">
      <c r="A11" s="75"/>
      <c r="C11" s="249" t="s">
        <v>791</v>
      </c>
      <c r="D11" s="257"/>
      <c r="E11" s="257"/>
      <c r="F11" s="250"/>
      <c r="G11" s="63" t="str">
        <f>_xlfn.CONCAT(_xlfn.XLOOKUP("[S04_IEDProcedureRequirementsIntegratedYes][4][IntegrationYesNo]",Submission!$O:$O,Submission!$H:$N,""))</f>
        <v>Yes</v>
      </c>
      <c r="H11" s="258" t="str">
        <f>_xlfn.CONCAT(_xlfn.XLOOKUP("[S04_IEDProcedureRequirementsIntegratedYes][4][IntegrationComments]",Submission!$O:$O,Submission!$H:$N,""))</f>
        <v>RED atļaujas izsniedz tā pati kompetentā iestāde, kas izsniedz SEG atļaujas, apstiprina SEG atļauju monitoringa plānus un kas izvērtē ES ETS emisiju ziņojumu.</v>
      </c>
      <c r="I11" s="260"/>
    </row>
    <row r="12" spans="1:9" s="58" customFormat="1" ht="31.95" customHeight="1" x14ac:dyDescent="0.3">
      <c r="A12" s="75"/>
      <c r="C12" s="249" t="s">
        <v>119</v>
      </c>
      <c r="D12" s="257"/>
      <c r="E12" s="257"/>
      <c r="F12" s="250"/>
      <c r="G12" s="63" t="str">
        <f>_xlfn.CONCAT(_xlfn.XLOOKUP("[S04_IEDProcedureRequirementsIntegratedYes][5][IntegrationYesNo]",Submission!$O:$O,Submission!$H:$N,""))</f>
        <v>Yes</v>
      </c>
      <c r="H12" s="258" t="str">
        <f>_xlfn.CONCAT(_xlfn.XLOOKUP("[S04_IEDProcedureRequirementsIntegratedYes][5][IntegrationComments]",Submission!$O:$O,Submission!$H:$N,""))</f>
        <v>RED un ES ETS darbības pārbauda tie paši kompetentās iestādes vides inspektori.</v>
      </c>
      <c r="I12" s="260"/>
    </row>
    <row r="13" spans="1:9" s="58" customFormat="1" ht="31.95" customHeight="1" x14ac:dyDescent="0.3">
      <c r="A13" s="75"/>
      <c r="C13" s="249" t="s">
        <v>792</v>
      </c>
      <c r="D13" s="272"/>
      <c r="E13" s="272"/>
      <c r="F13" s="273"/>
      <c r="G13" s="63" t="str">
        <f>_xlfn.CONCAT(_xlfn.XLOOKUP("[S04_IEDProcedureRequirementsIntegratedYes][6][IntegrationYesNo]",Submission!$O:$O,Submission!$H:$N,""))</f>
        <v>No</v>
      </c>
      <c r="H13" s="258" t="str">
        <f>_xlfn.CONCAT(_xlfn.XLOOKUP("[S04_IEDProcedureRequirementsIntegratedYes][6][IntegrationComments]",Submission!$O:$O,Submission!$H:$N,""))</f>
        <v/>
      </c>
      <c r="I13" s="260"/>
    </row>
    <row r="14" spans="1:9" s="58" customFormat="1" ht="31.95" customHeight="1" x14ac:dyDescent="0.3">
      <c r="A14" s="75"/>
      <c r="C14" s="249" t="s">
        <v>793</v>
      </c>
      <c r="D14" s="257"/>
      <c r="E14" s="257"/>
      <c r="F14" s="250"/>
      <c r="G14" s="63" t="str">
        <f>_xlfn.CONCAT(_xlfn.XLOOKUP("[S04_IEDProcedureRequirementsIntegratedYes][7][IntegrationYesNo]",Submission!$O:$O,Submission!$H:$N,""))</f>
        <v/>
      </c>
      <c r="H14" s="258" t="str">
        <f>_xlfn.CONCAT(_xlfn.XLOOKUP("[S04_IEDProcedureRequirementsIntegratedYes][7][IntegrationComments]",Submission!$O:$O,Submission!$H:$N,""))</f>
        <v/>
      </c>
      <c r="I14" s="260"/>
    </row>
    <row r="15" spans="1:9" s="58" customFormat="1" ht="31.95" customHeight="1" x14ac:dyDescent="0.3">
      <c r="A15" s="75"/>
      <c r="C15" s="249" t="s">
        <v>794</v>
      </c>
      <c r="D15" s="272"/>
      <c r="E15" s="272"/>
      <c r="F15" s="272"/>
      <c r="G15" s="63" t="str">
        <f>_xlfn.CONCAT(_xlfn.XLOOKUP("[S04_IEDProcedureRequirementsIntegratedYes][8][IntegrationYesNo]",Submission!$O:$O,Submission!$H:$N,""))</f>
        <v/>
      </c>
      <c r="H15" s="258" t="str">
        <f>_xlfn.CONCAT(_xlfn.XLOOKUP("[S04_IEDProcedureRequirementsIntegratedYes][8][IntegrationComments]",Submission!$O:$O,Submission!$H:$N,""))</f>
        <v/>
      </c>
      <c r="I15" s="260"/>
    </row>
    <row r="16" spans="1:9" ht="19.5" customHeight="1" x14ac:dyDescent="0.3">
      <c r="C16" s="20"/>
      <c r="D16" s="20"/>
      <c r="E16" s="20"/>
      <c r="F16" s="20"/>
      <c r="G16" s="20"/>
      <c r="H16" s="20"/>
      <c r="I16" s="20"/>
    </row>
    <row r="17" spans="1:9" ht="36" customHeight="1" x14ac:dyDescent="0.3">
      <c r="A17" s="12" t="s">
        <v>123</v>
      </c>
      <c r="B17" s="307" t="s">
        <v>795</v>
      </c>
      <c r="C17" s="308"/>
      <c r="D17" s="308"/>
      <c r="E17" s="308"/>
      <c r="F17" s="308"/>
      <c r="G17" s="308"/>
      <c r="H17" s="308"/>
      <c r="I17" s="308"/>
    </row>
    <row r="18" spans="1:9" ht="15.9" customHeight="1" x14ac:dyDescent="0.3">
      <c r="C18" s="45" t="s">
        <v>129</v>
      </c>
      <c r="D18" s="141"/>
      <c r="E18" s="141"/>
      <c r="F18" s="141"/>
      <c r="G18" s="333" t="s">
        <v>796</v>
      </c>
      <c r="H18" s="333"/>
      <c r="I18" s="334"/>
    </row>
    <row r="19" spans="1:9" ht="15.9" customHeight="1" x14ac:dyDescent="0.3">
      <c r="C19" s="301" t="s">
        <v>130</v>
      </c>
      <c r="D19" s="332"/>
      <c r="E19" s="332"/>
      <c r="F19" s="347"/>
      <c r="G19" s="348" t="str">
        <f>_xlfn.CONCAT(_xlfn.XLOOKUP("[S04_NationalLawPermitUpdate][1][PermitUpdateNationalLawDetail]",Submission!$O:$O,Submission!$H:$N,""))</f>
        <v>Nosacījumi ir noteikti LV Ministru kabineta noteikumu Nr.769 "Noteikumi par stacionāto tehnoloģisko iekārtu dalību Eiropas Savienības emisijas kvotu tirdzniecības sistēmā" 46.punktā (http://likumi.lv/doc.php?id=253119)</v>
      </c>
      <c r="H19" s="349"/>
      <c r="I19" s="350"/>
    </row>
    <row r="20" spans="1:9" ht="15.9" customHeight="1" x14ac:dyDescent="0.3">
      <c r="C20" s="301" t="s">
        <v>797</v>
      </c>
      <c r="D20" s="332"/>
      <c r="E20" s="332"/>
      <c r="F20" s="347"/>
      <c r="G20" s="348" t="str">
        <f>_xlfn.CONCAT(_xlfn.XLOOKUP("[S04_NationalLawPermitUpdate][2][PermitUpdateNationalLawDetail]",Submission!$O:$O,Submission!$H:$N,""))</f>
        <v>Likums „Par piesārņojumu” 24.1 pants piektā daļa (http://likumi.lv//doc.php?id=6075). atļaujas derīguma termiņš ir ETS periods.</v>
      </c>
      <c r="H20" s="349"/>
      <c r="I20" s="350"/>
    </row>
    <row r="21" spans="1:9" ht="15.9" customHeight="1" x14ac:dyDescent="0.3">
      <c r="C21" s="301" t="s">
        <v>134</v>
      </c>
      <c r="D21" s="332"/>
      <c r="E21" s="332"/>
      <c r="F21" s="347"/>
      <c r="G21" s="348" t="str">
        <f>_xlfn.CONCAT(_xlfn.XLOOKUP("[S04_NationalLawPermitUpdate][3][PermitUpdateNationalLawDetail]",Submission!$O:$O,Submission!$H:$N,""))</f>
        <v>MK noteikumu Nr.769 31.punkts - iesniegumu SEG atļaujas grozījumiem, ja iekārtā ir paredzēts jaudas pieaugums, operators iesniedz KI vismaz 15 darbdienas pirms izmaiņām.</v>
      </c>
      <c r="H21" s="349"/>
      <c r="I21" s="350"/>
    </row>
    <row r="22" spans="1:9" ht="15.9" customHeight="1" x14ac:dyDescent="0.3">
      <c r="C22" s="301" t="s">
        <v>136</v>
      </c>
      <c r="D22" s="332"/>
      <c r="E22" s="332"/>
      <c r="F22" s="347"/>
      <c r="G22" s="348" t="str">
        <f>_xlfn.CONCAT(_xlfn.XLOOKUP("[S04_NationalLawPermitUpdate][4][PermitUpdateNationalLawDetail]",Submission!$O:$O,Submission!$H:$N,""))</f>
        <v>MK noteikumu Nr.769 31.punkts - iesniegumu SEG atļaujas grozījumiem, ja iekārtā ir paredzēts jaudas samazinājums, operators iesniedz kompetentajai iestādei vismaz 15 darbdienas pirms izmaiņām.</v>
      </c>
      <c r="H22" s="349"/>
      <c r="I22" s="350"/>
    </row>
    <row r="23" spans="1:9" ht="15.9" customHeight="1" x14ac:dyDescent="0.3">
      <c r="C23" s="301" t="s">
        <v>138</v>
      </c>
      <c r="D23" s="332"/>
      <c r="E23" s="332"/>
      <c r="F23" s="347"/>
      <c r="G23" s="348" t="str">
        <f>_xlfn.CONCAT(_xlfn.XLOOKUP("[S04_NationalLawPermitUpdate][5][PermitUpdateNationalLawDetail]",Submission!$O:$O,Submission!$H:$N,""))</f>
        <v xml:space="preserve">	MK noteikumu Nr.769 31.punkts un Regulas Nr. 2018/2066</v>
      </c>
      <c r="H23" s="349"/>
      <c r="I23" s="350"/>
    </row>
    <row r="24" spans="1:9" ht="15.9" customHeight="1" x14ac:dyDescent="0.3">
      <c r="C24" s="301" t="s">
        <v>798</v>
      </c>
      <c r="D24" s="332"/>
      <c r="E24" s="332"/>
      <c r="F24" s="347"/>
      <c r="G24" s="348" t="str">
        <f>_xlfn.CONCAT(_xlfn.XLOOKUP("[S04_NationalLawPermitUpdate][6][PermitUpdateNationalLawDetail]",Submission!$O:$O,Submission!$H:$N,""))</f>
        <v>SEG atļauju groza arī, ja mainītie emisiju aprēķina faktori nodrošinās emisiju noteikšanu ar lielāku precizitāti.</v>
      </c>
      <c r="H24" s="349"/>
      <c r="I24" s="350"/>
    </row>
    <row r="25" spans="1:9" ht="15.9" hidden="1" customHeight="1" outlineLevel="1" x14ac:dyDescent="0.3">
      <c r="C25" s="301" t="s">
        <v>799</v>
      </c>
      <c r="D25" s="332"/>
      <c r="E25" s="332"/>
      <c r="F25" s="347"/>
      <c r="G25" s="348" t="str">
        <f>_xlfn.CONCAT(_xlfn.XLOOKUP("[S04_NationalLawPermitUpdate][7][PermitUpdateNationalLawDetail]",Submission!$O:$O,Submission!$H:$N,""))</f>
        <v/>
      </c>
      <c r="H25" s="349"/>
      <c r="I25" s="350"/>
    </row>
    <row r="26" spans="1:9" ht="15.9" hidden="1" customHeight="1" outlineLevel="1" x14ac:dyDescent="0.3">
      <c r="C26" s="301" t="s">
        <v>800</v>
      </c>
      <c r="D26" s="332"/>
      <c r="E26" s="332"/>
      <c r="F26" s="347"/>
      <c r="G26" s="348" t="str">
        <f>_xlfn.CONCAT(_xlfn.XLOOKUP("[S04_NationalLawPermitUpdate][8][PermitUpdateNationalLawDetail]",Submission!$O:$O,Submission!$H:$N,""))</f>
        <v/>
      </c>
      <c r="H26" s="349"/>
      <c r="I26" s="350"/>
    </row>
    <row r="27" spans="1:9" ht="15.9" hidden="1" customHeight="1" outlineLevel="1" x14ac:dyDescent="0.3">
      <c r="C27" s="301" t="s">
        <v>801</v>
      </c>
      <c r="D27" s="332"/>
      <c r="E27" s="332"/>
      <c r="F27" s="347"/>
      <c r="G27" s="348" t="str">
        <f>_xlfn.CONCAT(_xlfn.XLOOKUP("[S04_NationalLawPermitUpdate][9][PermitUpdateNationalLawDetail]",Submission!$O:$O,Submission!$H:$N,""))</f>
        <v/>
      </c>
      <c r="H27" s="349"/>
      <c r="I27" s="350"/>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5" t="s">
        <v>803</v>
      </c>
      <c r="C30" s="276"/>
      <c r="D30" s="276"/>
      <c r="E30" s="276"/>
      <c r="F30" s="276"/>
      <c r="G30" s="276"/>
      <c r="H30" s="276"/>
      <c r="I30" s="276"/>
    </row>
    <row r="31" spans="1:9" ht="15.9" customHeight="1" x14ac:dyDescent="0.3">
      <c r="B31" s="11"/>
      <c r="C31" s="314" t="s">
        <v>804</v>
      </c>
      <c r="D31" s="315"/>
      <c r="E31" s="315"/>
      <c r="F31" s="315"/>
      <c r="G31" s="316"/>
      <c r="H31" s="351" t="str">
        <f>_xlfn.CONCAT(_xlfn.XLOOKUP("[PermitUpdateTotalNumber][0][PermitUpdateTotalNumber]",Submission!$O:$O,Submission!$H:$N,""))</f>
        <v>0</v>
      </c>
      <c r="I31" s="352"/>
    </row>
  </sheetData>
  <mergeCells count="46">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 ref="H15:I15"/>
    <mergeCell ref="B4:I4"/>
    <mergeCell ref="B3:I3"/>
    <mergeCell ref="H8:I8"/>
    <mergeCell ref="H11:I11"/>
    <mergeCell ref="B5:H5"/>
    <mergeCell ref="H7:I7"/>
    <mergeCell ref="C7:F7"/>
    <mergeCell ref="C8:F8"/>
    <mergeCell ref="C11:F11"/>
    <mergeCell ref="C9:F9"/>
    <mergeCell ref="C10:F10"/>
    <mergeCell ref="H9:I9"/>
    <mergeCell ref="H10:I10"/>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385" t="s">
        <v>805</v>
      </c>
      <c r="C3" s="385"/>
      <c r="D3" s="385"/>
      <c r="E3" s="385"/>
      <c r="F3" s="385"/>
      <c r="G3" s="385"/>
      <c r="H3" s="385"/>
      <c r="I3" s="385"/>
    </row>
    <row r="4" spans="1:9" s="7" customFormat="1" ht="18" x14ac:dyDescent="0.35">
      <c r="A4" s="85" t="s">
        <v>806</v>
      </c>
      <c r="B4" s="310" t="s">
        <v>145</v>
      </c>
      <c r="C4" s="310"/>
      <c r="D4" s="310"/>
      <c r="E4" s="310"/>
      <c r="F4" s="310"/>
      <c r="G4" s="310"/>
      <c r="H4" s="310"/>
      <c r="I4" s="311"/>
    </row>
    <row r="5" spans="1:9" s="7" customFormat="1" ht="15.9" customHeight="1" x14ac:dyDescent="0.3">
      <c r="A5" s="30" t="s">
        <v>146</v>
      </c>
      <c r="B5" s="395" t="s">
        <v>807</v>
      </c>
      <c r="C5" s="396"/>
      <c r="D5" s="396"/>
      <c r="E5" s="396"/>
      <c r="F5" s="396"/>
      <c r="G5" s="396"/>
      <c r="H5" s="396"/>
      <c r="I5" s="396"/>
    </row>
    <row r="6" spans="1:9" s="7" customFormat="1" ht="15.9" customHeight="1" x14ac:dyDescent="0.3">
      <c r="B6" s="389" t="s">
        <v>808</v>
      </c>
      <c r="C6" s="390"/>
      <c r="D6" s="390"/>
      <c r="E6" s="390"/>
      <c r="F6" s="390"/>
      <c r="G6" s="390"/>
      <c r="H6" s="391"/>
      <c r="I6" s="41" t="str">
        <f>_xlfn.CONCAT(_xlfn.XLOOKUP("[AdditionalNationalLegislation][0][AdditionalNationalLegislation]",Submission!$O:$O,Submission!$H:$N,""))</f>
        <v>Yes</v>
      </c>
    </row>
    <row r="7" spans="1:9" s="7" customFormat="1" ht="17.399999999999999" customHeight="1" x14ac:dyDescent="0.3">
      <c r="B7" s="264" t="s">
        <v>809</v>
      </c>
      <c r="C7" s="265"/>
      <c r="D7" s="265"/>
      <c r="E7" s="265"/>
      <c r="F7" s="265"/>
      <c r="G7" s="265"/>
      <c r="H7" s="265"/>
      <c r="I7" s="265"/>
    </row>
    <row r="8" spans="1:9" s="7" customFormat="1" ht="27" customHeight="1" x14ac:dyDescent="0.3">
      <c r="A8" s="8"/>
      <c r="C8" s="258" t="str">
        <f>_xlfn.CONCAT(_xlfn.XLOOKUP("[AdditionalNationalLegislationDetail][0][AdditionalNationalLegislationDetail]",Submission!$O:$O,Submission!$H:$N,""))</f>
        <v>Stacionārās iekārtas - MK 13.12.2012. noteikumi Nr.769 „Noteikumi par stacionāro tehnoloģisko iekārtu dalību Eiropas Savienības emisijas kvotu tirdzniecības sistēmā”; gaisa kuģu operatori - MK 09.07.2013. noteikumi Nr.366 „Noteikumi par aviācijas darbību dalību Eiropas Savienības emisijas kvotu tirdzniecības sistēmā”.</v>
      </c>
      <c r="D8" s="369"/>
      <c r="E8" s="369"/>
      <c r="F8" s="369"/>
      <c r="G8" s="369"/>
      <c r="H8" s="369"/>
      <c r="I8" s="259"/>
    </row>
    <row r="9" spans="1:9" s="7" customFormat="1" ht="14.4" x14ac:dyDescent="0.3">
      <c r="A9" s="8"/>
      <c r="D9" s="31"/>
      <c r="E9" s="31"/>
      <c r="F9" s="31"/>
      <c r="G9" s="31"/>
      <c r="H9" s="31"/>
      <c r="I9" s="31"/>
    </row>
    <row r="10" spans="1:9" s="7" customFormat="1" ht="15.9" customHeight="1" x14ac:dyDescent="0.3">
      <c r="A10" s="30"/>
      <c r="B10" s="389" t="s">
        <v>810</v>
      </c>
      <c r="C10" s="390"/>
      <c r="D10" s="390"/>
      <c r="E10" s="390"/>
      <c r="F10" s="390"/>
      <c r="G10" s="390"/>
      <c r="H10" s="391"/>
      <c r="I10" s="41" t="str">
        <f>_xlfn.CONCAT(_xlfn.XLOOKUP("[AdditionalNationalGuidance][0][AdditionalNationalGuidance]",Submission!$O:$O,Submission!$H:$N,""))</f>
        <v>Yes</v>
      </c>
    </row>
    <row r="11" spans="1:9" s="7" customFormat="1" ht="17.399999999999999" customHeight="1" x14ac:dyDescent="0.3">
      <c r="A11" s="30"/>
      <c r="B11" s="264" t="s">
        <v>811</v>
      </c>
      <c r="C11" s="265"/>
      <c r="D11" s="265"/>
      <c r="E11" s="265"/>
      <c r="F11" s="265"/>
      <c r="G11" s="265"/>
      <c r="H11" s="265"/>
      <c r="I11" s="265"/>
    </row>
    <row r="12" spans="1:9" s="7" customFormat="1" ht="15" customHeight="1" x14ac:dyDescent="0.3">
      <c r="A12" s="8"/>
      <c r="C12" s="258" t="str">
        <f>_xlfn.CONCAT(_xlfn.XLOOKUP("[AdditionalNationalGuidanceDetail][0][AdditionalNationalGuidanceDetail]",Submission!$O:$O,Submission!$H:$N,""))</f>
        <v>VARAM izstrādājusi procedūru „Stacionāro tehnoloģisko iekārtu dalības Eiropas Savienības emisijas kvotu tirdzniecības sistēmā nodrošināšanas kārtība”.</v>
      </c>
      <c r="D12" s="369"/>
      <c r="E12" s="369"/>
      <c r="F12" s="369"/>
      <c r="G12" s="369"/>
      <c r="H12" s="369"/>
      <c r="I12" s="259"/>
    </row>
    <row r="13" spans="1:9" ht="18" customHeight="1" x14ac:dyDescent="0.3">
      <c r="A13" s="145" t="s">
        <v>152</v>
      </c>
      <c r="B13" s="392" t="s">
        <v>812</v>
      </c>
      <c r="C13" s="393"/>
      <c r="D13" s="393"/>
      <c r="E13" s="393"/>
      <c r="F13" s="393"/>
      <c r="G13" s="393"/>
      <c r="H13" s="393"/>
      <c r="I13" s="393"/>
    </row>
    <row r="14" spans="1:9" ht="37.200000000000003" customHeight="1" x14ac:dyDescent="0.3">
      <c r="A14" s="12"/>
      <c r="B14" s="275" t="s">
        <v>813</v>
      </c>
      <c r="C14" s="276"/>
      <c r="D14" s="276"/>
      <c r="E14" s="276"/>
      <c r="F14" s="276"/>
      <c r="G14" s="276"/>
      <c r="H14" s="276"/>
      <c r="I14" s="276"/>
    </row>
    <row r="15" spans="1:9" ht="15.9" customHeight="1" x14ac:dyDescent="0.3">
      <c r="A15" s="13"/>
      <c r="C15" s="371" t="s">
        <v>814</v>
      </c>
      <c r="D15" s="371"/>
      <c r="E15" s="371"/>
      <c r="F15" s="371"/>
      <c r="G15" s="42" t="s">
        <v>709</v>
      </c>
      <c r="H15" s="371" t="s">
        <v>710</v>
      </c>
      <c r="I15" s="371"/>
    </row>
    <row r="16" spans="1:9" s="58" customFormat="1" ht="32.4" customHeight="1" x14ac:dyDescent="0.3">
      <c r="C16" s="382" t="s">
        <v>815</v>
      </c>
      <c r="D16" s="382"/>
      <c r="E16" s="382"/>
      <c r="F16" s="382"/>
      <c r="G16" s="47" t="str">
        <f>_xlfn.CONCAT(_xlfn.XLOOKUP("[MeasuresStreamline][1][MeasuresStreamlineYesNo]",Submission!$O:$O,Submission!$H:$N,""))</f>
        <v>Yes</v>
      </c>
      <c r="H16" s="394" t="str">
        <f>_xlfn.CONCAT(_xlfn.XLOOKUP("[MeasuresStreamline][1][MeasuresStreamlineComments]",Submission!$O:$O,Submission!$H:$N,""))</f>
        <v/>
      </c>
      <c r="I16" s="394"/>
    </row>
    <row r="17" spans="1:9" s="58" customFormat="1" ht="32.4" customHeight="1" x14ac:dyDescent="0.3">
      <c r="C17" s="382" t="s">
        <v>816</v>
      </c>
      <c r="D17" s="382"/>
      <c r="E17" s="382"/>
      <c r="F17" s="382"/>
      <c r="G17" s="47" t="str">
        <f>_xlfn.CONCAT(_xlfn.XLOOKUP("[MeasuresStreamline][2][MeasuresStreamlineYesNo]",Submission!$O:$O,Submission!$H:$N,""))</f>
        <v>Yes</v>
      </c>
      <c r="H17" s="394" t="str">
        <f>_xlfn.CONCAT(_xlfn.XLOOKUP("[MeasuresStreamline][2][MeasuresStreamlineComments]",Submission!$O:$O,Submission!$H:$N,""))</f>
        <v/>
      </c>
      <c r="I17" s="394"/>
    </row>
    <row r="18" spans="1:9" s="58" customFormat="1" ht="32.4" customHeight="1" x14ac:dyDescent="0.3">
      <c r="C18" s="382" t="s">
        <v>817</v>
      </c>
      <c r="D18" s="382"/>
      <c r="E18" s="382"/>
      <c r="F18" s="382"/>
      <c r="G18" s="47" t="str">
        <f>_xlfn.CONCAT(_xlfn.XLOOKUP("[MeasuresStreamline][3][MeasuresStreamlineYesNo]",Submission!$O:$O,Submission!$H:$N,""))</f>
        <v>No</v>
      </c>
      <c r="H18" s="394" t="str">
        <f>_xlfn.CONCAT(_xlfn.XLOOKUP("[MeasuresStreamline][3][MeasuresStreamlineComments]",Submission!$O:$O,Submission!$H:$N,""))</f>
        <v/>
      </c>
      <c r="I18" s="394"/>
    </row>
    <row r="19" spans="1:9" s="58" customFormat="1" ht="32.4" customHeight="1" x14ac:dyDescent="0.3">
      <c r="C19" s="382" t="s">
        <v>818</v>
      </c>
      <c r="D19" s="382"/>
      <c r="E19" s="382"/>
      <c r="F19" s="382"/>
      <c r="G19" s="47" t="str">
        <f>_xlfn.CONCAT(_xlfn.XLOOKUP("[MeasuresStreamline][4][MeasuresStreamlineYesNo]",Submission!$O:$O,Submission!$H:$N,""))</f>
        <v>Yes</v>
      </c>
      <c r="H19" s="394" t="str">
        <f>_xlfn.CONCAT(_xlfn.XLOOKUP("[MeasuresStreamline][4][MeasuresStreamlineComments]",Submission!$O:$O,Submission!$H:$N,""))</f>
        <v/>
      </c>
      <c r="I19" s="394"/>
    </row>
    <row r="20" spans="1:9" s="58" customFormat="1" ht="32.4" customHeight="1" x14ac:dyDescent="0.3">
      <c r="C20" s="382" t="s">
        <v>819</v>
      </c>
      <c r="D20" s="382"/>
      <c r="E20" s="382"/>
      <c r="F20" s="382"/>
      <c r="G20" s="47" t="str">
        <f>_xlfn.CONCAT(_xlfn.XLOOKUP("[MeasuresStreamline][5][MeasuresStreamlineYesNo]",Submission!$O:$O,Submission!$H:$N,""))</f>
        <v>No</v>
      </c>
      <c r="H20" s="394" t="str">
        <f>_xlfn.CONCAT(_xlfn.XLOOKUP("[MeasuresStreamline][5][MeasuresStreamlineComments]",Submission!$O:$O,Submission!$H:$N,""))</f>
        <v/>
      </c>
      <c r="I20" s="394"/>
    </row>
    <row r="21" spans="1:9" s="58" customFormat="1" ht="32.4" customHeight="1" x14ac:dyDescent="0.3">
      <c r="C21" s="382" t="s">
        <v>820</v>
      </c>
      <c r="D21" s="382"/>
      <c r="E21" s="382"/>
      <c r="F21" s="382"/>
      <c r="G21" s="47" t="str">
        <f>_xlfn.CONCAT(_xlfn.XLOOKUP("[MeasuresStreamline][6][MeasuresStreamlineYesNo]",Submission!$O:$O,Submission!$H:$N,""))</f>
        <v>No</v>
      </c>
      <c r="H21" s="394" t="str">
        <f>_xlfn.CONCAT(_xlfn.XLOOKUP("[MeasuresStreamline][6][MeasuresStreamlineComments]",Submission!$O:$O,Submission!$H:$N,""))</f>
        <v/>
      </c>
      <c r="I21" s="394"/>
    </row>
    <row r="22" spans="1:9" s="58" customFormat="1" ht="32.4" customHeight="1" x14ac:dyDescent="0.3">
      <c r="A22" s="75"/>
      <c r="C22" s="249" t="s">
        <v>821</v>
      </c>
      <c r="D22" s="272"/>
      <c r="E22" s="272"/>
      <c r="F22" s="273"/>
      <c r="G22" s="47" t="str">
        <f>_xlfn.CONCAT(_xlfn.XLOOKUP("[MeasuresStreamline][7][MeasuresStreamlineYesNo]",Submission!$O:$O,Submission!$H:$N,""))</f>
        <v>No</v>
      </c>
      <c r="H22" s="394" t="str">
        <f>_xlfn.CONCAT(_xlfn.XLOOKUP("[MeasuresStreamline][7][MeasuresStreamlineComments]",Submission!$O:$O,Submission!$H:$N,""))</f>
        <v/>
      </c>
      <c r="I22" s="394"/>
    </row>
    <row r="23" spans="1:9" ht="15.9" customHeight="1" x14ac:dyDescent="0.3">
      <c r="C23" s="32"/>
      <c r="D23" s="32"/>
      <c r="E23" s="32"/>
      <c r="H23" s="32"/>
      <c r="I23" s="32"/>
    </row>
    <row r="24" spans="1:9" ht="15.6" customHeight="1" x14ac:dyDescent="0.3">
      <c r="A24" s="145" t="s">
        <v>169</v>
      </c>
      <c r="B24" s="392" t="s">
        <v>822</v>
      </c>
      <c r="C24" s="393"/>
      <c r="D24" s="393"/>
      <c r="E24" s="393"/>
      <c r="F24" s="393"/>
      <c r="G24" s="393"/>
      <c r="H24" s="393"/>
      <c r="I24" s="393"/>
    </row>
    <row r="25" spans="1:9" ht="36.6" customHeight="1" x14ac:dyDescent="0.3">
      <c r="A25" s="12"/>
      <c r="B25" s="338" t="s">
        <v>823</v>
      </c>
      <c r="C25" s="308"/>
      <c r="D25" s="308"/>
      <c r="E25" s="308"/>
      <c r="F25" s="308"/>
      <c r="G25" s="308"/>
      <c r="H25" s="345"/>
      <c r="I25" s="47" t="str">
        <f>_xlfn.CONCAT(_xlfn.XLOOKUP("[CommissionTemplatesMRR][0][CommissionTemplatesMRR]",Submission!$O:$O,Submission!$H:$N,""))</f>
        <v>Yes</v>
      </c>
    </row>
    <row r="26" spans="1:9" s="7" customFormat="1" ht="36.6" customHeight="1" x14ac:dyDescent="0.3">
      <c r="A26" s="30"/>
      <c r="B26" s="264" t="s">
        <v>824</v>
      </c>
      <c r="C26" s="265"/>
      <c r="D26" s="265"/>
      <c r="E26" s="265"/>
      <c r="F26" s="265"/>
      <c r="G26" s="265"/>
      <c r="H26" s="265"/>
      <c r="I26" s="265"/>
    </row>
    <row r="27" spans="1:9" ht="28.95" customHeight="1" x14ac:dyDescent="0.3">
      <c r="C27" s="330"/>
      <c r="D27" s="386"/>
      <c r="E27" s="387"/>
      <c r="F27" s="314" t="s">
        <v>825</v>
      </c>
      <c r="G27" s="316"/>
      <c r="H27" s="314" t="s">
        <v>826</v>
      </c>
      <c r="I27" s="316"/>
    </row>
    <row r="28" spans="1:9" ht="15.9" customHeight="1" x14ac:dyDescent="0.3">
      <c r="C28" s="251" t="s">
        <v>827</v>
      </c>
      <c r="D28" s="257"/>
      <c r="E28" s="250"/>
      <c r="F28" s="274" t="str">
        <f>_xlfn.CONCAT(_xlfn.XLOOKUP("[S05_MSCustomisedTemplatesMRR1][1][SpecificTemplateOrFileFormat]",Submission!$O:$O,Submission!$H:$N,""))</f>
        <v/>
      </c>
      <c r="G28" s="364"/>
      <c r="H28" s="388" t="str">
        <f>_xlfn.CONCAT(_xlfn.XLOOKUP("[S05_MSCustomisedTemplatesMRR1][1][HowTemplateSpecific]",Submission!$O:$O,Submission!$H:$N,""))</f>
        <v/>
      </c>
      <c r="I28" s="388"/>
    </row>
    <row r="29" spans="1:9" ht="15.9" customHeight="1" x14ac:dyDescent="0.3">
      <c r="C29" s="251" t="s">
        <v>828</v>
      </c>
      <c r="D29" s="257"/>
      <c r="E29" s="250"/>
      <c r="F29" s="274" t="str">
        <f>_xlfn.CONCAT(_xlfn.XLOOKUP("[S05_MSCustomisedTemplatesMRR1][2][SpecificTemplateOrFileFormat]",Submission!$O:$O,Submission!$H:$N,""))</f>
        <v/>
      </c>
      <c r="G29" s="364"/>
      <c r="H29" s="388" t="str">
        <f>_xlfn.CONCAT(_xlfn.XLOOKUP("[S05_MSCustomisedTemplatesMRR1][2][HowTemplateSpecific]",Submission!$O:$O,Submission!$H:$N,""))</f>
        <v/>
      </c>
      <c r="I29" s="388"/>
    </row>
    <row r="30" spans="1:9" ht="15.9" customHeight="1" x14ac:dyDescent="0.3">
      <c r="C30" s="251" t="s">
        <v>829</v>
      </c>
      <c r="D30" s="257"/>
      <c r="E30" s="250"/>
      <c r="F30" s="274" t="str">
        <f>_xlfn.CONCAT(_xlfn.XLOOKUP("[S05_MSCustomisedTemplatesMRR1][3][SpecificTemplateOrFileFormat]",Submission!$O:$O,Submission!$H:$N,""))</f>
        <v/>
      </c>
      <c r="G30" s="364"/>
      <c r="H30" s="388" t="str">
        <f>_xlfn.CONCAT(_xlfn.XLOOKUP("[S05_MSCustomisedTemplatesMRR1][3][HowTemplateSpecific]",Submission!$O:$O,Submission!$H:$N,""))</f>
        <v/>
      </c>
      <c r="I30" s="388"/>
    </row>
    <row r="31" spans="1:9" ht="15.9" customHeight="1" x14ac:dyDescent="0.3">
      <c r="C31" s="251" t="s">
        <v>830</v>
      </c>
      <c r="D31" s="257"/>
      <c r="E31" s="250"/>
      <c r="F31" s="274" t="str">
        <f>_xlfn.CONCAT(_xlfn.XLOOKUP("[S05_MSCustomisedTemplatesMRR1][4][SpecificTemplateOrFileFormat]",Submission!$O:$O,Submission!$H:$N,""))</f>
        <v/>
      </c>
      <c r="G31" s="364"/>
      <c r="H31" s="388" t="str">
        <f>_xlfn.CONCAT(_xlfn.XLOOKUP("[S05_MSCustomisedTemplatesMRR1][4][HowTemplateSpecific]",Submission!$O:$O,Submission!$H:$N,""))</f>
        <v/>
      </c>
      <c r="I31" s="388"/>
    </row>
    <row r="32" spans="1:9" ht="15.9" customHeight="1" x14ac:dyDescent="0.3">
      <c r="C32" s="344" t="s">
        <v>831</v>
      </c>
      <c r="D32" s="344"/>
      <c r="E32" s="344"/>
      <c r="F32" s="344"/>
      <c r="G32" s="344"/>
      <c r="H32" s="344"/>
      <c r="I32" s="344"/>
    </row>
    <row r="33" spans="1:9" ht="15.9" customHeight="1" x14ac:dyDescent="0.3">
      <c r="B33" s="14"/>
      <c r="C33" s="14"/>
      <c r="D33" s="14"/>
      <c r="E33" s="14"/>
      <c r="F33" s="14"/>
      <c r="G33" s="14"/>
      <c r="H33" s="14"/>
      <c r="I33" s="14"/>
    </row>
    <row r="34" spans="1:9" ht="26.1" customHeight="1" x14ac:dyDescent="0.3">
      <c r="C34" s="330"/>
      <c r="D34" s="386"/>
      <c r="E34" s="387"/>
      <c r="F34" s="314" t="s">
        <v>832</v>
      </c>
      <c r="G34" s="316"/>
      <c r="H34" s="314" t="s">
        <v>826</v>
      </c>
      <c r="I34" s="316"/>
    </row>
    <row r="35" spans="1:9" ht="15.9" customHeight="1" x14ac:dyDescent="0.3">
      <c r="C35" s="251" t="s">
        <v>833</v>
      </c>
      <c r="D35" s="257"/>
      <c r="E35" s="250"/>
      <c r="F35" s="274" t="str">
        <f>_xlfn.CONCAT(_xlfn.XLOOKUP("[S05_MSCustomisedTemplatesMRR2][1][SpecificTemplateOrFileFormat]",Submission!$O:$O,Submission!$H:$N,""))</f>
        <v/>
      </c>
      <c r="G35" s="364"/>
      <c r="H35" s="388" t="str">
        <f>_xlfn.CONCAT(_xlfn.XLOOKUP("[S05_MSCustomisedTemplatesMRR2][1][HowTemplateSpecific]",Submission!$O:$O,Submission!$H:$N,""))</f>
        <v/>
      </c>
      <c r="I35" s="388"/>
    </row>
    <row r="36" spans="1:9" ht="15.9" customHeight="1" x14ac:dyDescent="0.3">
      <c r="C36" s="251" t="s">
        <v>834</v>
      </c>
      <c r="D36" s="257"/>
      <c r="E36" s="250"/>
      <c r="F36" s="274" t="str">
        <f>_xlfn.CONCAT(_xlfn.XLOOKUP("[S05_MSCustomisedTemplatesMRR2][2][SpecificTemplateOrFileFormat]",Submission!$O:$O,Submission!$H:$N,""))</f>
        <v/>
      </c>
      <c r="G36" s="364"/>
      <c r="H36" s="388" t="str">
        <f>_xlfn.CONCAT(_xlfn.XLOOKUP("[S05_MSCustomisedTemplatesMRR2][2][HowTemplateSpecific]",Submission!$O:$O,Submission!$H:$N,""))</f>
        <v/>
      </c>
      <c r="I36" s="388"/>
    </row>
    <row r="37" spans="1:9" ht="15.9" customHeight="1" x14ac:dyDescent="0.3">
      <c r="C37" s="251" t="s">
        <v>835</v>
      </c>
      <c r="D37" s="257"/>
      <c r="E37" s="250"/>
      <c r="F37" s="274" t="str">
        <f>_xlfn.CONCAT(_xlfn.XLOOKUP("[S05_MSCustomisedTemplatesMRR2][3][SpecificTemplateOrFileFormat]",Submission!$O:$O,Submission!$H:$N,""))</f>
        <v/>
      </c>
      <c r="G37" s="364"/>
      <c r="H37" s="388" t="str">
        <f>_xlfn.CONCAT(_xlfn.XLOOKUP("[S05_MSCustomisedTemplatesMRR2][3][HowTemplateSpecific]",Submission!$O:$O,Submission!$H:$N,""))</f>
        <v/>
      </c>
      <c r="I37" s="388"/>
    </row>
    <row r="38" spans="1:9" ht="15.9" customHeight="1" x14ac:dyDescent="0.3">
      <c r="C38" s="251" t="s">
        <v>836</v>
      </c>
      <c r="D38" s="257"/>
      <c r="E38" s="250"/>
      <c r="F38" s="274" t="str">
        <f>_xlfn.CONCAT(_xlfn.XLOOKUP("[S05_MSCustomisedTemplatesMRR2][4][SpecificTemplateOrFileFormat]",Submission!$O:$O,Submission!$H:$N,""))</f>
        <v/>
      </c>
      <c r="G38" s="364"/>
      <c r="H38" s="388" t="str">
        <f>_xlfn.CONCAT(_xlfn.XLOOKUP("[S05_MSCustomisedTemplatesMRR2][4][HowTemplateSpecific]",Submission!$O:$O,Submission!$H:$N,""))</f>
        <v/>
      </c>
      <c r="I38" s="388"/>
    </row>
    <row r="39" spans="1:9" ht="15.9" customHeight="1" x14ac:dyDescent="0.3">
      <c r="C39" s="344" t="s">
        <v>837</v>
      </c>
      <c r="D39" s="344"/>
      <c r="E39" s="344"/>
      <c r="F39" s="344"/>
      <c r="G39" s="344"/>
      <c r="H39" s="344"/>
      <c r="I39" s="344"/>
    </row>
    <row r="40" spans="1:9" s="10" customFormat="1" ht="14.4" x14ac:dyDescent="0.3">
      <c r="A40" s="9"/>
      <c r="C40" s="20"/>
      <c r="D40" s="24"/>
      <c r="E40" s="24"/>
      <c r="F40" s="24"/>
      <c r="G40" s="24"/>
      <c r="H40" s="24"/>
      <c r="I40" s="24"/>
    </row>
    <row r="41" spans="1:9" ht="18" customHeight="1" x14ac:dyDescent="0.3">
      <c r="A41" s="13"/>
      <c r="B41" s="275" t="s">
        <v>838</v>
      </c>
      <c r="C41" s="276"/>
      <c r="D41" s="276"/>
      <c r="E41" s="276"/>
      <c r="F41" s="276"/>
      <c r="G41" s="276"/>
      <c r="H41" s="276"/>
      <c r="I41" s="276"/>
    </row>
    <row r="42" spans="1:9" ht="15.9" customHeight="1" x14ac:dyDescent="0.3">
      <c r="A42" s="13"/>
      <c r="B42" s="7"/>
      <c r="C42" s="258" t="str">
        <f>_xlfn.CONCAT(_xlfn.XLOOKUP("[ComplyMeasuresArt74][0][ComplyMeasuresArt74]",Submission!$O:$O,Submission!$H:$N,""))</f>
        <v>Latvijas normatīvajos aktos ir noteikts, ka operators un gaisa kuģu operators izmanto Eiropas Komisijas izstrādātās veidlapas monitoringa plānam, tonnkilometru monitoringa plānam un gaisa kuģu operatora emisiju ziņojumam. Sākot ar 2014.gada atbilstības ciklu operators izmanto EK izstrādāto ikgadējā emisiju ziņojuma veidlapu. Operators izmanto standarta ar Latvijas tiesību aktiem apstiprinātās veidlapas iesniegumam SEG atļaujas saņemšanai un grozījumu veikšanai. Kompetentā iestāde izmanto ar Latvijas tiesību aktiem apstiprinātās SEG atļaujas veidlapas.</v>
      </c>
      <c r="D42" s="369"/>
      <c r="E42" s="369"/>
      <c r="F42" s="369"/>
      <c r="G42" s="369"/>
      <c r="H42" s="369"/>
      <c r="I42" s="259"/>
    </row>
    <row r="43" spans="1:9" ht="15.9" customHeight="1" x14ac:dyDescent="0.3">
      <c r="A43" s="13"/>
      <c r="B43" s="7"/>
      <c r="C43" s="31"/>
      <c r="D43" s="31"/>
      <c r="E43" s="31"/>
      <c r="F43" s="31"/>
      <c r="G43" s="31"/>
      <c r="H43" s="31"/>
      <c r="I43" s="31"/>
    </row>
    <row r="44" spans="1:9" ht="15.9" customHeight="1" x14ac:dyDescent="0.25">
      <c r="A44" s="12" t="s">
        <v>176</v>
      </c>
      <c r="B44" s="392" t="s">
        <v>839</v>
      </c>
      <c r="C44" s="393"/>
      <c r="D44" s="393"/>
      <c r="E44" s="393"/>
      <c r="F44" s="393"/>
      <c r="G44" s="393"/>
      <c r="H44" s="393"/>
      <c r="I44" s="393"/>
    </row>
    <row r="45" spans="1:9" s="7" customFormat="1" ht="32.1" customHeight="1" x14ac:dyDescent="0.3">
      <c r="A45" s="30"/>
      <c r="B45" s="338" t="s">
        <v>840</v>
      </c>
      <c r="C45" s="308"/>
      <c r="D45" s="308"/>
      <c r="E45" s="308"/>
      <c r="F45" s="308"/>
      <c r="G45" s="308"/>
      <c r="H45" s="345"/>
      <c r="I45" s="47" t="str">
        <f>_xlfn.CONCAT(_xlfn.XLOOKUP("[AutomatedSystemInformationExchange][0][AutomatedSystemInformationExchange]",Submission!$O:$O,Submission!$H:$N,""))</f>
        <v>Yes</v>
      </c>
    </row>
    <row r="46" spans="1:9" s="7" customFormat="1" ht="16.95" customHeight="1" x14ac:dyDescent="0.3">
      <c r="A46" s="30"/>
      <c r="B46" s="275" t="s">
        <v>841</v>
      </c>
      <c r="C46" s="276"/>
      <c r="D46" s="276"/>
      <c r="E46" s="276"/>
      <c r="F46" s="276"/>
      <c r="G46" s="276"/>
      <c r="H46" s="276"/>
      <c r="I46" s="276"/>
    </row>
    <row r="47" spans="1:9" s="7" customFormat="1" ht="15" customHeight="1" x14ac:dyDescent="0.3">
      <c r="A47" s="8"/>
      <c r="C47" s="258" t="str">
        <f>_xlfn.CONCAT(_xlfn.XLOOKUP("[ComplyRequirementsArt75][0][ComplyRequirementsArt75]",Submission!$O:$O,Submission!$H:$N,""))</f>
        <v>ets-reporting.ec.europa.eu/ ; iesniegumu SEG atļaujas saņemšanai var iesniegt arī elektroniski, reģistrējoties Valsts vides dienesta vienotās vides informācijas sistēmā “TULPE”.</v>
      </c>
      <c r="D47" s="369"/>
      <c r="E47" s="369"/>
      <c r="F47" s="369"/>
      <c r="G47" s="369"/>
      <c r="H47" s="369"/>
      <c r="I47" s="259"/>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10" t="s">
        <v>74</v>
      </c>
      <c r="C50" s="310"/>
      <c r="D50" s="310"/>
      <c r="E50" s="310"/>
      <c r="F50" s="310"/>
      <c r="G50" s="310"/>
      <c r="H50" s="310"/>
      <c r="I50" s="311"/>
    </row>
    <row r="51" spans="1:9" ht="35.4" customHeight="1" x14ac:dyDescent="0.3">
      <c r="A51" s="12" t="s">
        <v>183</v>
      </c>
      <c r="B51" s="312" t="s">
        <v>843</v>
      </c>
      <c r="C51" s="313"/>
      <c r="D51" s="313"/>
      <c r="E51" s="313"/>
      <c r="F51" s="313"/>
      <c r="G51" s="313"/>
      <c r="H51" s="313"/>
      <c r="I51" s="313"/>
    </row>
    <row r="52" spans="1:9" ht="18.75" customHeight="1" x14ac:dyDescent="0.3">
      <c r="C52" s="314" t="s">
        <v>193</v>
      </c>
      <c r="D52" s="315"/>
      <c r="E52" s="316"/>
      <c r="F52" s="314" t="s">
        <v>844</v>
      </c>
      <c r="G52" s="316"/>
      <c r="H52" s="314" t="s">
        <v>845</v>
      </c>
      <c r="I52" s="316"/>
    </row>
    <row r="53" spans="1:9" ht="15.9" customHeight="1" x14ac:dyDescent="0.3">
      <c r="C53" s="251" t="s">
        <v>195</v>
      </c>
      <c r="D53" s="257"/>
      <c r="E53" s="250"/>
      <c r="F53" s="377" t="str">
        <f>_xlfn.CONCAT(_xlfn.XLOOKUP("[S05_InstallationFuelConsEmissions][1][FuelConsumption]",Submission!$O:$O,Submission!$H:$N,""))</f>
        <v/>
      </c>
      <c r="G53" s="378"/>
      <c r="H53" s="375" t="str">
        <f>_xlfn.CONCAT(_xlfn.XLOOKUP("[S05_InstallationFuelConsEmissions][1][FuelAnnualEmissions]",Submission!$O:$O,Submission!$H:$N,""))</f>
        <v/>
      </c>
      <c r="I53" s="376"/>
    </row>
    <row r="54" spans="1:9" ht="15.9" customHeight="1" x14ac:dyDescent="0.3">
      <c r="C54" s="251" t="s">
        <v>197</v>
      </c>
      <c r="D54" s="257"/>
      <c r="E54" s="250"/>
      <c r="F54" s="377" t="str">
        <f>_xlfn.CONCAT(_xlfn.XLOOKUP("[S05_InstallationFuelConsEmissions][2][FuelConsumption]",Submission!$O:$O,Submission!$H:$N,""))</f>
        <v>608.47675331</v>
      </c>
      <c r="G54" s="378"/>
      <c r="H54" s="375" t="str">
        <f>_xlfn.CONCAT(_xlfn.XLOOKUP("[S05_InstallationFuelConsEmissions][2][FuelAnnualEmissions]",Submission!$O:$O,Submission!$H:$N,""))</f>
        <v>56701.2265948743</v>
      </c>
      <c r="I54" s="376"/>
    </row>
    <row r="55" spans="1:9" ht="15.9" customHeight="1" x14ac:dyDescent="0.3">
      <c r="C55" s="251" t="s">
        <v>199</v>
      </c>
      <c r="D55" s="257"/>
      <c r="E55" s="250"/>
      <c r="F55" s="377" t="str">
        <f>_xlfn.CONCAT(_xlfn.XLOOKUP("[S05_InstallationFuelConsEmissions][3][FuelConsumption]",Submission!$O:$O,Submission!$H:$N,""))</f>
        <v>0.5025</v>
      </c>
      <c r="G55" s="378"/>
      <c r="H55" s="375" t="str">
        <f>_xlfn.CONCAT(_xlfn.XLOOKUP("[S05_InstallationFuelConsEmissions][3][FuelAnnualEmissions]",Submission!$O:$O,Submission!$H:$N,""))</f>
        <v>53.2580655</v>
      </c>
      <c r="I55" s="376"/>
    </row>
    <row r="56" spans="1:9" ht="15.9" customHeight="1" x14ac:dyDescent="0.3">
      <c r="C56" s="251" t="s">
        <v>201</v>
      </c>
      <c r="D56" s="257"/>
      <c r="E56" s="250"/>
      <c r="F56" s="377" t="str">
        <f>_xlfn.CONCAT(_xlfn.XLOOKUP("[S05_InstallationFuelConsEmissions][4][FuelConsumption]",Submission!$O:$O,Submission!$H:$N,""))</f>
        <v/>
      </c>
      <c r="G56" s="378"/>
      <c r="H56" s="375" t="str">
        <f>_xlfn.CONCAT(_xlfn.XLOOKUP("[S05_InstallationFuelConsEmissions][4][FuelAnnualEmissions]",Submission!$O:$O,Submission!$H:$N,""))</f>
        <v/>
      </c>
      <c r="I56" s="376"/>
    </row>
    <row r="57" spans="1:9" ht="15.9" customHeight="1" x14ac:dyDescent="0.3">
      <c r="C57" s="251" t="s">
        <v>846</v>
      </c>
      <c r="D57" s="257"/>
      <c r="E57" s="250"/>
      <c r="F57" s="377" t="str">
        <f>_xlfn.CONCAT(_xlfn.XLOOKUP("[S05_InstallationFuelConsEmissions][5][FuelConsumption]",Submission!$O:$O,Submission!$H:$N,""))</f>
        <v>23198.930748071</v>
      </c>
      <c r="G57" s="378"/>
      <c r="H57" s="375" t="str">
        <f>_xlfn.CONCAT(_xlfn.XLOOKUP("[S05_InstallationFuelConsEmissions][5][FuelAnnualEmissions]",Submission!$O:$O,Submission!$H:$N,""))</f>
        <v>1288088.32781947</v>
      </c>
      <c r="I57" s="376"/>
    </row>
    <row r="58" spans="1:9" ht="15.9" customHeight="1" x14ac:dyDescent="0.3">
      <c r="C58" s="251" t="s">
        <v>847</v>
      </c>
      <c r="D58" s="257"/>
      <c r="E58" s="250"/>
      <c r="F58" s="377" t="str">
        <f>_xlfn.CONCAT(_xlfn.XLOOKUP("[S05_InstallationFuelConsEmissions][6][FuelConsumption]",Submission!$O:$O,Submission!$H:$N,""))</f>
        <v/>
      </c>
      <c r="G58" s="378"/>
      <c r="H58" s="375" t="str">
        <f>_xlfn.CONCAT(_xlfn.XLOOKUP("[S05_InstallationFuelConsEmissions][6][FuelAnnualEmissions]",Submission!$O:$O,Submission!$H:$N,""))</f>
        <v/>
      </c>
      <c r="I58" s="376"/>
    </row>
    <row r="59" spans="1:9" ht="15.9" customHeight="1" x14ac:dyDescent="0.3">
      <c r="C59" s="251" t="s">
        <v>848</v>
      </c>
      <c r="D59" s="257"/>
      <c r="E59" s="250"/>
      <c r="F59" s="377" t="str">
        <f>_xlfn.CONCAT(_xlfn.XLOOKUP("[S05_InstallationFuelConsEmissions][7][FuelConsumption]",Submission!$O:$O,Submission!$H:$N,""))</f>
        <v/>
      </c>
      <c r="G59" s="378"/>
      <c r="H59" s="375" t="str">
        <f>_xlfn.CONCAT(_xlfn.XLOOKUP("[S05_InstallationFuelConsEmissions][7][FuelAnnualEmissions]",Submission!$O:$O,Submission!$H:$N,""))</f>
        <v/>
      </c>
      <c r="I59" s="376"/>
    </row>
    <row r="60" spans="1:9" ht="15.9" customHeight="1" x14ac:dyDescent="0.3">
      <c r="C60" s="251" t="s">
        <v>207</v>
      </c>
      <c r="D60" s="257"/>
      <c r="E60" s="250"/>
      <c r="F60" s="377" t="str">
        <f>_xlfn.CONCAT(_xlfn.XLOOKUP("[S05_InstallationFuelConsEmissions][8][FuelConsumption]",Submission!$O:$O,Submission!$H:$N,""))</f>
        <v/>
      </c>
      <c r="G60" s="378"/>
      <c r="H60" s="375" t="str">
        <f>_xlfn.CONCAT(_xlfn.XLOOKUP("[S05_InstallationFuelConsEmissions][8][FuelAnnualEmissions]",Submission!$O:$O,Submission!$H:$N,""))</f>
        <v/>
      </c>
      <c r="I60" s="376"/>
    </row>
    <row r="61" spans="1:9" ht="15.9" customHeight="1" x14ac:dyDescent="0.3">
      <c r="C61" s="251" t="s">
        <v>849</v>
      </c>
      <c r="D61" s="257"/>
      <c r="E61" s="250"/>
      <c r="F61" s="377" t="str">
        <f>_xlfn.CONCAT(_xlfn.XLOOKUP("[S05_InstallationFuelConsEmissions][9][FuelConsumption]",Submission!$O:$O,Submission!$H:$N,""))</f>
        <v>61.2672786178</v>
      </c>
      <c r="G61" s="378"/>
      <c r="H61" s="375" t="str">
        <f>_xlfn.CONCAT(_xlfn.XLOOKUP("[S05_InstallationFuelConsEmissions][9][FuelAnnualEmissions]",Submission!$O:$O,Submission!$H:$N,""))</f>
        <v>4580.931595518</v>
      </c>
      <c r="I61" s="376"/>
    </row>
    <row r="62" spans="1:9" ht="15.9" customHeight="1" x14ac:dyDescent="0.3">
      <c r="C62" s="251" t="s">
        <v>211</v>
      </c>
      <c r="D62" s="257"/>
      <c r="E62" s="250"/>
      <c r="F62" s="377" t="str">
        <f>_xlfn.CONCAT(_xlfn.XLOOKUP("[S05_InstallationFuelConsEmissions][10][FuelConsumption]",Submission!$O:$O,Submission!$H:$N,""))</f>
        <v>1.3268136</v>
      </c>
      <c r="G62" s="378"/>
      <c r="H62" s="375" t="str">
        <f>_xlfn.CONCAT(_xlfn.XLOOKUP("[S05_InstallationFuelConsEmissions][10][FuelAnnualEmissions]",Submission!$O:$O,Submission!$H:$N,""))</f>
        <v>44.2677735377</v>
      </c>
      <c r="I62" s="376"/>
    </row>
    <row r="63" spans="1:9" ht="15.9" customHeight="1" x14ac:dyDescent="0.3">
      <c r="C63" s="251" t="s">
        <v>212</v>
      </c>
      <c r="D63" s="257"/>
      <c r="E63" s="250"/>
      <c r="F63" s="377" t="str">
        <f>_xlfn.CONCAT(_xlfn.XLOOKUP("[S05_InstallationFuelConsEmissions][11][FuelConsumption]",Submission!$O:$O,Submission!$H:$N,""))</f>
        <v/>
      </c>
      <c r="G63" s="378"/>
      <c r="H63" s="375" t="str">
        <f>_xlfn.CONCAT(_xlfn.XLOOKUP("[S05_InstallationFuelConsEmissions][11][FuelAnnualEmissions]",Submission!$O:$O,Submission!$H:$N,""))</f>
        <v/>
      </c>
      <c r="I63" s="376"/>
    </row>
    <row r="64" spans="1:9" ht="15.9" customHeight="1" x14ac:dyDescent="0.3">
      <c r="C64" s="251" t="s">
        <v>850</v>
      </c>
      <c r="D64" s="257"/>
      <c r="E64" s="250"/>
      <c r="F64" s="377" t="str">
        <f>_xlfn.CONCAT(_xlfn.XLOOKUP("[S05_InstallationFuelConsEmissions][12][FuelConsumption]",Submission!$O:$O,Submission!$H:$N,""))</f>
        <v>2.2415334</v>
      </c>
      <c r="G64" s="378"/>
      <c r="H64" s="375" t="str">
        <f>_xlfn.CONCAT(_xlfn.XLOOKUP("[S05_InstallationFuelConsEmissions][12][FuelAnnualEmissions]",Submission!$O:$O,Submission!$H:$N,""))</f>
        <v>172.8645901213</v>
      </c>
      <c r="I64" s="376"/>
    </row>
    <row r="65" spans="1:14" s="10" customFormat="1" ht="15" customHeight="1" x14ac:dyDescent="0.3">
      <c r="A65" s="9"/>
      <c r="C65" s="397" t="s">
        <v>851</v>
      </c>
      <c r="D65" s="398"/>
      <c r="E65" s="398"/>
      <c r="F65" s="398"/>
      <c r="G65" s="398"/>
      <c r="H65" s="398"/>
      <c r="I65" s="398"/>
      <c r="K65" s="13"/>
      <c r="L65" s="13"/>
      <c r="M65" s="13"/>
      <c r="N65" s="13"/>
    </row>
    <row r="66" spans="1:14" ht="15.9" customHeight="1" x14ac:dyDescent="0.3"/>
    <row r="67" spans="1:14" ht="34.200000000000003" customHeight="1" x14ac:dyDescent="0.3">
      <c r="A67" s="12" t="s">
        <v>215</v>
      </c>
      <c r="B67" s="264" t="s">
        <v>852</v>
      </c>
      <c r="C67" s="265"/>
      <c r="D67" s="265"/>
      <c r="E67" s="265"/>
      <c r="F67" s="265"/>
      <c r="G67" s="265"/>
      <c r="H67" s="265"/>
      <c r="I67" s="265"/>
    </row>
    <row r="68" spans="1:14" ht="28.8" x14ac:dyDescent="0.3">
      <c r="C68" s="314" t="s">
        <v>853</v>
      </c>
      <c r="D68" s="316"/>
      <c r="E68" s="314" t="s">
        <v>854</v>
      </c>
      <c r="F68" s="316"/>
      <c r="G68" s="42" t="s">
        <v>855</v>
      </c>
      <c r="H68" s="49" t="s">
        <v>856</v>
      </c>
      <c r="I68" s="50" t="s">
        <v>857</v>
      </c>
    </row>
    <row r="69" spans="1:14" ht="16.2" customHeight="1" x14ac:dyDescent="0.3">
      <c r="C69" s="365" t="str">
        <f>_xlfn.CONCAT(_xlfn.XLOOKUP("[S05_AggregateTotalEmissionsByCRF][1][CRFCategory1]",Submission!$O:$O,Submission!$H:$N,""))</f>
        <v>1A1 - Energy - Energy Industries</v>
      </c>
      <c r="D69" s="366"/>
      <c r="E69" s="365" t="str">
        <f>_xlfn.CONCAT(_xlfn.XLOOKUP("[S05_AggregateTotalEmissionsByCRF][1][CRFCategory2]",Submission!$O:$O,Submission!$H:$N,""))</f>
        <v/>
      </c>
      <c r="F69" s="366"/>
      <c r="G69" s="126" t="str">
        <f>_xlfn.CONCAT(_xlfn.XLOOKUP("[S05_AggregateTotalEmissionsByCRF][1][TotalEmissionsTCo2e]",Submission!$O:$O,Submission!$H:$N,""))</f>
        <v>1176886.39739981</v>
      </c>
      <c r="H69" s="126" t="str">
        <f>_xlfn.CONCAT(_xlfn.XLOOKUP("[S05_AggregateTotalEmissionsByCRF][1][TotalCombustionEmissionsTCo2e]",Submission!$O:$O,Submission!$H:$N,""))</f>
        <v>1176886.39739981</v>
      </c>
      <c r="I69" s="126" t="str">
        <f>_xlfn.CONCAT(_xlfn.XLOOKUP("[S05_AggregateTotalEmissionsByCRF][1][TotalProcessEmissionsTCo2e]",Submission!$O:$O,Submission!$H:$N,""))</f>
        <v/>
      </c>
    </row>
    <row r="70" spans="1:14" ht="16.2" customHeight="1" x14ac:dyDescent="0.3">
      <c r="C70" s="365" t="str">
        <f>_xlfn.CONCAT(_xlfn.XLOOKUP("[S05_AggregateTotalEmissionsByCRF][2][CRFCategory1]",Submission!$O:$O,Submission!$H:$N,""))</f>
        <v>1A2 - Energy - Manufacturing Industries and Construction</v>
      </c>
      <c r="D70" s="366"/>
      <c r="E70" s="367" t="str">
        <f>_xlfn.CONCAT(_xlfn.XLOOKUP("[S05_AggregateTotalEmissionsByCRF][2][CRFCategory2]",Submission!$O:$O,Submission!$H:$N,""))</f>
        <v/>
      </c>
      <c r="F70" s="368"/>
      <c r="G70" s="126" t="str">
        <f>_xlfn.CONCAT(_xlfn.XLOOKUP("[S05_AggregateTotalEmissionsByCRF][2][TotalEmissionsTCo2e]",Submission!$O:$O,Submission!$H:$N,""))</f>
        <v>302597.419502523</v>
      </c>
      <c r="H70" s="126" t="str">
        <f>_xlfn.CONCAT(_xlfn.XLOOKUP("[S05_AggregateTotalEmissionsByCRF][2][TotalCombustionEmissionsTCo2e]",Submission!$O:$O,Submission!$H:$N,""))</f>
        <v>302597.419502523</v>
      </c>
      <c r="I70" s="126" t="str">
        <f>_xlfn.CONCAT(_xlfn.XLOOKUP("[S05_AggregateTotalEmissionsByCRF][2][TotalProcessEmissionsTCo2e]",Submission!$O:$O,Submission!$H:$N,""))</f>
        <v/>
      </c>
    </row>
    <row r="71" spans="1:14" ht="16.2" customHeight="1" x14ac:dyDescent="0.3">
      <c r="C71" s="365" t="str">
        <f>_xlfn.CONCAT(_xlfn.XLOOKUP("[S05_AggregateTotalEmissionsByCRF][3][CRFCategory1]",Submission!$O:$O,Submission!$H:$N,""))</f>
        <v>1A4 - Energy - Other Sectors</v>
      </c>
      <c r="D71" s="366"/>
      <c r="E71" s="367" t="str">
        <f>_xlfn.CONCAT(_xlfn.XLOOKUP("[S05_AggregateTotalEmissionsByCRF][3][CRFCategory2]",Submission!$O:$O,Submission!$H:$N,""))</f>
        <v/>
      </c>
      <c r="F71" s="368"/>
      <c r="G71" s="126" t="str">
        <f>_xlfn.CONCAT(_xlfn.XLOOKUP("[S05_AggregateTotalEmissionsByCRF][3][TotalEmissionsTCo2e]",Submission!$O:$O,Submission!$H:$N,""))</f>
        <v>11082.1986180618</v>
      </c>
      <c r="H71" s="126" t="str">
        <f>_xlfn.CONCAT(_xlfn.XLOOKUP("[S05_AggregateTotalEmissionsByCRF][3][TotalCombustionEmissionsTCo2e]",Submission!$O:$O,Submission!$H:$N,""))</f>
        <v>11082.1986180618</v>
      </c>
      <c r="I71" s="126" t="str">
        <f>_xlfn.CONCAT(_xlfn.XLOOKUP("[S05_AggregateTotalEmissionsByCRF][3][TotalProcessEmissionsTCo2e]",Submission!$O:$O,Submission!$H:$N,""))</f>
        <v/>
      </c>
    </row>
    <row r="72" spans="1:14" ht="16.2" customHeight="1" x14ac:dyDescent="0.3">
      <c r="C72" s="365" t="str">
        <f>_xlfn.CONCAT(_xlfn.XLOOKUP("[S05_AggregateTotalEmissionsByCRF][4][CRFCategory1]",Submission!$O:$O,Submission!$H:$N,""))</f>
        <v/>
      </c>
      <c r="D72" s="366"/>
      <c r="E72" s="367" t="str">
        <f>_xlfn.CONCAT(_xlfn.XLOOKUP("[S05_AggregateTotalEmissionsByCRF][4][CRFCategory2]",Submission!$O:$O,Submission!$H:$N,""))</f>
        <v>2A1 - Process - Cement Production</v>
      </c>
      <c r="F72" s="368"/>
      <c r="G72" s="126" t="str">
        <f>_xlfn.CONCAT(_xlfn.XLOOKUP("[S05_AggregateTotalEmissionsByCRF][4][TotalEmissionsTCo2e]",Submission!$O:$O,Submission!$H:$N,""))</f>
        <v>563882.9805</v>
      </c>
      <c r="H72" s="126" t="str">
        <f>_xlfn.CONCAT(_xlfn.XLOOKUP("[S05_AggregateTotalEmissionsByCRF][4][TotalCombustionEmissionsTCo2e]",Submission!$O:$O,Submission!$H:$N,""))</f>
        <v/>
      </c>
      <c r="I72" s="126" t="str">
        <f>_xlfn.CONCAT(_xlfn.XLOOKUP("[S05_AggregateTotalEmissionsByCRF][4][TotalProcessEmissionsTCo2e]",Submission!$O:$O,Submission!$H:$N,""))</f>
        <v>563882.9805</v>
      </c>
    </row>
    <row r="73" spans="1:14" ht="16.2" customHeight="1" x14ac:dyDescent="0.3">
      <c r="C73" s="365" t="str">
        <f>_xlfn.CONCAT(_xlfn.XLOOKUP("[S05_AggregateTotalEmissionsByCRF][5][CRFCategory1]",Submission!$O:$O,Submission!$H:$N,""))</f>
        <v/>
      </c>
      <c r="D73" s="366"/>
      <c r="E73" s="367" t="str">
        <f>_xlfn.CONCAT(_xlfn.XLOOKUP("[S05_AggregateTotalEmissionsByCRF][5][CRFCategory2]",Submission!$O:$O,Submission!$H:$N,""))</f>
        <v>2A3 - Process - Glass production</v>
      </c>
      <c r="F73" s="368"/>
      <c r="G73" s="126" t="str">
        <f>_xlfn.CONCAT(_xlfn.XLOOKUP("[S05_AggregateTotalEmissionsByCRF][5][TotalEmissionsTCo2e]",Submission!$O:$O,Submission!$H:$N,""))</f>
        <v>949.30586</v>
      </c>
      <c r="H73" s="126" t="str">
        <f>_xlfn.CONCAT(_xlfn.XLOOKUP("[S05_AggregateTotalEmissionsByCRF][5][TotalCombustionEmissionsTCo2e]",Submission!$O:$O,Submission!$H:$N,""))</f>
        <v/>
      </c>
      <c r="I73" s="126" t="str">
        <f>_xlfn.CONCAT(_xlfn.XLOOKUP("[S05_AggregateTotalEmissionsByCRF][5][TotalProcessEmissionsTCo2e]",Submission!$O:$O,Submission!$H:$N,""))</f>
        <v>949.30586</v>
      </c>
    </row>
    <row r="74" spans="1:14" ht="16.2" customHeight="1" x14ac:dyDescent="0.3">
      <c r="C74" s="365" t="str">
        <f>_xlfn.CONCAT(_xlfn.XLOOKUP("[S05_AggregateTotalEmissionsByCRF][6][CRFCategory1]",Submission!$O:$O,Submission!$H:$N,""))</f>
        <v/>
      </c>
      <c r="D74" s="366"/>
      <c r="E74" s="367" t="str">
        <f>_xlfn.CONCAT(_xlfn.XLOOKUP("[S05_AggregateTotalEmissionsByCRF][6][CRFCategory2]",Submission!$O:$O,Submission!$H:$N,""))</f>
        <v>2A4 - Process - Other Process Uses of Carbonates</v>
      </c>
      <c r="F74" s="368"/>
      <c r="G74" s="126" t="str">
        <f>_xlfn.CONCAT(_xlfn.XLOOKUP("[S05_AggregateTotalEmissionsByCRF][6][TotalEmissionsTCo2e]",Submission!$O:$O,Submission!$H:$N,""))</f>
        <v>8183.247024</v>
      </c>
      <c r="H74" s="126" t="str">
        <f>_xlfn.CONCAT(_xlfn.XLOOKUP("[S05_AggregateTotalEmissionsByCRF][6][TotalCombustionEmissionsTCo2e]",Submission!$O:$O,Submission!$H:$N,""))</f>
        <v/>
      </c>
      <c r="I74" s="126" t="str">
        <f>_xlfn.CONCAT(_xlfn.XLOOKUP("[S05_AggregateTotalEmissionsByCRF][6][TotalProcessEmissionsTCo2e]",Submission!$O:$O,Submission!$H:$N,""))</f>
        <v>8183.247024</v>
      </c>
    </row>
    <row r="75" spans="1:14" ht="16.2" customHeight="1" x14ac:dyDescent="0.3">
      <c r="C75" s="365" t="str">
        <f>_xlfn.CONCAT(_xlfn.XLOOKUP("[S05_AggregateTotalEmissionsByCRF][7][CRFCategory1]",Submission!$O:$O,Submission!$H:$N,""))</f>
        <v/>
      </c>
      <c r="D75" s="366"/>
      <c r="E75" s="367" t="str">
        <f>_xlfn.CONCAT(_xlfn.XLOOKUP("[S05_AggregateTotalEmissionsByCRF][7][CRFCategory2]",Submission!$O:$O,Submission!$H:$N,""))</f>
        <v/>
      </c>
      <c r="F75" s="368"/>
      <c r="G75" s="126" t="str">
        <f>_xlfn.CONCAT(_xlfn.XLOOKUP("[S05_AggregateTotalEmissionsByCRF][7][TotalEmissionsTCo2e]",Submission!$O:$O,Submission!$H:$N,""))</f>
        <v/>
      </c>
      <c r="H75" s="126" t="str">
        <f>_xlfn.CONCAT(_xlfn.XLOOKUP("[S05_AggregateTotalEmissionsByCRF][7][TotalCombustionEmissionsTCo2e]",Submission!$O:$O,Submission!$H:$N,""))</f>
        <v/>
      </c>
      <c r="I75" s="126" t="str">
        <f>_xlfn.CONCAT(_xlfn.XLOOKUP("[S05_AggregateTotalEmissionsByCRF][7][TotalProcessEmissionsTCo2e]",Submission!$O:$O,Submission!$H:$N,""))</f>
        <v/>
      </c>
    </row>
    <row r="76" spans="1:14" ht="16.2" customHeight="1" x14ac:dyDescent="0.3">
      <c r="C76" s="365" t="str">
        <f>_xlfn.CONCAT(_xlfn.XLOOKUP("[S05_AggregateTotalEmissionsByCRF][8][CRFCategory1]",Submission!$O:$O,Submission!$H:$N,""))</f>
        <v/>
      </c>
      <c r="D76" s="366"/>
      <c r="E76" s="367" t="str">
        <f>_xlfn.CONCAT(_xlfn.XLOOKUP("[S05_AggregateTotalEmissionsByCRF][8][CRFCategory2]",Submission!$O:$O,Submission!$H:$N,""))</f>
        <v/>
      </c>
      <c r="F76" s="368"/>
      <c r="G76" s="126" t="str">
        <f>_xlfn.CONCAT(_xlfn.XLOOKUP("[S05_AggregateTotalEmissionsByCRF][8][TotalEmissionsTCo2e]",Submission!$O:$O,Submission!$H:$N,""))</f>
        <v/>
      </c>
      <c r="H76" s="126" t="str">
        <f>_xlfn.CONCAT(_xlfn.XLOOKUP("[S05_AggregateTotalEmissionsByCRF][8][TotalCombustionEmissionsTCo2e]",Submission!$O:$O,Submission!$H:$N,""))</f>
        <v/>
      </c>
      <c r="I76" s="126" t="str">
        <f>_xlfn.CONCAT(_xlfn.XLOOKUP("[S05_AggregateTotalEmissionsByCRF][8][TotalProcessEmissionsTCo2e]",Submission!$O:$O,Submission!$H:$N,""))</f>
        <v/>
      </c>
    </row>
    <row r="77" spans="1:14" ht="16.2" customHeight="1" x14ac:dyDescent="0.3">
      <c r="C77" s="365" t="str">
        <f>_xlfn.CONCAT(_xlfn.XLOOKUP("[S05_AggregateTotalEmissionsByCRF][9][CRFCategory1]",Submission!$O:$O,Submission!$H:$N,""))</f>
        <v/>
      </c>
      <c r="D77" s="366"/>
      <c r="E77" s="367" t="str">
        <f>_xlfn.CONCAT(_xlfn.XLOOKUP("[S05_AggregateTotalEmissionsByCRF][9][CRFCategory2]",Submission!$O:$O,Submission!$H:$N,""))</f>
        <v/>
      </c>
      <c r="F77" s="368"/>
      <c r="G77" s="126" t="str">
        <f>_xlfn.CONCAT(_xlfn.XLOOKUP("[S05_AggregateTotalEmissionsByCRF][9][TotalEmissionsTCo2e]",Submission!$O:$O,Submission!$H:$N,""))</f>
        <v/>
      </c>
      <c r="H77" s="126" t="str">
        <f>_xlfn.CONCAT(_xlfn.XLOOKUP("[S05_AggregateTotalEmissionsByCRF][9][TotalCombustionEmissionsTCo2e]",Submission!$O:$O,Submission!$H:$N,""))</f>
        <v/>
      </c>
      <c r="I77" s="126" t="str">
        <f>_xlfn.CONCAT(_xlfn.XLOOKUP("[S05_AggregateTotalEmissionsByCRF][9][TotalProcessEmissionsTCo2e]",Submission!$O:$O,Submission!$H:$N,""))</f>
        <v/>
      </c>
    </row>
    <row r="78" spans="1:14" ht="16.2" customHeight="1" x14ac:dyDescent="0.3">
      <c r="C78" s="365" t="str">
        <f>_xlfn.CONCAT(_xlfn.XLOOKUP("[S05_AggregateTotalEmissionsByCRF][10][CRFCategory1]",Submission!$O:$O,Submission!$H:$N,""))</f>
        <v/>
      </c>
      <c r="D78" s="366"/>
      <c r="E78" s="367" t="str">
        <f>_xlfn.CONCAT(_xlfn.XLOOKUP("[S05_AggregateTotalEmissionsByCRF][10][CRFCategory2]",Submission!$O:$O,Submission!$H:$N,""))</f>
        <v/>
      </c>
      <c r="F78" s="368"/>
      <c r="G78" s="126" t="str">
        <f>_xlfn.CONCAT(_xlfn.XLOOKUP("[S05_AggregateTotalEmissionsByCRF][10][TotalEmissionsTCo2e]",Submission!$O:$O,Submission!$H:$N,""))</f>
        <v/>
      </c>
      <c r="H78" s="126" t="str">
        <f>_xlfn.CONCAT(_xlfn.XLOOKUP("[S05_AggregateTotalEmissionsByCRF][10][TotalCombustionEmissionsTCo2e]",Submission!$O:$O,Submission!$H:$N,""))</f>
        <v/>
      </c>
      <c r="I78" s="126" t="str">
        <f>_xlfn.CONCAT(_xlfn.XLOOKUP("[S05_AggregateTotalEmissionsByCRF][10][TotalProcessEmissionsTCo2e]",Submission!$O:$O,Submission!$H:$N,""))</f>
        <v/>
      </c>
    </row>
    <row r="79" spans="1:14" ht="16.2" customHeight="1" x14ac:dyDescent="0.3">
      <c r="C79" s="365" t="str">
        <f>_xlfn.CONCAT(_xlfn.XLOOKUP("[S05_AggregateTotalEmissionsByCRF][11][CRFCategory1]",Submission!$O:$O,Submission!$H:$N,""))</f>
        <v/>
      </c>
      <c r="D79" s="366"/>
      <c r="E79" s="367" t="str">
        <f>_xlfn.CONCAT(_xlfn.XLOOKUP("[S05_AggregateTotalEmissionsByCRF][11][CRFCategory2]",Submission!$O:$O,Submission!$H:$N,""))</f>
        <v/>
      </c>
      <c r="F79" s="368"/>
      <c r="G79" s="126" t="str">
        <f>_xlfn.CONCAT(_xlfn.XLOOKUP("[S05_AggregateTotalEmissionsByCRF][11][TotalEmissionsTCo2e]",Submission!$O:$O,Submission!$H:$N,""))</f>
        <v/>
      </c>
      <c r="H79" s="126" t="str">
        <f>_xlfn.CONCAT(_xlfn.XLOOKUP("[S05_AggregateTotalEmissionsByCRF][11][TotalCombustionEmissionsTCo2e]",Submission!$O:$O,Submission!$H:$N,""))</f>
        <v/>
      </c>
      <c r="I79" s="126" t="str">
        <f>_xlfn.CONCAT(_xlfn.XLOOKUP("[S05_AggregateTotalEmissionsByCRF][11][TotalProcessEmissionsTCo2e]",Submission!$O:$O,Submission!$H:$N,""))</f>
        <v/>
      </c>
    </row>
    <row r="80" spans="1:14" ht="16.2" customHeight="1" x14ac:dyDescent="0.3">
      <c r="C80" s="365" t="str">
        <f>_xlfn.CONCAT(_xlfn.XLOOKUP("[S05_AggregateTotalEmissionsByCRF][12][CRFCategory1]",Submission!$O:$O,Submission!$H:$N,""))</f>
        <v/>
      </c>
      <c r="D80" s="366"/>
      <c r="E80" s="367" t="str">
        <f>_xlfn.CONCAT(_xlfn.XLOOKUP("[S05_AggregateTotalEmissionsByCRF][12][CRFCategory2]",Submission!$O:$O,Submission!$H:$N,""))</f>
        <v/>
      </c>
      <c r="F80" s="368"/>
      <c r="G80" s="126" t="str">
        <f>_xlfn.CONCAT(_xlfn.XLOOKUP("[S05_AggregateTotalEmissionsByCRF][12][TotalEmissionsTCo2e]",Submission!$O:$O,Submission!$H:$N,""))</f>
        <v/>
      </c>
      <c r="H80" s="126" t="str">
        <f>_xlfn.CONCAT(_xlfn.XLOOKUP("[S05_AggregateTotalEmissionsByCRF][12][TotalCombustionEmissionsTCo2e]",Submission!$O:$O,Submission!$H:$N,""))</f>
        <v/>
      </c>
      <c r="I80" s="126" t="str">
        <f>_xlfn.CONCAT(_xlfn.XLOOKUP("[S05_AggregateTotalEmissionsByCRF][12][TotalProcessEmissionsTCo2e]",Submission!$O:$O,Submission!$H:$N,""))</f>
        <v/>
      </c>
    </row>
    <row r="81" spans="3:9" ht="16.2" customHeight="1" x14ac:dyDescent="0.3">
      <c r="C81" s="365" t="str">
        <f>_xlfn.CONCAT(_xlfn.XLOOKUP("[S05_AggregateTotalEmissionsByCRF][13][CRFCategory1]",Submission!$O:$O,Submission!$H:$N,""))</f>
        <v/>
      </c>
      <c r="D81" s="366"/>
      <c r="E81" s="367" t="str">
        <f>_xlfn.CONCAT(_xlfn.XLOOKUP("[S05_AggregateTotalEmissionsByCRF][13][CRFCategory2]",Submission!$O:$O,Submission!$H:$N,""))</f>
        <v/>
      </c>
      <c r="F81" s="368"/>
      <c r="G81" s="126" t="str">
        <f>_xlfn.CONCAT(_xlfn.XLOOKUP("[S05_AggregateTotalEmissionsByCRF][13][TotalEmissionsTCo2e]",Submission!$O:$O,Submission!$H:$N,""))</f>
        <v/>
      </c>
      <c r="H81" s="126" t="str">
        <f>_xlfn.CONCAT(_xlfn.XLOOKUP("[S05_AggregateTotalEmissionsByCRF][13][TotalCombustionEmissionsTCo2e]",Submission!$O:$O,Submission!$H:$N,""))</f>
        <v/>
      </c>
      <c r="I81" s="126" t="str">
        <f>_xlfn.CONCAT(_xlfn.XLOOKUP("[S05_AggregateTotalEmissionsByCRF][13][TotalProcessEmissionsTCo2e]",Submission!$O:$O,Submission!$H:$N,""))</f>
        <v/>
      </c>
    </row>
    <row r="82" spans="3:9" ht="16.2" customHeight="1" x14ac:dyDescent="0.3">
      <c r="C82" s="365" t="str">
        <f>_xlfn.CONCAT(_xlfn.XLOOKUP("[S05_AggregateTotalEmissionsByCRF][14][CRFCategory1]",Submission!$O:$O,Submission!$H:$N,""))</f>
        <v/>
      </c>
      <c r="D82" s="366"/>
      <c r="E82" s="367" t="str">
        <f>_xlfn.CONCAT(_xlfn.XLOOKUP("[S05_AggregateTotalEmissionsByCRF][14][CRFCategory2]",Submission!$O:$O,Submission!$H:$N,""))</f>
        <v/>
      </c>
      <c r="F82" s="368"/>
      <c r="G82" s="126" t="str">
        <f>_xlfn.CONCAT(_xlfn.XLOOKUP("[S05_AggregateTotalEmissionsByCRF][14][TotalEmissionsTCo2e]",Submission!$O:$O,Submission!$H:$N,""))</f>
        <v/>
      </c>
      <c r="H82" s="126" t="str">
        <f>_xlfn.CONCAT(_xlfn.XLOOKUP("[S05_AggregateTotalEmissionsByCRF][14][TotalCombustionEmissionsTCo2e]",Submission!$O:$O,Submission!$H:$N,""))</f>
        <v/>
      </c>
      <c r="I82" s="126" t="str">
        <f>_xlfn.CONCAT(_xlfn.XLOOKUP("[S05_AggregateTotalEmissionsByCRF][14][TotalProcessEmissionsTCo2e]",Submission!$O:$O,Submission!$H:$N,""))</f>
        <v/>
      </c>
    </row>
    <row r="83" spans="3:9" ht="16.2" customHeight="1" x14ac:dyDescent="0.3">
      <c r="C83" s="365" t="str">
        <f>_xlfn.CONCAT(_xlfn.XLOOKUP("[S05_AggregateTotalEmissionsByCRF][15][CRFCategory1]",Submission!$O:$O,Submission!$H:$N,""))</f>
        <v/>
      </c>
      <c r="D83" s="366"/>
      <c r="E83" s="367" t="str">
        <f>_xlfn.CONCAT(_xlfn.XLOOKUP("[S05_AggregateTotalEmissionsByCRF][15][CRFCategory2]",Submission!$O:$O,Submission!$H:$N,""))</f>
        <v/>
      </c>
      <c r="F83" s="368"/>
      <c r="G83" s="126" t="str">
        <f>_xlfn.CONCAT(_xlfn.XLOOKUP("[S05_AggregateTotalEmissionsByCRF][15][TotalEmissionsTCo2e]",Submission!$O:$O,Submission!$H:$N,""))</f>
        <v/>
      </c>
      <c r="H83" s="126" t="str">
        <f>_xlfn.CONCAT(_xlfn.XLOOKUP("[S05_AggregateTotalEmissionsByCRF][15][TotalCombustionEmissionsTCo2e]",Submission!$O:$O,Submission!$H:$N,""))</f>
        <v/>
      </c>
      <c r="I83" s="126" t="str">
        <f>_xlfn.CONCAT(_xlfn.XLOOKUP("[S05_AggregateTotalEmissionsByCRF][15][TotalProcessEmissionsTCo2e]",Submission!$O:$O,Submission!$H:$N,""))</f>
        <v/>
      </c>
    </row>
    <row r="84" spans="3:9" ht="16.2" customHeight="1" x14ac:dyDescent="0.3">
      <c r="C84" s="365" t="str">
        <f>_xlfn.CONCAT(_xlfn.XLOOKUP("[S05_AggregateTotalEmissionsByCRF][16][CRFCategory1]",Submission!$O:$O,Submission!$H:$N,""))</f>
        <v/>
      </c>
      <c r="D84" s="366"/>
      <c r="E84" s="367" t="str">
        <f>_xlfn.CONCAT(_xlfn.XLOOKUP("[S05_AggregateTotalEmissionsByCRF][16][CRFCategory2]",Submission!$O:$O,Submission!$H:$N,""))</f>
        <v/>
      </c>
      <c r="F84" s="368"/>
      <c r="G84" s="126" t="str">
        <f>_xlfn.CONCAT(_xlfn.XLOOKUP("[S05_AggregateTotalEmissionsByCRF][16][TotalEmissionsTCo2e]",Submission!$O:$O,Submission!$H:$N,""))</f>
        <v/>
      </c>
      <c r="H84" s="126" t="str">
        <f>_xlfn.CONCAT(_xlfn.XLOOKUP("[S05_AggregateTotalEmissionsByCRF][16][TotalCombustionEmissionsTCo2e]",Submission!$O:$O,Submission!$H:$N,""))</f>
        <v/>
      </c>
      <c r="I84" s="126" t="str">
        <f>_xlfn.CONCAT(_xlfn.XLOOKUP("[S05_AggregateTotalEmissionsByCRF][16][TotalProcessEmissionsTCo2e]",Submission!$O:$O,Submission!$H:$N,""))</f>
        <v/>
      </c>
    </row>
    <row r="85" spans="3:9" ht="16.2" customHeight="1" x14ac:dyDescent="0.3">
      <c r="C85" s="365" t="str">
        <f>_xlfn.CONCAT(_xlfn.XLOOKUP("[S05_AggregateTotalEmissionsByCRF][17][CRFCategory1]",Submission!$O:$O,Submission!$H:$N,""))</f>
        <v/>
      </c>
      <c r="D85" s="366"/>
      <c r="E85" s="367" t="str">
        <f>_xlfn.CONCAT(_xlfn.XLOOKUP("[S05_AggregateTotalEmissionsByCRF][17][CRFCategory2]",Submission!$O:$O,Submission!$H:$N,""))</f>
        <v/>
      </c>
      <c r="F85" s="368"/>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65" t="str">
        <f>_xlfn.CONCAT(_xlfn.XLOOKUP("[S05_AggregateTotalEmissionsByCRF][18][CRFCategory1]",Submission!$O:$O,Submission!$H:$N,""))</f>
        <v/>
      </c>
      <c r="D86" s="366"/>
      <c r="E86" s="367" t="str">
        <f>_xlfn.CONCAT(_xlfn.XLOOKUP("[S05_AggregateTotalEmissionsByCRF][18][CRFCategory2]",Submission!$O:$O,Submission!$H:$N,""))</f>
        <v/>
      </c>
      <c r="F86" s="368"/>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65" t="str">
        <f>_xlfn.CONCAT(_xlfn.XLOOKUP("[S05_AggregateTotalEmissionsByCRF][19][CRFCategory1]",Submission!$O:$O,Submission!$H:$N,""))</f>
        <v/>
      </c>
      <c r="D87" s="366"/>
      <c r="E87" s="367" t="str">
        <f>_xlfn.CONCAT(_xlfn.XLOOKUP("[S05_AggregateTotalEmissionsByCRF][19][CRFCategory2]",Submission!$O:$O,Submission!$H:$N,""))</f>
        <v/>
      </c>
      <c r="F87" s="368"/>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65" t="str">
        <f>_xlfn.CONCAT(_xlfn.XLOOKUP("[S05_AggregateTotalEmissionsByCRF][20][CRFCategory1]",Submission!$O:$O,Submission!$H:$N,""))</f>
        <v/>
      </c>
      <c r="D88" s="366"/>
      <c r="E88" s="367" t="str">
        <f>_xlfn.CONCAT(_xlfn.XLOOKUP("[S05_AggregateTotalEmissionsByCRF][20][CRFCategory2]",Submission!$O:$O,Submission!$H:$N,""))</f>
        <v/>
      </c>
      <c r="F88" s="368"/>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65" t="str">
        <f>_xlfn.CONCAT(_xlfn.XLOOKUP("[S05_AggregateTotalEmissionsByCRF][21][CRFCategory1]",Submission!$O:$O,Submission!$H:$N,""))</f>
        <v/>
      </c>
      <c r="D89" s="366"/>
      <c r="E89" s="367" t="str">
        <f>_xlfn.CONCAT(_xlfn.XLOOKUP("[S05_AggregateTotalEmissionsByCRF][21][CRFCategory2]",Submission!$O:$O,Submission!$H:$N,""))</f>
        <v/>
      </c>
      <c r="F89" s="368"/>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65" t="str">
        <f>_xlfn.CONCAT(_xlfn.XLOOKUP("[S05_AggregateTotalEmissionsByCRF][22][CRFCategory1]",Submission!$O:$O,Submission!$H:$N,""))</f>
        <v/>
      </c>
      <c r="D90" s="366"/>
      <c r="E90" s="367" t="str">
        <f>_xlfn.CONCAT(_xlfn.XLOOKUP("[S05_AggregateTotalEmissionsByCRF][22][CRFCategory2]",Submission!$O:$O,Submission!$H:$N,""))</f>
        <v/>
      </c>
      <c r="F90" s="368"/>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65" t="str">
        <f>_xlfn.CONCAT(_xlfn.XLOOKUP("[S05_AggregateTotalEmissionsByCRF][23][CRFCategory1]",Submission!$O:$O,Submission!$H:$N,""))</f>
        <v/>
      </c>
      <c r="D91" s="366"/>
      <c r="E91" s="367" t="str">
        <f>_xlfn.CONCAT(_xlfn.XLOOKUP("[S05_AggregateTotalEmissionsByCRF][23][CRFCategory2]",Submission!$O:$O,Submission!$H:$N,""))</f>
        <v/>
      </c>
      <c r="F91" s="368"/>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65" t="str">
        <f>_xlfn.CONCAT(_xlfn.XLOOKUP("[S05_AggregateTotalEmissionsByCRF][24][CRFCategory1]",Submission!$O:$O,Submission!$H:$N,""))</f>
        <v/>
      </c>
      <c r="D92" s="366"/>
      <c r="E92" s="367" t="str">
        <f>_xlfn.CONCAT(_xlfn.XLOOKUP("[S05_AggregateTotalEmissionsByCRF][24][CRFCategory2]",Submission!$O:$O,Submission!$H:$N,""))</f>
        <v/>
      </c>
      <c r="F92" s="368"/>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65" t="str">
        <f>_xlfn.CONCAT(_xlfn.XLOOKUP("[S05_AggregateTotalEmissionsByCRF][25][CRFCategory1]",Submission!$O:$O,Submission!$H:$N,""))</f>
        <v/>
      </c>
      <c r="D93" s="366"/>
      <c r="E93" s="367" t="str">
        <f>_xlfn.CONCAT(_xlfn.XLOOKUP("[S05_AggregateTotalEmissionsByCRF][25][CRFCategory2]",Submission!$O:$O,Submission!$H:$N,""))</f>
        <v/>
      </c>
      <c r="F93" s="368"/>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65" t="str">
        <f>_xlfn.CONCAT(_xlfn.XLOOKUP("[S05_AggregateTotalEmissionsByCRF][26][CRFCategory1]",Submission!$O:$O,Submission!$H:$N,""))</f>
        <v/>
      </c>
      <c r="D94" s="366"/>
      <c r="E94" s="367" t="str">
        <f>_xlfn.CONCAT(_xlfn.XLOOKUP("[S05_AggregateTotalEmissionsByCRF][26][CRFCategory2]",Submission!$O:$O,Submission!$H:$N,""))</f>
        <v/>
      </c>
      <c r="F94" s="368"/>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65" t="str">
        <f>_xlfn.CONCAT(_xlfn.XLOOKUP("[S05_AggregateTotalEmissionsByCRF][27][CRFCategory1]",Submission!$O:$O,Submission!$H:$N,""))</f>
        <v/>
      </c>
      <c r="D95" s="366"/>
      <c r="E95" s="367" t="str">
        <f>_xlfn.CONCAT(_xlfn.XLOOKUP("[S05_AggregateTotalEmissionsByCRF][27][CRFCategory2]",Submission!$O:$O,Submission!$H:$N,""))</f>
        <v/>
      </c>
      <c r="F95" s="368"/>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65" t="str">
        <f>_xlfn.CONCAT(_xlfn.XLOOKUP("[S05_AggregateTotalEmissionsByCRF][28][CRFCategory1]",Submission!$O:$O,Submission!$H:$N,""))</f>
        <v/>
      </c>
      <c r="D96" s="366"/>
      <c r="E96" s="367" t="str">
        <f>_xlfn.CONCAT(_xlfn.XLOOKUP("[S05_AggregateTotalEmissionsByCRF][28][CRFCategory2]",Submission!$O:$O,Submission!$H:$N,""))</f>
        <v/>
      </c>
      <c r="F96" s="368"/>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65" t="str">
        <f>_xlfn.CONCAT(_xlfn.XLOOKUP("[S05_AggregateTotalEmissionsByCRF][29][CRFCategory1]",Submission!$O:$O,Submission!$H:$N,""))</f>
        <v/>
      </c>
      <c r="D97" s="366"/>
      <c r="E97" s="367" t="str">
        <f>_xlfn.CONCAT(_xlfn.XLOOKUP("[S05_AggregateTotalEmissionsByCRF][29][CRFCategory2]",Submission!$O:$O,Submission!$H:$N,""))</f>
        <v/>
      </c>
      <c r="F97" s="368"/>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65" t="str">
        <f>_xlfn.CONCAT(_xlfn.XLOOKUP("[S05_AggregateTotalEmissionsByCRF][30][CRFCategory1]",Submission!$O:$O,Submission!$H:$N,""))</f>
        <v/>
      </c>
      <c r="D98" s="366"/>
      <c r="E98" s="367" t="str">
        <f>_xlfn.CONCAT(_xlfn.XLOOKUP("[S05_AggregateTotalEmissionsByCRF][30][CRFCategory2]",Submission!$O:$O,Submission!$H:$N,""))</f>
        <v/>
      </c>
      <c r="F98" s="368"/>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65" t="str">
        <f>_xlfn.CONCAT(_xlfn.XLOOKUP("[S05_AggregateTotalEmissionsByCRF][31][CRFCategory1]",Submission!$O:$O,Submission!$H:$N,""))</f>
        <v/>
      </c>
      <c r="D99" s="366"/>
      <c r="E99" s="367" t="str">
        <f>_xlfn.CONCAT(_xlfn.XLOOKUP("[S05_AggregateTotalEmissionsByCRF][31][CRFCategory2]",Submission!$O:$O,Submission!$H:$N,""))</f>
        <v/>
      </c>
      <c r="F99" s="368"/>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65" t="str">
        <f>_xlfn.CONCAT(_xlfn.XLOOKUP("[S05_AggregateTotalEmissionsByCRF][32][CRFCategory1]",Submission!$O:$O,Submission!$H:$N,""))</f>
        <v/>
      </c>
      <c r="D100" s="366"/>
      <c r="E100" s="367" t="str">
        <f>_xlfn.CONCAT(_xlfn.XLOOKUP("[S05_AggregateTotalEmissionsByCRF][32][CRFCategory2]",Submission!$O:$O,Submission!$H:$N,""))</f>
        <v/>
      </c>
      <c r="F100" s="368"/>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65" t="str">
        <f>_xlfn.CONCAT(_xlfn.XLOOKUP("[S05_AggregateTotalEmissionsByCRF][33][CRFCategory1]",Submission!$O:$O,Submission!$H:$N,""))</f>
        <v/>
      </c>
      <c r="D101" s="366"/>
      <c r="E101" s="367" t="str">
        <f>_xlfn.CONCAT(_xlfn.XLOOKUP("[S05_AggregateTotalEmissionsByCRF][33][CRFCategory2]",Submission!$O:$O,Submission!$H:$N,""))</f>
        <v/>
      </c>
      <c r="F101" s="368"/>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65" t="str">
        <f>_xlfn.CONCAT(_xlfn.XLOOKUP("[S05_AggregateTotalEmissionsByCRF][34][CRFCategory1]",Submission!$O:$O,Submission!$H:$N,""))</f>
        <v/>
      </c>
      <c r="D102" s="366"/>
      <c r="E102" s="367" t="str">
        <f>_xlfn.CONCAT(_xlfn.XLOOKUP("[S05_AggregateTotalEmissionsByCRF][34][CRFCategory2]",Submission!$O:$O,Submission!$H:$N,""))</f>
        <v/>
      </c>
      <c r="F102" s="368"/>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65" t="str">
        <f>_xlfn.CONCAT(_xlfn.XLOOKUP("[S05_AggregateTotalEmissionsByCRF][35][CRFCategory1]",Submission!$O:$O,Submission!$H:$N,""))</f>
        <v/>
      </c>
      <c r="D103" s="366"/>
      <c r="E103" s="367" t="str">
        <f>_xlfn.CONCAT(_xlfn.XLOOKUP("[S05_AggregateTotalEmissionsByCRF][35][CRFCategory2]",Submission!$O:$O,Submission!$H:$N,""))</f>
        <v/>
      </c>
      <c r="F103" s="368"/>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65" t="str">
        <f>_xlfn.CONCAT(_xlfn.XLOOKUP("[S05_AggregateTotalEmissionsByCRF][36][CRFCategory1]",Submission!$O:$O,Submission!$H:$N,""))</f>
        <v/>
      </c>
      <c r="D104" s="366"/>
      <c r="E104" s="367" t="str">
        <f>_xlfn.CONCAT(_xlfn.XLOOKUP("[S05_AggregateTotalEmissionsByCRF][36][CRFCategory2]",Submission!$O:$O,Submission!$H:$N,""))</f>
        <v/>
      </c>
      <c r="F104" s="368"/>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65" t="str">
        <f>_xlfn.CONCAT(_xlfn.XLOOKUP("[S05_AggregateTotalEmissionsByCRF][37][CRFCategory1]",Submission!$O:$O,Submission!$H:$N,""))</f>
        <v/>
      </c>
      <c r="D105" s="366"/>
      <c r="E105" s="367" t="str">
        <f>_xlfn.CONCAT(_xlfn.XLOOKUP("[S05_AggregateTotalEmissionsByCRF][37][CRFCategory2]",Submission!$O:$O,Submission!$H:$N,""))</f>
        <v/>
      </c>
      <c r="F105" s="368"/>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65" t="str">
        <f>_xlfn.CONCAT(_xlfn.XLOOKUP("[S05_AggregateTotalEmissionsByCRF][38][CRFCategory1]",Submission!$O:$O,Submission!$H:$N,""))</f>
        <v/>
      </c>
      <c r="D106" s="366"/>
      <c r="E106" s="367" t="str">
        <f>_xlfn.CONCAT(_xlfn.XLOOKUP("[S05_AggregateTotalEmissionsByCRF][38][CRFCategory2]",Submission!$O:$O,Submission!$H:$N,""))</f>
        <v/>
      </c>
      <c r="F106" s="368"/>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65" t="str">
        <f>_xlfn.CONCAT(_xlfn.XLOOKUP("[S05_AggregateTotalEmissionsByCRF][39][CRFCategory1]",Submission!$O:$O,Submission!$H:$N,""))</f>
        <v/>
      </c>
      <c r="D107" s="366"/>
      <c r="E107" s="367" t="str">
        <f>_xlfn.CONCAT(_xlfn.XLOOKUP("[S05_AggregateTotalEmissionsByCRF][39][CRFCategory2]",Submission!$O:$O,Submission!$H:$N,""))</f>
        <v/>
      </c>
      <c r="F107" s="368"/>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65" t="str">
        <f>_xlfn.CONCAT(_xlfn.XLOOKUP("[S05_AggregateTotalEmissionsByCRF][40][CRFCategory1]",Submission!$O:$O,Submission!$H:$N,""))</f>
        <v/>
      </c>
      <c r="D108" s="366"/>
      <c r="E108" s="367" t="str">
        <f>_xlfn.CONCAT(_xlfn.XLOOKUP("[S05_AggregateTotalEmissionsByCRF][40][CRFCategory2]",Submission!$O:$O,Submission!$H:$N,""))</f>
        <v/>
      </c>
      <c r="F108" s="368"/>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65" t="str">
        <f>_xlfn.CONCAT(_xlfn.XLOOKUP("[S05_AggregateTotalEmissionsByCRF][41][CRFCategory1]",Submission!$O:$O,Submission!$H:$N,""))</f>
        <v/>
      </c>
      <c r="D109" s="366"/>
      <c r="E109" s="367" t="str">
        <f>_xlfn.CONCAT(_xlfn.XLOOKUP("[S05_AggregateTotalEmissionsByCRF][41][CRFCategory2]",Submission!$O:$O,Submission!$H:$N,""))</f>
        <v/>
      </c>
      <c r="F109" s="368"/>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65" t="str">
        <f>_xlfn.CONCAT(_xlfn.XLOOKUP("[S05_AggregateTotalEmissionsByCRF][42][CRFCategory1]",Submission!$O:$O,Submission!$H:$N,""))</f>
        <v/>
      </c>
      <c r="D110" s="366"/>
      <c r="E110" s="367" t="str">
        <f>_xlfn.CONCAT(_xlfn.XLOOKUP("[S05_AggregateTotalEmissionsByCRF][42][CRFCategory2]",Submission!$O:$O,Submission!$H:$N,""))</f>
        <v/>
      </c>
      <c r="F110" s="368"/>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65" t="str">
        <f>_xlfn.CONCAT(_xlfn.XLOOKUP("[S05_AggregateTotalEmissionsByCRF][43][CRFCategory1]",Submission!$O:$O,Submission!$H:$N,""))</f>
        <v/>
      </c>
      <c r="D111" s="366"/>
      <c r="E111" s="367" t="str">
        <f>_xlfn.CONCAT(_xlfn.XLOOKUP("[S05_AggregateTotalEmissionsByCRF][43][CRFCategory2]",Submission!$O:$O,Submission!$H:$N,""))</f>
        <v/>
      </c>
      <c r="F111" s="368"/>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65" t="str">
        <f>_xlfn.CONCAT(_xlfn.XLOOKUP("[S05_AggregateTotalEmissionsByCRF][44][CRFCategory1]",Submission!$O:$O,Submission!$H:$N,""))</f>
        <v/>
      </c>
      <c r="D112" s="366"/>
      <c r="E112" s="367" t="str">
        <f>_xlfn.CONCAT(_xlfn.XLOOKUP("[S05_AggregateTotalEmissionsByCRF][44][CRFCategory2]",Submission!$O:$O,Submission!$H:$N,""))</f>
        <v/>
      </c>
      <c r="F112" s="368"/>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65" t="str">
        <f>_xlfn.CONCAT(_xlfn.XLOOKUP("[S05_AggregateTotalEmissionsByCRF][45][CRFCategory1]",Submission!$O:$O,Submission!$H:$N,""))</f>
        <v/>
      </c>
      <c r="D113" s="366"/>
      <c r="E113" s="367" t="str">
        <f>_xlfn.CONCAT(_xlfn.XLOOKUP("[S05_AggregateTotalEmissionsByCRF][45][CRFCategory2]",Submission!$O:$O,Submission!$H:$N,""))</f>
        <v/>
      </c>
      <c r="F113" s="368"/>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65" t="str">
        <f>_xlfn.CONCAT(_xlfn.XLOOKUP("[S05_AggregateTotalEmissionsByCRF][46][CRFCategory1]",Submission!$O:$O,Submission!$H:$N,""))</f>
        <v/>
      </c>
      <c r="D114" s="366"/>
      <c r="E114" s="367" t="str">
        <f>_xlfn.CONCAT(_xlfn.XLOOKUP("[S05_AggregateTotalEmissionsByCRF][46][CRFCategory2]",Submission!$O:$O,Submission!$H:$N,""))</f>
        <v/>
      </c>
      <c r="F114" s="368"/>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65" t="str">
        <f>_xlfn.CONCAT(_xlfn.XLOOKUP("[S05_AggregateTotalEmissionsByCRF][47][CRFCategory1]",Submission!$O:$O,Submission!$H:$N,""))</f>
        <v/>
      </c>
      <c r="D115" s="366"/>
      <c r="E115" s="367" t="str">
        <f>_xlfn.CONCAT(_xlfn.XLOOKUP("[S05_AggregateTotalEmissionsByCRF][47][CRFCategory2]",Submission!$O:$O,Submission!$H:$N,""))</f>
        <v/>
      </c>
      <c r="F115" s="368"/>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65" t="str">
        <f>_xlfn.CONCAT(_xlfn.XLOOKUP("[S05_AggregateTotalEmissionsByCRF][48][CRFCategory1]",Submission!$O:$O,Submission!$H:$N,""))</f>
        <v/>
      </c>
      <c r="D116" s="366"/>
      <c r="E116" s="367" t="str">
        <f>_xlfn.CONCAT(_xlfn.XLOOKUP("[S05_AggregateTotalEmissionsByCRF][48][CRFCategory2]",Submission!$O:$O,Submission!$H:$N,""))</f>
        <v/>
      </c>
      <c r="F116" s="368"/>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65" t="str">
        <f>_xlfn.CONCAT(_xlfn.XLOOKUP("[S05_AggregateTotalEmissionsByCRF][49][CRFCategory1]",Submission!$O:$O,Submission!$H:$N,""))</f>
        <v/>
      </c>
      <c r="D117" s="366"/>
      <c r="E117" s="367" t="str">
        <f>_xlfn.CONCAT(_xlfn.XLOOKUP("[S05_AggregateTotalEmissionsByCRF][49][CRFCategory2]",Submission!$O:$O,Submission!$H:$N,""))</f>
        <v/>
      </c>
      <c r="F117" s="368"/>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65" t="str">
        <f>_xlfn.CONCAT(_xlfn.XLOOKUP("[S05_AggregateTotalEmissionsByCRF][50][CRFCategory1]",Submission!$O:$O,Submission!$H:$N,""))</f>
        <v/>
      </c>
      <c r="D118" s="366"/>
      <c r="E118" s="367" t="str">
        <f>_xlfn.CONCAT(_xlfn.XLOOKUP("[S05_AggregateTotalEmissionsByCRF][50][CRFCategory2]",Submission!$O:$O,Submission!$H:$N,""))</f>
        <v/>
      </c>
      <c r="F118" s="368"/>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65" t="str">
        <f>_xlfn.CONCAT(_xlfn.XLOOKUP("[S05_AggregateTotalEmissionsByCRF][51][CRFCategory1]",Submission!$O:$O,Submission!$H:$N,""))</f>
        <v/>
      </c>
      <c r="D119" s="366"/>
      <c r="E119" s="367" t="str">
        <f>_xlfn.CONCAT(_xlfn.XLOOKUP("[S05_AggregateTotalEmissionsByCRF][51][CRFCategory2]",Submission!$O:$O,Submission!$H:$N,""))</f>
        <v/>
      </c>
      <c r="F119" s="368"/>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65" t="str">
        <f>_xlfn.CONCAT(_xlfn.XLOOKUP("[S05_AggregateTotalEmissionsByCRF][52][CRFCategory1]",Submission!$O:$O,Submission!$H:$N,""))</f>
        <v/>
      </c>
      <c r="D120" s="366"/>
      <c r="E120" s="367" t="str">
        <f>_xlfn.CONCAT(_xlfn.XLOOKUP("[S05_AggregateTotalEmissionsByCRF][52][CRFCategory2]",Submission!$O:$O,Submission!$H:$N,""))</f>
        <v/>
      </c>
      <c r="F120" s="368"/>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65" t="str">
        <f>_xlfn.CONCAT(_xlfn.XLOOKUP("[S05_AggregateTotalEmissionsByCRF][53][CRFCategory1]",Submission!$O:$O,Submission!$H:$N,""))</f>
        <v/>
      </c>
      <c r="D121" s="366"/>
      <c r="E121" s="367" t="str">
        <f>_xlfn.CONCAT(_xlfn.XLOOKUP("[S05_AggregateTotalEmissionsByCRF][53][CRFCategory2]",Submission!$O:$O,Submission!$H:$N,""))</f>
        <v/>
      </c>
      <c r="F121" s="368"/>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65" t="str">
        <f>_xlfn.CONCAT(_xlfn.XLOOKUP("[S05_AggregateTotalEmissionsByCRF][54][CRFCategory1]",Submission!$O:$O,Submission!$H:$N,""))</f>
        <v/>
      </c>
      <c r="D122" s="366"/>
      <c r="E122" s="367" t="str">
        <f>_xlfn.CONCAT(_xlfn.XLOOKUP("[S05_AggregateTotalEmissionsByCRF][54][CRFCategory2]",Submission!$O:$O,Submission!$H:$N,""))</f>
        <v/>
      </c>
      <c r="F122" s="368"/>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65" t="str">
        <f>_xlfn.CONCAT(_xlfn.XLOOKUP("[S05_AggregateTotalEmissionsByCRF][55][CRFCategory1]",Submission!$O:$O,Submission!$H:$N,""))</f>
        <v/>
      </c>
      <c r="D123" s="366"/>
      <c r="E123" s="367" t="str">
        <f>_xlfn.CONCAT(_xlfn.XLOOKUP("[S05_AggregateTotalEmissionsByCRF][55][CRFCategory2]",Submission!$O:$O,Submission!$H:$N,""))</f>
        <v/>
      </c>
      <c r="F123" s="368"/>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65" t="str">
        <f>_xlfn.CONCAT(_xlfn.XLOOKUP("[S05_AggregateTotalEmissionsByCRF][56][CRFCategory1]",Submission!$O:$O,Submission!$H:$N,""))</f>
        <v/>
      </c>
      <c r="D124" s="366"/>
      <c r="E124" s="367" t="str">
        <f>_xlfn.CONCAT(_xlfn.XLOOKUP("[S05_AggregateTotalEmissionsByCRF][56][CRFCategory2]",Submission!$O:$O,Submission!$H:$N,""))</f>
        <v/>
      </c>
      <c r="F124" s="368"/>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65" t="str">
        <f>_xlfn.CONCAT(_xlfn.XLOOKUP("[S05_AggregateTotalEmissionsByCRF][57][CRFCategory1]",Submission!$O:$O,Submission!$H:$N,""))</f>
        <v/>
      </c>
      <c r="D125" s="366"/>
      <c r="E125" s="367" t="str">
        <f>_xlfn.CONCAT(_xlfn.XLOOKUP("[S05_AggregateTotalEmissionsByCRF][57][CRFCategory2]",Submission!$O:$O,Submission!$H:$N,""))</f>
        <v/>
      </c>
      <c r="F125" s="368"/>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65" t="str">
        <f>_xlfn.CONCAT(_xlfn.XLOOKUP("[S05_AggregateTotalEmissionsByCRF][58][CRFCategory1]",Submission!$O:$O,Submission!$H:$N,""))</f>
        <v/>
      </c>
      <c r="D126" s="366"/>
      <c r="E126" s="367" t="str">
        <f>_xlfn.CONCAT(_xlfn.XLOOKUP("[S05_AggregateTotalEmissionsByCRF][58][CRFCategory2]",Submission!$O:$O,Submission!$H:$N,""))</f>
        <v/>
      </c>
      <c r="F126" s="368"/>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65" t="str">
        <f>_xlfn.CONCAT(_xlfn.XLOOKUP("[S05_AggregateTotalEmissionsByCRF][59][CRFCategory1]",Submission!$O:$O,Submission!$H:$N,""))</f>
        <v/>
      </c>
      <c r="D127" s="366"/>
      <c r="E127" s="367" t="str">
        <f>_xlfn.CONCAT(_xlfn.XLOOKUP("[S05_AggregateTotalEmissionsByCRF][59][CRFCategory2]",Submission!$O:$O,Submission!$H:$N,""))</f>
        <v/>
      </c>
      <c r="F127" s="368"/>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65" t="str">
        <f>_xlfn.CONCAT(_xlfn.XLOOKUP("[S05_AggregateTotalEmissionsByCRF][60][CRFCategory1]",Submission!$O:$O,Submission!$H:$N,""))</f>
        <v/>
      </c>
      <c r="D128" s="366"/>
      <c r="E128" s="367" t="str">
        <f>_xlfn.CONCAT(_xlfn.XLOOKUP("[S05_AggregateTotalEmissionsByCRF][60][CRFCategory2]",Submission!$O:$O,Submission!$H:$N,""))</f>
        <v/>
      </c>
      <c r="F128" s="368"/>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65" t="str">
        <f>_xlfn.CONCAT(_xlfn.XLOOKUP("[S05_AggregateTotalEmissionsByCRF][61][CRFCategory1]",Submission!$O:$O,Submission!$H:$N,""))</f>
        <v/>
      </c>
      <c r="D129" s="366"/>
      <c r="E129" s="367" t="str">
        <f>_xlfn.CONCAT(_xlfn.XLOOKUP("[S05_AggregateTotalEmissionsByCRF][61][CRFCategory2]",Submission!$O:$O,Submission!$H:$N,""))</f>
        <v/>
      </c>
      <c r="F129" s="368"/>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65" t="str">
        <f>_xlfn.CONCAT(_xlfn.XLOOKUP("[S05_AggregateTotalEmissionsByCRF][62][CRFCategory1]",Submission!$O:$O,Submission!$H:$N,""))</f>
        <v/>
      </c>
      <c r="D130" s="366"/>
      <c r="E130" s="367" t="str">
        <f>_xlfn.CONCAT(_xlfn.XLOOKUP("[S05_AggregateTotalEmissionsByCRF][62][CRFCategory2]",Submission!$O:$O,Submission!$H:$N,""))</f>
        <v/>
      </c>
      <c r="F130" s="368"/>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65" t="str">
        <f>_xlfn.CONCAT(_xlfn.XLOOKUP("[S05_AggregateTotalEmissionsByCRF][63][CRFCategory1]",Submission!$O:$O,Submission!$H:$N,""))</f>
        <v/>
      </c>
      <c r="D131" s="366"/>
      <c r="E131" s="367" t="str">
        <f>_xlfn.CONCAT(_xlfn.XLOOKUP("[S05_AggregateTotalEmissionsByCRF][63][CRFCategory2]",Submission!$O:$O,Submission!$H:$N,""))</f>
        <v/>
      </c>
      <c r="F131" s="368"/>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65" t="str">
        <f>_xlfn.CONCAT(_xlfn.XLOOKUP("[S05_AggregateTotalEmissionsByCRF][64][CRFCategory1]",Submission!$O:$O,Submission!$H:$N,""))</f>
        <v/>
      </c>
      <c r="D132" s="366"/>
      <c r="E132" s="367" t="str">
        <f>_xlfn.CONCAT(_xlfn.XLOOKUP("[S05_AggregateTotalEmissionsByCRF][64][CRFCategory2]",Submission!$O:$O,Submission!$H:$N,""))</f>
        <v/>
      </c>
      <c r="F132" s="368"/>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65" t="str">
        <f>_xlfn.CONCAT(_xlfn.XLOOKUP("[S05_AggregateTotalEmissionsByCRF][65][CRFCategory1]",Submission!$O:$O,Submission!$H:$N,""))</f>
        <v/>
      </c>
      <c r="D133" s="366"/>
      <c r="E133" s="367" t="str">
        <f>_xlfn.CONCAT(_xlfn.XLOOKUP("[S05_AggregateTotalEmissionsByCRF][65][CRFCategory2]",Submission!$O:$O,Submission!$H:$N,""))</f>
        <v/>
      </c>
      <c r="F133" s="368"/>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65" t="str">
        <f>_xlfn.CONCAT(_xlfn.XLOOKUP("[S05_AggregateTotalEmissionsByCRF][66][CRFCategory1]",Submission!$O:$O,Submission!$H:$N,""))</f>
        <v/>
      </c>
      <c r="D134" s="366"/>
      <c r="E134" s="367" t="str">
        <f>_xlfn.CONCAT(_xlfn.XLOOKUP("[S05_AggregateTotalEmissionsByCRF][66][CRFCategory2]",Submission!$O:$O,Submission!$H:$N,""))</f>
        <v/>
      </c>
      <c r="F134" s="368"/>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65" t="str">
        <f>_xlfn.CONCAT(_xlfn.XLOOKUP("[S05_AggregateTotalEmissionsByCRF][67][CRFCategory1]",Submission!$O:$O,Submission!$H:$N,""))</f>
        <v/>
      </c>
      <c r="D135" s="366"/>
      <c r="E135" s="367" t="str">
        <f>_xlfn.CONCAT(_xlfn.XLOOKUP("[S05_AggregateTotalEmissionsByCRF][67][CRFCategory2]",Submission!$O:$O,Submission!$H:$N,""))</f>
        <v/>
      </c>
      <c r="F135" s="368"/>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65" t="str">
        <f>_xlfn.CONCAT(_xlfn.XLOOKUP("[S05_AggregateTotalEmissionsByCRF][68][CRFCategory1]",Submission!$O:$O,Submission!$H:$N,""))</f>
        <v/>
      </c>
      <c r="D136" s="366"/>
      <c r="E136" s="367" t="str">
        <f>_xlfn.CONCAT(_xlfn.XLOOKUP("[S05_AggregateTotalEmissionsByCRF][68][CRFCategory2]",Submission!$O:$O,Submission!$H:$N,""))</f>
        <v/>
      </c>
      <c r="F136" s="368"/>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65" t="str">
        <f>_xlfn.CONCAT(_xlfn.XLOOKUP("[S05_AggregateTotalEmissionsByCRF][69][CRFCategory1]",Submission!$O:$O,Submission!$H:$N,""))</f>
        <v/>
      </c>
      <c r="D137" s="366"/>
      <c r="E137" s="367" t="str">
        <f>_xlfn.CONCAT(_xlfn.XLOOKUP("[S05_AggregateTotalEmissionsByCRF][69][CRFCategory2]",Submission!$O:$O,Submission!$H:$N,""))</f>
        <v/>
      </c>
      <c r="F137" s="368"/>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65" t="str">
        <f>_xlfn.CONCAT(_xlfn.XLOOKUP("[S05_AggregateTotalEmissionsByCRF][70][CRFCategory1]",Submission!$O:$O,Submission!$H:$N,""))</f>
        <v/>
      </c>
      <c r="D138" s="366"/>
      <c r="E138" s="367" t="str">
        <f>_xlfn.CONCAT(_xlfn.XLOOKUP("[S05_AggregateTotalEmissionsByCRF][70][CRFCategory2]",Submission!$O:$O,Submission!$H:$N,""))</f>
        <v/>
      </c>
      <c r="F138" s="368"/>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65" t="str">
        <f>_xlfn.CONCAT(_xlfn.XLOOKUP("[S05_AggregateTotalEmissionsByCRF][71][CRFCategory1]",Submission!$O:$O,Submission!$H:$N,""))</f>
        <v/>
      </c>
      <c r="D139" s="366"/>
      <c r="E139" s="367" t="str">
        <f>_xlfn.CONCAT(_xlfn.XLOOKUP("[S05_AggregateTotalEmissionsByCRF][71][CRFCategory2]",Submission!$O:$O,Submission!$H:$N,""))</f>
        <v/>
      </c>
      <c r="F139" s="368"/>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65" t="str">
        <f>_xlfn.CONCAT(_xlfn.XLOOKUP("[S05_AggregateTotalEmissionsByCRF][72][CRFCategory1]",Submission!$O:$O,Submission!$H:$N,""))</f>
        <v/>
      </c>
      <c r="D140" s="366"/>
      <c r="E140" s="367" t="str">
        <f>_xlfn.CONCAT(_xlfn.XLOOKUP("[S05_AggregateTotalEmissionsByCRF][72][CRFCategory2]",Submission!$O:$O,Submission!$H:$N,""))</f>
        <v/>
      </c>
      <c r="F140" s="368"/>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65" t="str">
        <f>_xlfn.CONCAT(_xlfn.XLOOKUP("[S05_AggregateTotalEmissionsByCRF][73][CRFCategory1]",Submission!$O:$O,Submission!$H:$N,""))</f>
        <v/>
      </c>
      <c r="D141" s="366"/>
      <c r="E141" s="367" t="str">
        <f>_xlfn.CONCAT(_xlfn.XLOOKUP("[S05_AggregateTotalEmissionsByCRF][73][CRFCategory2]",Submission!$O:$O,Submission!$H:$N,""))</f>
        <v/>
      </c>
      <c r="F141" s="368"/>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65" t="str">
        <f>_xlfn.CONCAT(_xlfn.XLOOKUP("[S05_AggregateTotalEmissionsByCRF][74][CRFCategory1]",Submission!$O:$O,Submission!$H:$N,""))</f>
        <v/>
      </c>
      <c r="D142" s="366"/>
      <c r="E142" s="367" t="str">
        <f>_xlfn.CONCAT(_xlfn.XLOOKUP("[S05_AggregateTotalEmissionsByCRF][74][CRFCategory2]",Submission!$O:$O,Submission!$H:$N,""))</f>
        <v/>
      </c>
      <c r="F142" s="368"/>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65" t="str">
        <f>_xlfn.CONCAT(_xlfn.XLOOKUP("[S05_AggregateTotalEmissionsByCRF][75][CRFCategory1]",Submission!$O:$O,Submission!$H:$N,""))</f>
        <v/>
      </c>
      <c r="D143" s="366"/>
      <c r="E143" s="367" t="str">
        <f>_xlfn.CONCAT(_xlfn.XLOOKUP("[S05_AggregateTotalEmissionsByCRF][75][CRFCategory2]",Submission!$O:$O,Submission!$H:$N,""))</f>
        <v/>
      </c>
      <c r="F143" s="368"/>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65" t="str">
        <f>_xlfn.CONCAT(_xlfn.XLOOKUP("[S05_AggregateTotalEmissionsByCRF][76][CRFCategory1]",Submission!$O:$O,Submission!$H:$N,""))</f>
        <v/>
      </c>
      <c r="D144" s="366"/>
      <c r="E144" s="367" t="str">
        <f>_xlfn.CONCAT(_xlfn.XLOOKUP("[S05_AggregateTotalEmissionsByCRF][76][CRFCategory2]",Submission!$O:$O,Submission!$H:$N,""))</f>
        <v/>
      </c>
      <c r="F144" s="368"/>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65" t="str">
        <f>_xlfn.CONCAT(_xlfn.XLOOKUP("[S05_AggregateTotalEmissionsByCRF][77][CRFCategory1]",Submission!$O:$O,Submission!$H:$N,""))</f>
        <v/>
      </c>
      <c r="D145" s="366"/>
      <c r="E145" s="367" t="str">
        <f>_xlfn.CONCAT(_xlfn.XLOOKUP("[S05_AggregateTotalEmissionsByCRF][77][CRFCategory2]",Submission!$O:$O,Submission!$H:$N,""))</f>
        <v/>
      </c>
      <c r="F145" s="368"/>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65" t="str">
        <f>_xlfn.CONCAT(_xlfn.XLOOKUP("[S05_AggregateTotalEmissionsByCRF][78][CRFCategory1]",Submission!$O:$O,Submission!$H:$N,""))</f>
        <v/>
      </c>
      <c r="D146" s="366"/>
      <c r="E146" s="367" t="str">
        <f>_xlfn.CONCAT(_xlfn.XLOOKUP("[S05_AggregateTotalEmissionsByCRF][78][CRFCategory2]",Submission!$O:$O,Submission!$H:$N,""))</f>
        <v/>
      </c>
      <c r="F146" s="368"/>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65" t="str">
        <f>_xlfn.CONCAT(_xlfn.XLOOKUP("[S05_AggregateTotalEmissionsByCRF][79][CRFCategory1]",Submission!$O:$O,Submission!$H:$N,""))</f>
        <v/>
      </c>
      <c r="D147" s="366"/>
      <c r="E147" s="367" t="str">
        <f>_xlfn.CONCAT(_xlfn.XLOOKUP("[S05_AggregateTotalEmissionsByCRF][79][CRFCategory2]",Submission!$O:$O,Submission!$H:$N,""))</f>
        <v/>
      </c>
      <c r="F147" s="368"/>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65" t="str">
        <f>_xlfn.CONCAT(_xlfn.XLOOKUP("[S05_AggregateTotalEmissionsByCRF][80][CRFCategory1]",Submission!$O:$O,Submission!$H:$N,""))</f>
        <v/>
      </c>
      <c r="D148" s="366"/>
      <c r="E148" s="367" t="str">
        <f>_xlfn.CONCAT(_xlfn.XLOOKUP("[S05_AggregateTotalEmissionsByCRF][80][CRFCategory2]",Submission!$O:$O,Submission!$H:$N,""))</f>
        <v/>
      </c>
      <c r="F148" s="368"/>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65" t="str">
        <f>_xlfn.CONCAT(_xlfn.XLOOKUP("[S05_AggregateTotalEmissionsByCRF][81][CRFCategory1]",Submission!$O:$O,Submission!$H:$N,""))</f>
        <v/>
      </c>
      <c r="D149" s="366"/>
      <c r="E149" s="367" t="str">
        <f>_xlfn.CONCAT(_xlfn.XLOOKUP("[S05_AggregateTotalEmissionsByCRF][81][CRFCategory2]",Submission!$O:$O,Submission!$H:$N,""))</f>
        <v/>
      </c>
      <c r="F149" s="368"/>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65" t="str">
        <f>_xlfn.CONCAT(_xlfn.XLOOKUP("[S05_AggregateTotalEmissionsByCRF][82][CRFCategory1]",Submission!$O:$O,Submission!$H:$N,""))</f>
        <v/>
      </c>
      <c r="D150" s="366"/>
      <c r="E150" s="367" t="str">
        <f>_xlfn.CONCAT(_xlfn.XLOOKUP("[S05_AggregateTotalEmissionsByCRF][82][CRFCategory2]",Submission!$O:$O,Submission!$H:$N,""))</f>
        <v/>
      </c>
      <c r="F150" s="368"/>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65" t="str">
        <f>_xlfn.CONCAT(_xlfn.XLOOKUP("[S05_AggregateTotalEmissionsByCRF][83][CRFCategory1]",Submission!$O:$O,Submission!$H:$N,""))</f>
        <v/>
      </c>
      <c r="D151" s="366"/>
      <c r="E151" s="367" t="str">
        <f>_xlfn.CONCAT(_xlfn.XLOOKUP("[S05_AggregateTotalEmissionsByCRF][83][CRFCategory2]",Submission!$O:$O,Submission!$H:$N,""))</f>
        <v/>
      </c>
      <c r="F151" s="368"/>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65" t="str">
        <f>_xlfn.CONCAT(_xlfn.XLOOKUP("[S05_AggregateTotalEmissionsByCRF][84][CRFCategory1]",Submission!$O:$O,Submission!$H:$N,""))</f>
        <v/>
      </c>
      <c r="D152" s="366"/>
      <c r="E152" s="367" t="str">
        <f>_xlfn.CONCAT(_xlfn.XLOOKUP("[S05_AggregateTotalEmissionsByCRF][84][CRFCategory2]",Submission!$O:$O,Submission!$H:$N,""))</f>
        <v/>
      </c>
      <c r="F152" s="368"/>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65" t="str">
        <f>_xlfn.CONCAT(_xlfn.XLOOKUP("[S05_AggregateTotalEmissionsByCRF][85][CRFCategory1]",Submission!$O:$O,Submission!$H:$N,""))</f>
        <v/>
      </c>
      <c r="D153" s="366"/>
      <c r="E153" s="367" t="str">
        <f>_xlfn.CONCAT(_xlfn.XLOOKUP("[S05_AggregateTotalEmissionsByCRF][85][CRFCategory2]",Submission!$O:$O,Submission!$H:$N,""))</f>
        <v/>
      </c>
      <c r="F153" s="368"/>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65" t="str">
        <f>_xlfn.CONCAT(_xlfn.XLOOKUP("[S05_AggregateTotalEmissionsByCRF][86][CRFCategory1]",Submission!$O:$O,Submission!$H:$N,""))</f>
        <v/>
      </c>
      <c r="D154" s="366"/>
      <c r="E154" s="367" t="str">
        <f>_xlfn.CONCAT(_xlfn.XLOOKUP("[S05_AggregateTotalEmissionsByCRF][86][CRFCategory2]",Submission!$O:$O,Submission!$H:$N,""))</f>
        <v/>
      </c>
      <c r="F154" s="368"/>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65" t="str">
        <f>_xlfn.CONCAT(_xlfn.XLOOKUP("[S05_AggregateTotalEmissionsByCRF][87][CRFCategory1]",Submission!$O:$O,Submission!$H:$N,""))</f>
        <v/>
      </c>
      <c r="D155" s="366"/>
      <c r="E155" s="367" t="str">
        <f>_xlfn.CONCAT(_xlfn.XLOOKUP("[S05_AggregateTotalEmissionsByCRF][87][CRFCategory2]",Submission!$O:$O,Submission!$H:$N,""))</f>
        <v/>
      </c>
      <c r="F155" s="368"/>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65" t="str">
        <f>_xlfn.CONCAT(_xlfn.XLOOKUP("[S05_AggregateTotalEmissionsByCRF][88][CRFCategory1]",Submission!$O:$O,Submission!$H:$N,""))</f>
        <v/>
      </c>
      <c r="D156" s="366"/>
      <c r="E156" s="367" t="str">
        <f>_xlfn.CONCAT(_xlfn.XLOOKUP("[S05_AggregateTotalEmissionsByCRF][88][CRFCategory2]",Submission!$O:$O,Submission!$H:$N,""))</f>
        <v/>
      </c>
      <c r="F156" s="368"/>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65" t="str">
        <f>_xlfn.CONCAT(_xlfn.XLOOKUP("[S05_AggregateTotalEmissionsByCRF][89][CRFCategory1]",Submission!$O:$O,Submission!$H:$N,""))</f>
        <v/>
      </c>
      <c r="D157" s="366"/>
      <c r="E157" s="367" t="str">
        <f>_xlfn.CONCAT(_xlfn.XLOOKUP("[S05_AggregateTotalEmissionsByCRF][89][CRFCategory2]",Submission!$O:$O,Submission!$H:$N,""))</f>
        <v/>
      </c>
      <c r="F157" s="368"/>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65" t="str">
        <f>_xlfn.CONCAT(_xlfn.XLOOKUP("[S05_AggregateTotalEmissionsByCRF][90][CRFCategory1]",Submission!$O:$O,Submission!$H:$N,""))</f>
        <v/>
      </c>
      <c r="D158" s="366"/>
      <c r="E158" s="367" t="str">
        <f>_xlfn.CONCAT(_xlfn.XLOOKUP("[S05_AggregateTotalEmissionsByCRF][90][CRFCategory2]",Submission!$O:$O,Submission!$H:$N,""))</f>
        <v/>
      </c>
      <c r="F158" s="368"/>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65" t="str">
        <f>_xlfn.CONCAT(_xlfn.XLOOKUP("[S05_AggregateTotalEmissionsByCRF][91][CRFCategory1]",Submission!$O:$O,Submission!$H:$N,""))</f>
        <v/>
      </c>
      <c r="D159" s="366"/>
      <c r="E159" s="367" t="str">
        <f>_xlfn.CONCAT(_xlfn.XLOOKUP("[S05_AggregateTotalEmissionsByCRF][91][CRFCategory2]",Submission!$O:$O,Submission!$H:$N,""))</f>
        <v/>
      </c>
      <c r="F159" s="368"/>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65" t="str">
        <f>_xlfn.CONCAT(_xlfn.XLOOKUP("[S05_AggregateTotalEmissionsByCRF][92][CRFCategory1]",Submission!$O:$O,Submission!$H:$N,""))</f>
        <v/>
      </c>
      <c r="D160" s="366"/>
      <c r="E160" s="367" t="str">
        <f>_xlfn.CONCAT(_xlfn.XLOOKUP("[S05_AggregateTotalEmissionsByCRF][92][CRFCategory2]",Submission!$O:$O,Submission!$H:$N,""))</f>
        <v/>
      </c>
      <c r="F160" s="368"/>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65" t="str">
        <f>_xlfn.CONCAT(_xlfn.XLOOKUP("[S05_AggregateTotalEmissionsByCRF][93][CRFCategory1]",Submission!$O:$O,Submission!$H:$N,""))</f>
        <v/>
      </c>
      <c r="D161" s="366"/>
      <c r="E161" s="367" t="str">
        <f>_xlfn.CONCAT(_xlfn.XLOOKUP("[S05_AggregateTotalEmissionsByCRF][93][CRFCategory2]",Submission!$O:$O,Submission!$H:$N,""))</f>
        <v/>
      </c>
      <c r="F161" s="368"/>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65" t="str">
        <f>_xlfn.CONCAT(_xlfn.XLOOKUP("[S05_AggregateTotalEmissionsByCRF][94][CRFCategory1]",Submission!$O:$O,Submission!$H:$N,""))</f>
        <v/>
      </c>
      <c r="D162" s="366"/>
      <c r="E162" s="367" t="str">
        <f>_xlfn.CONCAT(_xlfn.XLOOKUP("[S05_AggregateTotalEmissionsByCRF][94][CRFCategory2]",Submission!$O:$O,Submission!$H:$N,""))</f>
        <v/>
      </c>
      <c r="F162" s="368"/>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65" t="str">
        <f>_xlfn.CONCAT(_xlfn.XLOOKUP("[S05_AggregateTotalEmissionsByCRF][95][CRFCategory1]",Submission!$O:$O,Submission!$H:$N,""))</f>
        <v/>
      </c>
      <c r="D163" s="366"/>
      <c r="E163" s="367" t="str">
        <f>_xlfn.CONCAT(_xlfn.XLOOKUP("[S05_AggregateTotalEmissionsByCRF][95][CRFCategory2]",Submission!$O:$O,Submission!$H:$N,""))</f>
        <v/>
      </c>
      <c r="F163" s="368"/>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65" t="str">
        <f>_xlfn.CONCAT(_xlfn.XLOOKUP("[S05_AggregateTotalEmissionsByCRF][96][CRFCategory1]",Submission!$O:$O,Submission!$H:$N,""))</f>
        <v/>
      </c>
      <c r="D164" s="366"/>
      <c r="E164" s="367" t="str">
        <f>_xlfn.CONCAT(_xlfn.XLOOKUP("[S05_AggregateTotalEmissionsByCRF][96][CRFCategory2]",Submission!$O:$O,Submission!$H:$N,""))</f>
        <v/>
      </c>
      <c r="F164" s="368"/>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65" t="str">
        <f>_xlfn.CONCAT(_xlfn.XLOOKUP("[S05_AggregateTotalEmissionsByCRF][97][CRFCategory1]",Submission!$O:$O,Submission!$H:$N,""))</f>
        <v/>
      </c>
      <c r="D165" s="366"/>
      <c r="E165" s="367" t="str">
        <f>_xlfn.CONCAT(_xlfn.XLOOKUP("[S05_AggregateTotalEmissionsByCRF][97][CRFCategory2]",Submission!$O:$O,Submission!$H:$N,""))</f>
        <v/>
      </c>
      <c r="F165" s="368"/>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65" t="str">
        <f>_xlfn.CONCAT(_xlfn.XLOOKUP("[S05_AggregateTotalEmissionsByCRF][98][CRFCategory1]",Submission!$O:$O,Submission!$H:$N,""))</f>
        <v/>
      </c>
      <c r="D166" s="366"/>
      <c r="E166" s="367" t="str">
        <f>_xlfn.CONCAT(_xlfn.XLOOKUP("[S05_AggregateTotalEmissionsByCRF][98][CRFCategory2]",Submission!$O:$O,Submission!$H:$N,""))</f>
        <v/>
      </c>
      <c r="F166" s="368"/>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65" t="str">
        <f>_xlfn.CONCAT(_xlfn.XLOOKUP("[S05_AggregateTotalEmissionsByCRF][99][CRFCategory1]",Submission!$O:$O,Submission!$H:$N,""))</f>
        <v/>
      </c>
      <c r="D167" s="366"/>
      <c r="E167" s="367" t="str">
        <f>_xlfn.CONCAT(_xlfn.XLOOKUP("[S05_AggregateTotalEmissionsByCRF][99][CRFCategory2]",Submission!$O:$O,Submission!$H:$N,""))</f>
        <v/>
      </c>
      <c r="F167" s="368"/>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65" t="str">
        <f>_xlfn.CONCAT(_xlfn.XLOOKUP("[S05_AggregateTotalEmissionsByCRF][100][CRFCategory1]",Submission!$O:$O,Submission!$H:$N,""))</f>
        <v/>
      </c>
      <c r="D168" s="366"/>
      <c r="E168" s="367" t="str">
        <f>_xlfn.CONCAT(_xlfn.XLOOKUP("[S05_AggregateTotalEmissionsByCRF][100][CRFCategory2]",Submission!$O:$O,Submission!$H:$N,""))</f>
        <v/>
      </c>
      <c r="F168" s="368"/>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65" t="str">
        <f>_xlfn.CONCAT(_xlfn.XLOOKUP("[S05_AggregateTotalEmissionsByCRF][101][CRFCategory1]",Submission!$O:$O,Submission!$H:$N,""))</f>
        <v/>
      </c>
      <c r="D169" s="366"/>
      <c r="E169" s="367" t="str">
        <f>_xlfn.CONCAT(_xlfn.XLOOKUP("[S05_AggregateTotalEmissionsByCRF][101][CRFCategory2]",Submission!$O:$O,Submission!$H:$N,""))</f>
        <v/>
      </c>
      <c r="F169" s="368"/>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65" t="str">
        <f>_xlfn.CONCAT(_xlfn.XLOOKUP("[S05_AggregateTotalEmissionsByCRF][102][CRFCategory1]",Submission!$O:$O,Submission!$H:$N,""))</f>
        <v/>
      </c>
      <c r="D170" s="366"/>
      <c r="E170" s="367" t="str">
        <f>_xlfn.CONCAT(_xlfn.XLOOKUP("[S05_AggregateTotalEmissionsByCRF][102][CRFCategory2]",Submission!$O:$O,Submission!$H:$N,""))</f>
        <v/>
      </c>
      <c r="F170" s="368"/>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65" t="str">
        <f>_xlfn.CONCAT(_xlfn.XLOOKUP("[S05_AggregateTotalEmissionsByCRF][103][CRFCategory1]",Submission!$O:$O,Submission!$H:$N,""))</f>
        <v/>
      </c>
      <c r="D171" s="366"/>
      <c r="E171" s="367" t="str">
        <f>_xlfn.CONCAT(_xlfn.XLOOKUP("[S05_AggregateTotalEmissionsByCRF][103][CRFCategory2]",Submission!$O:$O,Submission!$H:$N,""))</f>
        <v/>
      </c>
      <c r="F171" s="368"/>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65" t="str">
        <f>_xlfn.CONCAT(_xlfn.XLOOKUP("[S05_AggregateTotalEmissionsByCRF][104][CRFCategory1]",Submission!$O:$O,Submission!$H:$N,""))</f>
        <v/>
      </c>
      <c r="D172" s="366"/>
      <c r="E172" s="367" t="str">
        <f>_xlfn.CONCAT(_xlfn.XLOOKUP("[S05_AggregateTotalEmissionsByCRF][104][CRFCategory2]",Submission!$O:$O,Submission!$H:$N,""))</f>
        <v/>
      </c>
      <c r="F172" s="368"/>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65" t="str">
        <f>_xlfn.CONCAT(_xlfn.XLOOKUP("[S05_AggregateTotalEmissionsByCRF][105][CRFCategory1]",Submission!$O:$O,Submission!$H:$N,""))</f>
        <v/>
      </c>
      <c r="D173" s="366"/>
      <c r="E173" s="367" t="str">
        <f>_xlfn.CONCAT(_xlfn.XLOOKUP("[S05_AggregateTotalEmissionsByCRF][105][CRFCategory2]",Submission!$O:$O,Submission!$H:$N,""))</f>
        <v/>
      </c>
      <c r="F173" s="368"/>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65" t="str">
        <f>_xlfn.CONCAT(_xlfn.XLOOKUP("[S05_AggregateTotalEmissionsByCRF][106][CRFCategory1]",Submission!$O:$O,Submission!$H:$N,""))</f>
        <v/>
      </c>
      <c r="D174" s="366"/>
      <c r="E174" s="367" t="str">
        <f>_xlfn.CONCAT(_xlfn.XLOOKUP("[S05_AggregateTotalEmissionsByCRF][106][CRFCategory2]",Submission!$O:$O,Submission!$H:$N,""))</f>
        <v/>
      </c>
      <c r="F174" s="368"/>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65" t="str">
        <f>_xlfn.CONCAT(_xlfn.XLOOKUP("[S05_AggregateTotalEmissionsByCRF][107][CRFCategory1]",Submission!$O:$O,Submission!$H:$N,""))</f>
        <v/>
      </c>
      <c r="D175" s="366"/>
      <c r="E175" s="367" t="str">
        <f>_xlfn.CONCAT(_xlfn.XLOOKUP("[S05_AggregateTotalEmissionsByCRF][107][CRFCategory2]",Submission!$O:$O,Submission!$H:$N,""))</f>
        <v/>
      </c>
      <c r="F175" s="368"/>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65" t="str">
        <f>_xlfn.CONCAT(_xlfn.XLOOKUP("[S05_AggregateTotalEmissionsByCRF][108][CRFCategory1]",Submission!$O:$O,Submission!$H:$N,""))</f>
        <v/>
      </c>
      <c r="D176" s="366"/>
      <c r="E176" s="367" t="str">
        <f>_xlfn.CONCAT(_xlfn.XLOOKUP("[S05_AggregateTotalEmissionsByCRF][108][CRFCategory2]",Submission!$O:$O,Submission!$H:$N,""))</f>
        <v/>
      </c>
      <c r="F176" s="368"/>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65" t="str">
        <f>_xlfn.CONCAT(_xlfn.XLOOKUP("[S05_AggregateTotalEmissionsByCRF][109][CRFCategory1]",Submission!$O:$O,Submission!$H:$N,""))</f>
        <v/>
      </c>
      <c r="D177" s="366"/>
      <c r="E177" s="367" t="str">
        <f>_xlfn.CONCAT(_xlfn.XLOOKUP("[S05_AggregateTotalEmissionsByCRF][109][CRFCategory2]",Submission!$O:$O,Submission!$H:$N,""))</f>
        <v/>
      </c>
      <c r="F177" s="368"/>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65" t="str">
        <f>_xlfn.CONCAT(_xlfn.XLOOKUP("[S05_AggregateTotalEmissionsByCRF][110][CRFCategory1]",Submission!$O:$O,Submission!$H:$N,""))</f>
        <v/>
      </c>
      <c r="D178" s="366"/>
      <c r="E178" s="367" t="str">
        <f>_xlfn.CONCAT(_xlfn.XLOOKUP("[S05_AggregateTotalEmissionsByCRF][110][CRFCategory2]",Submission!$O:$O,Submission!$H:$N,""))</f>
        <v/>
      </c>
      <c r="F178" s="368"/>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65" t="str">
        <f>_xlfn.CONCAT(_xlfn.XLOOKUP("[S05_AggregateTotalEmissionsByCRF][111][CRFCategory1]",Submission!$O:$O,Submission!$H:$N,""))</f>
        <v/>
      </c>
      <c r="D179" s="366"/>
      <c r="E179" s="367" t="str">
        <f>_xlfn.CONCAT(_xlfn.XLOOKUP("[S05_AggregateTotalEmissionsByCRF][111][CRFCategory2]",Submission!$O:$O,Submission!$H:$N,""))</f>
        <v/>
      </c>
      <c r="F179" s="368"/>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65" t="str">
        <f>_xlfn.CONCAT(_xlfn.XLOOKUP("[S05_AggregateTotalEmissionsByCRF][112][CRFCategory1]",Submission!$O:$O,Submission!$H:$N,""))</f>
        <v/>
      </c>
      <c r="D180" s="366"/>
      <c r="E180" s="367" t="str">
        <f>_xlfn.CONCAT(_xlfn.XLOOKUP("[S05_AggregateTotalEmissionsByCRF][112][CRFCategory2]",Submission!$O:$O,Submission!$H:$N,""))</f>
        <v/>
      </c>
      <c r="F180" s="368"/>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65" t="str">
        <f>_xlfn.CONCAT(_xlfn.XLOOKUP("[S05_AggregateTotalEmissionsByCRF][113][CRFCategory1]",Submission!$O:$O,Submission!$H:$N,""))</f>
        <v/>
      </c>
      <c r="D181" s="366"/>
      <c r="E181" s="367" t="str">
        <f>_xlfn.CONCAT(_xlfn.XLOOKUP("[S05_AggregateTotalEmissionsByCRF][113][CRFCategory2]",Submission!$O:$O,Submission!$H:$N,""))</f>
        <v/>
      </c>
      <c r="F181" s="368"/>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65" t="str">
        <f>_xlfn.CONCAT(_xlfn.XLOOKUP("[S05_AggregateTotalEmissionsByCRF][114][CRFCategory1]",Submission!$O:$O,Submission!$H:$N,""))</f>
        <v/>
      </c>
      <c r="D182" s="366"/>
      <c r="E182" s="367" t="str">
        <f>_xlfn.CONCAT(_xlfn.XLOOKUP("[S05_AggregateTotalEmissionsByCRF][114][CRFCategory2]",Submission!$O:$O,Submission!$H:$N,""))</f>
        <v/>
      </c>
      <c r="F182" s="368"/>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65" t="str">
        <f>_xlfn.CONCAT(_xlfn.XLOOKUP("[S05_AggregateTotalEmissionsByCRF][115][CRFCategory1]",Submission!$O:$O,Submission!$H:$N,""))</f>
        <v/>
      </c>
      <c r="D183" s="366"/>
      <c r="E183" s="367" t="str">
        <f>_xlfn.CONCAT(_xlfn.XLOOKUP("[S05_AggregateTotalEmissionsByCRF][115][CRFCategory2]",Submission!$O:$O,Submission!$H:$N,""))</f>
        <v/>
      </c>
      <c r="F183" s="368"/>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65" t="str">
        <f>_xlfn.CONCAT(_xlfn.XLOOKUP("[S05_AggregateTotalEmissionsByCRF][116][CRFCategory1]",Submission!$O:$O,Submission!$H:$N,""))</f>
        <v/>
      </c>
      <c r="D184" s="366"/>
      <c r="E184" s="367" t="str">
        <f>_xlfn.CONCAT(_xlfn.XLOOKUP("[S05_AggregateTotalEmissionsByCRF][116][CRFCategory2]",Submission!$O:$O,Submission!$H:$N,""))</f>
        <v/>
      </c>
      <c r="F184" s="368"/>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65" t="str">
        <f>_xlfn.CONCAT(_xlfn.XLOOKUP("[S05_AggregateTotalEmissionsByCRF][117][CRFCategory1]",Submission!$O:$O,Submission!$H:$N,""))</f>
        <v/>
      </c>
      <c r="D185" s="366"/>
      <c r="E185" s="367" t="str">
        <f>_xlfn.CONCAT(_xlfn.XLOOKUP("[S05_AggregateTotalEmissionsByCRF][117][CRFCategory2]",Submission!$O:$O,Submission!$H:$N,""))</f>
        <v/>
      </c>
      <c r="F185" s="368"/>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65" t="str">
        <f>_xlfn.CONCAT(_xlfn.XLOOKUP("[S05_AggregateTotalEmissionsByCRF][118][CRFCategory1]",Submission!$O:$O,Submission!$H:$N,""))</f>
        <v/>
      </c>
      <c r="D186" s="366"/>
      <c r="E186" s="367" t="str">
        <f>_xlfn.CONCAT(_xlfn.XLOOKUP("[S05_AggregateTotalEmissionsByCRF][118][CRFCategory2]",Submission!$O:$O,Submission!$H:$N,""))</f>
        <v/>
      </c>
      <c r="F186" s="368"/>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65" t="str">
        <f>_xlfn.CONCAT(_xlfn.XLOOKUP("[S05_AggregateTotalEmissionsByCRF][119][CRFCategory1]",Submission!$O:$O,Submission!$H:$N,""))</f>
        <v/>
      </c>
      <c r="D187" s="366"/>
      <c r="E187" s="367" t="str">
        <f>_xlfn.CONCAT(_xlfn.XLOOKUP("[S05_AggregateTotalEmissionsByCRF][119][CRFCategory2]",Submission!$O:$O,Submission!$H:$N,""))</f>
        <v/>
      </c>
      <c r="F187" s="368"/>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65" t="str">
        <f>_xlfn.CONCAT(_xlfn.XLOOKUP("[S05_AggregateTotalEmissionsByCRF][120][CRFCategory1]",Submission!$O:$O,Submission!$H:$N,""))</f>
        <v/>
      </c>
      <c r="D188" s="366"/>
      <c r="E188" s="367" t="str">
        <f>_xlfn.CONCAT(_xlfn.XLOOKUP("[S05_AggregateTotalEmissionsByCRF][120][CRFCategory2]",Submission!$O:$O,Submission!$H:$N,""))</f>
        <v/>
      </c>
      <c r="F188" s="368"/>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65" t="str">
        <f>_xlfn.CONCAT(_xlfn.XLOOKUP("[S05_AggregateTotalEmissionsByCRF][121][CRFCategory1]",Submission!$O:$O,Submission!$H:$N,""))</f>
        <v/>
      </c>
      <c r="D189" s="366"/>
      <c r="E189" s="367" t="str">
        <f>_xlfn.CONCAT(_xlfn.XLOOKUP("[S05_AggregateTotalEmissionsByCRF][121][CRFCategory2]",Submission!$O:$O,Submission!$H:$N,""))</f>
        <v/>
      </c>
      <c r="F189" s="368"/>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65" t="str">
        <f>_xlfn.CONCAT(_xlfn.XLOOKUP("[S05_AggregateTotalEmissionsByCRF][122][CRFCategory1]",Submission!$O:$O,Submission!$H:$N,""))</f>
        <v/>
      </c>
      <c r="D190" s="366"/>
      <c r="E190" s="367" t="str">
        <f>_xlfn.CONCAT(_xlfn.XLOOKUP("[S05_AggregateTotalEmissionsByCRF][122][CRFCategory2]",Submission!$O:$O,Submission!$H:$N,""))</f>
        <v/>
      </c>
      <c r="F190" s="368"/>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65" t="str">
        <f>_xlfn.CONCAT(_xlfn.XLOOKUP("[S05_AggregateTotalEmissionsByCRF][123][CRFCategory1]",Submission!$O:$O,Submission!$H:$N,""))</f>
        <v/>
      </c>
      <c r="D191" s="366"/>
      <c r="E191" s="367" t="str">
        <f>_xlfn.CONCAT(_xlfn.XLOOKUP("[S05_AggregateTotalEmissionsByCRF][123][CRFCategory2]",Submission!$O:$O,Submission!$H:$N,""))</f>
        <v/>
      </c>
      <c r="F191" s="368"/>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65" t="str">
        <f>_xlfn.CONCAT(_xlfn.XLOOKUP("[S05_AggregateTotalEmissionsByCRF][124][CRFCategory1]",Submission!$O:$O,Submission!$H:$N,""))</f>
        <v/>
      </c>
      <c r="D192" s="366"/>
      <c r="E192" s="367" t="str">
        <f>_xlfn.CONCAT(_xlfn.XLOOKUP("[S05_AggregateTotalEmissionsByCRF][124][CRFCategory2]",Submission!$O:$O,Submission!$H:$N,""))</f>
        <v/>
      </c>
      <c r="F192" s="368"/>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65" t="str">
        <f>_xlfn.CONCAT(_xlfn.XLOOKUP("[S05_AggregateTotalEmissionsByCRF][125][CRFCategory1]",Submission!$O:$O,Submission!$H:$N,""))</f>
        <v/>
      </c>
      <c r="D193" s="366"/>
      <c r="E193" s="367" t="str">
        <f>_xlfn.CONCAT(_xlfn.XLOOKUP("[S05_AggregateTotalEmissionsByCRF][125][CRFCategory2]",Submission!$O:$O,Submission!$H:$N,""))</f>
        <v/>
      </c>
      <c r="F193" s="368"/>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65" t="str">
        <f>_xlfn.CONCAT(_xlfn.XLOOKUP("[S05_AggregateTotalEmissionsByCRF][126][CRFCategory1]",Submission!$O:$O,Submission!$H:$N,""))</f>
        <v/>
      </c>
      <c r="D194" s="366"/>
      <c r="E194" s="367" t="str">
        <f>_xlfn.CONCAT(_xlfn.XLOOKUP("[S05_AggregateTotalEmissionsByCRF][126][CRFCategory2]",Submission!$O:$O,Submission!$H:$N,""))</f>
        <v/>
      </c>
      <c r="F194" s="368"/>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65" t="str">
        <f>_xlfn.CONCAT(_xlfn.XLOOKUP("[S05_AggregateTotalEmissionsByCRF][127][CRFCategory1]",Submission!$O:$O,Submission!$H:$N,""))</f>
        <v/>
      </c>
      <c r="D195" s="366"/>
      <c r="E195" s="367" t="str">
        <f>_xlfn.CONCAT(_xlfn.XLOOKUP("[S05_AggregateTotalEmissionsByCRF][127][CRFCategory2]",Submission!$O:$O,Submission!$H:$N,""))</f>
        <v/>
      </c>
      <c r="F195" s="368"/>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65" t="str">
        <f>_xlfn.CONCAT(_xlfn.XLOOKUP("[S05_AggregateTotalEmissionsByCRF][128][CRFCategory1]",Submission!$O:$O,Submission!$H:$N,""))</f>
        <v/>
      </c>
      <c r="D196" s="366"/>
      <c r="E196" s="367" t="str">
        <f>_xlfn.CONCAT(_xlfn.XLOOKUP("[S05_AggregateTotalEmissionsByCRF][128][CRFCategory2]",Submission!$O:$O,Submission!$H:$N,""))</f>
        <v/>
      </c>
      <c r="F196" s="368"/>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65" t="str">
        <f>_xlfn.CONCAT(_xlfn.XLOOKUP("[S05_AggregateTotalEmissionsByCRF][129][CRFCategory1]",Submission!$O:$O,Submission!$H:$N,""))</f>
        <v/>
      </c>
      <c r="D197" s="366"/>
      <c r="E197" s="367" t="str">
        <f>_xlfn.CONCAT(_xlfn.XLOOKUP("[S05_AggregateTotalEmissionsByCRF][129][CRFCategory2]",Submission!$O:$O,Submission!$H:$N,""))</f>
        <v/>
      </c>
      <c r="F197" s="368"/>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65" t="str">
        <f>_xlfn.CONCAT(_xlfn.XLOOKUP("[S05_AggregateTotalEmissionsByCRF][130][CRFCategory1]",Submission!$O:$O,Submission!$H:$N,""))</f>
        <v/>
      </c>
      <c r="D198" s="366"/>
      <c r="E198" s="367" t="str">
        <f>_xlfn.CONCAT(_xlfn.XLOOKUP("[S05_AggregateTotalEmissionsByCRF][130][CRFCategory2]",Submission!$O:$O,Submission!$H:$N,""))</f>
        <v/>
      </c>
      <c r="F198" s="368"/>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5" t="s">
        <v>858</v>
      </c>
      <c r="C201" s="276"/>
      <c r="D201" s="276"/>
      <c r="E201" s="276"/>
      <c r="F201" s="276"/>
      <c r="G201" s="276"/>
      <c r="H201" s="276"/>
      <c r="I201" s="276"/>
    </row>
    <row r="202" spans="1:9" ht="30" customHeight="1" x14ac:dyDescent="0.3">
      <c r="A202" s="13"/>
      <c r="B202" s="34"/>
      <c r="C202" s="415" t="s">
        <v>859</v>
      </c>
      <c r="D202" s="416"/>
      <c r="E202" s="416"/>
      <c r="F202" s="416"/>
      <c r="G202" s="417"/>
      <c r="H202" s="45" t="s">
        <v>860</v>
      </c>
      <c r="I202" s="42" t="s">
        <v>861</v>
      </c>
    </row>
    <row r="203" spans="1:9" ht="15.9" customHeight="1" x14ac:dyDescent="0.3">
      <c r="A203" s="13"/>
      <c r="B203" s="34"/>
      <c r="C203" s="274" t="str">
        <f>_xlfn.CONCAT(_xlfn.XLOOKUP("[S05_DefaultValues][1][InstallationCategory]",Submission!$O:$O,Submission!$H:$N,""))</f>
        <v/>
      </c>
      <c r="D203" s="414"/>
      <c r="E203" s="414"/>
      <c r="F203" s="414"/>
      <c r="G203" s="364"/>
      <c r="H203" s="123" t="str">
        <f>_xlfn.CONCAT(_xlfn.XLOOKUP("[S05_DefaultValues][1][FuelMaterialType]",Submission!$O:$O,Submission!$H:$N,""))</f>
        <v/>
      </c>
      <c r="I203" s="106" t="str">
        <f>_xlfn.CONCAT(_xlfn.XLOOKUP("[S05_DefaultValues][1][InstallationNumber]",Submission!$O:$O,Submission!$H:$N,""))</f>
        <v/>
      </c>
    </row>
    <row r="204" spans="1:9" ht="15.9" customHeight="1" x14ac:dyDescent="0.3">
      <c r="A204" s="13"/>
      <c r="B204" s="34"/>
      <c r="C204" s="274" t="str">
        <f>_xlfn.CONCAT(_xlfn.XLOOKUP("[S05_DefaultValues][2][InstallationCategory]",Submission!$O:$O,Submission!$H:$N,""))</f>
        <v/>
      </c>
      <c r="D204" s="414"/>
      <c r="E204" s="414"/>
      <c r="F204" s="414"/>
      <c r="G204" s="364"/>
      <c r="H204" s="123" t="str">
        <f>_xlfn.CONCAT(_xlfn.XLOOKUP("[S05_DefaultValues][2][FuelMaterialType]",Submission!$O:$O,Submission!$H:$N,""))</f>
        <v/>
      </c>
      <c r="I204" s="106" t="str">
        <f>_xlfn.CONCAT(_xlfn.XLOOKUP("[S05_DefaultValues][2][InstallationNumber]",Submission!$O:$O,Submission!$H:$N,""))</f>
        <v/>
      </c>
    </row>
    <row r="205" spans="1:9" ht="15.9" customHeight="1" x14ac:dyDescent="0.3">
      <c r="A205" s="13"/>
      <c r="B205" s="34"/>
      <c r="C205" s="274" t="str">
        <f>_xlfn.CONCAT(_xlfn.XLOOKUP("[S05_DefaultValues][3][InstallationCategory]",Submission!$O:$O,Submission!$H:$N,""))</f>
        <v/>
      </c>
      <c r="D205" s="414"/>
      <c r="E205" s="414"/>
      <c r="F205" s="414"/>
      <c r="G205" s="364"/>
      <c r="H205" s="123" t="str">
        <f>_xlfn.CONCAT(_xlfn.XLOOKUP("[S05_DefaultValues][3][FuelMaterialType]",Submission!$O:$O,Submission!$H:$N,""))</f>
        <v/>
      </c>
      <c r="I205" s="106" t="str">
        <f>_xlfn.CONCAT(_xlfn.XLOOKUP("[S05_DefaultValues][3][InstallationNumber]",Submission!$O:$O,Submission!$H:$N,""))</f>
        <v/>
      </c>
    </row>
    <row r="206" spans="1:9" ht="15.9" customHeight="1" x14ac:dyDescent="0.3">
      <c r="A206" s="13"/>
      <c r="B206" s="34"/>
      <c r="C206" s="274" t="str">
        <f>_xlfn.CONCAT(_xlfn.XLOOKUP("[S05_DefaultValues][4][InstallationCategory]",Submission!$O:$O,Submission!$H:$N,""))</f>
        <v/>
      </c>
      <c r="D206" s="414"/>
      <c r="E206" s="414"/>
      <c r="F206" s="414"/>
      <c r="G206" s="364"/>
      <c r="H206" s="123" t="str">
        <f>_xlfn.CONCAT(_xlfn.XLOOKUP("[S05_DefaultValues][4][FuelMaterialType]",Submission!$O:$O,Submission!$H:$N,""))</f>
        <v/>
      </c>
      <c r="I206" s="106" t="str">
        <f>_xlfn.CONCAT(_xlfn.XLOOKUP("[S05_DefaultValues][4][InstallationNumber]",Submission!$O:$O,Submission!$H:$N,""))</f>
        <v/>
      </c>
    </row>
    <row r="207" spans="1:9" ht="15.9" customHeight="1" x14ac:dyDescent="0.3">
      <c r="A207" s="13"/>
      <c r="B207" s="34"/>
      <c r="C207" s="274" t="str">
        <f>_xlfn.CONCAT(_xlfn.XLOOKUP("[S05_DefaultValues][5][InstallationCategory]",Submission!$O:$O,Submission!$H:$N,""))</f>
        <v/>
      </c>
      <c r="D207" s="414"/>
      <c r="E207" s="414"/>
      <c r="F207" s="414"/>
      <c r="G207" s="364"/>
      <c r="H207" s="123" t="str">
        <f>_xlfn.CONCAT(_xlfn.XLOOKUP("[S05_DefaultValues][5][FuelMaterialType]",Submission!$O:$O,Submission!$H:$N,""))</f>
        <v/>
      </c>
      <c r="I207" s="106" t="str">
        <f>_xlfn.CONCAT(_xlfn.XLOOKUP("[S05_DefaultValues][5][InstallationNumber]",Submission!$O:$O,Submission!$H:$N,""))</f>
        <v/>
      </c>
    </row>
    <row r="208" spans="1:9" ht="15.9" customHeight="1" x14ac:dyDescent="0.3">
      <c r="A208" s="13"/>
      <c r="B208" s="34"/>
      <c r="C208" s="274" t="str">
        <f>_xlfn.CONCAT(_xlfn.XLOOKUP("[S05_DefaultValues][6][InstallationCategory]",Submission!$O:$O,Submission!$H:$N,""))</f>
        <v/>
      </c>
      <c r="D208" s="414"/>
      <c r="E208" s="414"/>
      <c r="F208" s="414"/>
      <c r="G208" s="364"/>
      <c r="H208" s="123" t="str">
        <f>_xlfn.CONCAT(_xlfn.XLOOKUP("[S05_DefaultValues][6][FuelMaterialType]",Submission!$O:$O,Submission!$H:$N,""))</f>
        <v/>
      </c>
      <c r="I208" s="106" t="str">
        <f>_xlfn.CONCAT(_xlfn.XLOOKUP("[S05_DefaultValues][6][InstallationNumber]",Submission!$O:$O,Submission!$H:$N,""))</f>
        <v/>
      </c>
    </row>
    <row r="209" spans="1:9" ht="15.9" customHeight="1" x14ac:dyDescent="0.3">
      <c r="A209" s="13"/>
      <c r="B209" s="34"/>
      <c r="C209" s="274" t="str">
        <f>_xlfn.CONCAT(_xlfn.XLOOKUP("[S05_DefaultValues][7][InstallationCategory]",Submission!$O:$O,Submission!$H:$N,""))</f>
        <v/>
      </c>
      <c r="D209" s="414"/>
      <c r="E209" s="414"/>
      <c r="F209" s="414"/>
      <c r="G209" s="364"/>
      <c r="H209" s="123" t="str">
        <f>_xlfn.CONCAT(_xlfn.XLOOKUP("[S05_DefaultValues][7][FuelMaterialType]",Submission!$O:$O,Submission!$H:$N,""))</f>
        <v/>
      </c>
      <c r="I209" s="106" t="str">
        <f>_xlfn.CONCAT(_xlfn.XLOOKUP("[S05_DefaultValues][7][InstallationNumber]",Submission!$O:$O,Submission!$H:$N,""))</f>
        <v/>
      </c>
    </row>
    <row r="210" spans="1:9" ht="15.9" customHeight="1" x14ac:dyDescent="0.3">
      <c r="A210" s="13"/>
      <c r="B210" s="34"/>
      <c r="C210" s="274" t="str">
        <f>_xlfn.CONCAT(_xlfn.XLOOKUP("[S05_DefaultValues][8][InstallationCategory]",Submission!$O:$O,Submission!$H:$N,""))</f>
        <v/>
      </c>
      <c r="D210" s="414"/>
      <c r="E210" s="414"/>
      <c r="F210" s="414"/>
      <c r="G210" s="364"/>
      <c r="H210" s="123" t="str">
        <f>_xlfn.CONCAT(_xlfn.XLOOKUP("[S05_DefaultValues][8][FuelMaterialType]",Submission!$O:$O,Submission!$H:$N,""))</f>
        <v/>
      </c>
      <c r="I210" s="106" t="str">
        <f>_xlfn.CONCAT(_xlfn.XLOOKUP("[S05_DefaultValues][8][InstallationNumber]",Submission!$O:$O,Submission!$H:$N,""))</f>
        <v/>
      </c>
    </row>
    <row r="211" spans="1:9" ht="15.9" customHeight="1" x14ac:dyDescent="0.3">
      <c r="A211" s="13"/>
      <c r="B211" s="34"/>
      <c r="C211" s="274" t="str">
        <f>_xlfn.CONCAT(_xlfn.XLOOKUP("[S05_DefaultValues][9][InstallationCategory]",Submission!$O:$O,Submission!$H:$N,""))</f>
        <v/>
      </c>
      <c r="D211" s="414"/>
      <c r="E211" s="414"/>
      <c r="F211" s="414"/>
      <c r="G211" s="364"/>
      <c r="H211" s="123" t="str">
        <f>_xlfn.CONCAT(_xlfn.XLOOKUP("[S05_DefaultValues][9][FuelMaterialType]",Submission!$O:$O,Submission!$H:$N,""))</f>
        <v/>
      </c>
      <c r="I211" s="106" t="str">
        <f>_xlfn.CONCAT(_xlfn.XLOOKUP("[S05_DefaultValues][9][InstallationNumber]",Submission!$O:$O,Submission!$H:$N,""))</f>
        <v/>
      </c>
    </row>
    <row r="212" spans="1:9" ht="15.9" customHeight="1" x14ac:dyDescent="0.3">
      <c r="A212" s="13"/>
      <c r="B212" s="34"/>
      <c r="C212" s="274" t="str">
        <f>_xlfn.CONCAT(_xlfn.XLOOKUP("[S05_DefaultValues][10][InstallationCategory]",Submission!$O:$O,Submission!$H:$N,""))</f>
        <v/>
      </c>
      <c r="D212" s="414"/>
      <c r="E212" s="414"/>
      <c r="F212" s="414"/>
      <c r="G212" s="364"/>
      <c r="H212" s="123" t="str">
        <f>_xlfn.CONCAT(_xlfn.XLOOKUP("[S05_DefaultValues][10][FuelMaterialType]",Submission!$O:$O,Submission!$H:$N,""))</f>
        <v/>
      </c>
      <c r="I212" s="106" t="str">
        <f>_xlfn.CONCAT(_xlfn.XLOOKUP("[S05_DefaultValues][10][InstallationNumber]",Submission!$O:$O,Submission!$H:$N,""))</f>
        <v/>
      </c>
    </row>
    <row r="213" spans="1:9" ht="15.9" customHeight="1" x14ac:dyDescent="0.3">
      <c r="A213" s="13"/>
      <c r="B213" s="34"/>
      <c r="C213" s="274" t="str">
        <f>_xlfn.CONCAT(_xlfn.XLOOKUP("[S05_DefaultValues][11][InstallationCategory]",Submission!$O:$O,Submission!$H:$N,""))</f>
        <v/>
      </c>
      <c r="D213" s="414"/>
      <c r="E213" s="414"/>
      <c r="F213" s="414"/>
      <c r="G213" s="364"/>
      <c r="H213" s="123" t="str">
        <f>_xlfn.CONCAT(_xlfn.XLOOKUP("[S05_DefaultValues][11][FuelMaterialType]",Submission!$O:$O,Submission!$H:$N,""))</f>
        <v/>
      </c>
      <c r="I213" s="106" t="str">
        <f>_xlfn.CONCAT(_xlfn.XLOOKUP("[S05_DefaultValues][11][InstallationNumber]",Submission!$O:$O,Submission!$H:$N,""))</f>
        <v/>
      </c>
    </row>
    <row r="214" spans="1:9" ht="15.9" customHeight="1" x14ac:dyDescent="0.3">
      <c r="A214" s="13"/>
      <c r="B214" s="34"/>
      <c r="C214" s="274" t="str">
        <f>_xlfn.CONCAT(_xlfn.XLOOKUP("[S05_DefaultValues][12][InstallationCategory]",Submission!$O:$O,Submission!$H:$N,""))</f>
        <v/>
      </c>
      <c r="D214" s="414"/>
      <c r="E214" s="414"/>
      <c r="F214" s="414"/>
      <c r="G214" s="364"/>
      <c r="H214" s="123" t="str">
        <f>_xlfn.CONCAT(_xlfn.XLOOKUP("[S05_DefaultValues][12][FuelMaterialType]",Submission!$O:$O,Submission!$H:$N,""))</f>
        <v/>
      </c>
      <c r="I214" s="106" t="str">
        <f>_xlfn.CONCAT(_xlfn.XLOOKUP("[S05_DefaultValues][12][InstallationNumber]",Submission!$O:$O,Submission!$H:$N,""))</f>
        <v/>
      </c>
    </row>
    <row r="215" spans="1:9" ht="15.9" customHeight="1" x14ac:dyDescent="0.3">
      <c r="A215" s="13"/>
      <c r="B215" s="34"/>
      <c r="C215" s="274" t="str">
        <f>_xlfn.CONCAT(_xlfn.XLOOKUP("[S05_DefaultValues][13][InstallationCategory]",Submission!$O:$O,Submission!$H:$N,""))</f>
        <v/>
      </c>
      <c r="D215" s="414"/>
      <c r="E215" s="414"/>
      <c r="F215" s="414"/>
      <c r="G215" s="364"/>
      <c r="H215" s="123" t="str">
        <f>_xlfn.CONCAT(_xlfn.XLOOKUP("[S05_DefaultValues][13][FuelMaterialType]",Submission!$O:$O,Submission!$H:$N,""))</f>
        <v/>
      </c>
      <c r="I215" s="106" t="str">
        <f>_xlfn.CONCAT(_xlfn.XLOOKUP("[S05_DefaultValues][13][InstallationNumber]",Submission!$O:$O,Submission!$H:$N,""))</f>
        <v/>
      </c>
    </row>
    <row r="216" spans="1:9" ht="15.9" customHeight="1" x14ac:dyDescent="0.3">
      <c r="A216" s="13"/>
      <c r="B216" s="34"/>
      <c r="C216" s="274" t="str">
        <f>_xlfn.CONCAT(_xlfn.XLOOKUP("[S05_DefaultValues][14][InstallationCategory]",Submission!$O:$O,Submission!$H:$N,""))</f>
        <v/>
      </c>
      <c r="D216" s="414"/>
      <c r="E216" s="414"/>
      <c r="F216" s="414"/>
      <c r="G216" s="364"/>
      <c r="H216" s="123" t="str">
        <f>_xlfn.CONCAT(_xlfn.XLOOKUP("[S05_DefaultValues][14][FuelMaterialType]",Submission!$O:$O,Submission!$H:$N,""))</f>
        <v/>
      </c>
      <c r="I216" s="106" t="str">
        <f>_xlfn.CONCAT(_xlfn.XLOOKUP("[S05_DefaultValues][14][InstallationNumber]",Submission!$O:$O,Submission!$H:$N,""))</f>
        <v/>
      </c>
    </row>
    <row r="217" spans="1:9" ht="15.9" customHeight="1" x14ac:dyDescent="0.3">
      <c r="A217" s="13"/>
      <c r="B217" s="34"/>
      <c r="C217" s="274" t="str">
        <f>_xlfn.CONCAT(_xlfn.XLOOKUP("[S05_DefaultValues][15][InstallationCategory]",Submission!$O:$O,Submission!$H:$N,""))</f>
        <v/>
      </c>
      <c r="D217" s="414"/>
      <c r="E217" s="414"/>
      <c r="F217" s="414"/>
      <c r="G217" s="364"/>
      <c r="H217" s="123" t="str">
        <f>_xlfn.CONCAT(_xlfn.XLOOKUP("[S05_DefaultValues][15][FuelMaterialType]",Submission!$O:$O,Submission!$H:$N,""))</f>
        <v/>
      </c>
      <c r="I217" s="106" t="str">
        <f>_xlfn.CONCAT(_xlfn.XLOOKUP("[S05_DefaultValues][15][InstallationNumber]",Submission!$O:$O,Submission!$H:$N,""))</f>
        <v/>
      </c>
    </row>
    <row r="218" spans="1:9" ht="15.9" customHeight="1" x14ac:dyDescent="0.3">
      <c r="A218" s="13"/>
      <c r="B218" s="34"/>
      <c r="C218" s="274" t="str">
        <f>_xlfn.CONCAT(_xlfn.XLOOKUP("[S05_DefaultValues][16][InstallationCategory]",Submission!$O:$O,Submission!$H:$N,""))</f>
        <v/>
      </c>
      <c r="D218" s="414"/>
      <c r="E218" s="414"/>
      <c r="F218" s="414"/>
      <c r="G218" s="364"/>
      <c r="H218" s="123" t="str">
        <f>_xlfn.CONCAT(_xlfn.XLOOKUP("[S05_DefaultValues][16][FuelMaterialType]",Submission!$O:$O,Submission!$H:$N,""))</f>
        <v/>
      </c>
      <c r="I218" s="106" t="str">
        <f>_xlfn.CONCAT(_xlfn.XLOOKUP("[S05_DefaultValues][16][InstallationNumber]",Submission!$O:$O,Submission!$H:$N,""))</f>
        <v/>
      </c>
    </row>
    <row r="219" spans="1:9" ht="15.9" customHeight="1" x14ac:dyDescent="0.3">
      <c r="A219" s="13"/>
      <c r="B219" s="34"/>
      <c r="C219" s="274" t="str">
        <f>_xlfn.CONCAT(_xlfn.XLOOKUP("[S05_DefaultValues][17][InstallationCategory]",Submission!$O:$O,Submission!$H:$N,""))</f>
        <v/>
      </c>
      <c r="D219" s="414"/>
      <c r="E219" s="414"/>
      <c r="F219" s="414"/>
      <c r="G219" s="364"/>
      <c r="H219" s="123" t="str">
        <f>_xlfn.CONCAT(_xlfn.XLOOKUP("[S05_DefaultValues][17][FuelMaterialType]",Submission!$O:$O,Submission!$H:$N,""))</f>
        <v/>
      </c>
      <c r="I219" s="106" t="str">
        <f>_xlfn.CONCAT(_xlfn.XLOOKUP("[S05_DefaultValues][17][InstallationNumber]",Submission!$O:$O,Submission!$H:$N,""))</f>
        <v/>
      </c>
    </row>
    <row r="220" spans="1:9" ht="15.9" customHeight="1" x14ac:dyDescent="0.3">
      <c r="A220" s="13"/>
      <c r="B220" s="34"/>
      <c r="C220" s="274" t="str">
        <f>_xlfn.CONCAT(_xlfn.XLOOKUP("[S05_DefaultValues][18][InstallationCategory]",Submission!$O:$O,Submission!$H:$N,""))</f>
        <v/>
      </c>
      <c r="D220" s="414"/>
      <c r="E220" s="414"/>
      <c r="F220" s="414"/>
      <c r="G220" s="364"/>
      <c r="H220" s="123" t="str">
        <f>_xlfn.CONCAT(_xlfn.XLOOKUP("[S05_DefaultValues][18][FuelMaterialType]",Submission!$O:$O,Submission!$H:$N,""))</f>
        <v/>
      </c>
      <c r="I220" s="106" t="str">
        <f>_xlfn.CONCAT(_xlfn.XLOOKUP("[S05_DefaultValues][18][InstallationNumber]",Submission!$O:$O,Submission!$H:$N,""))</f>
        <v/>
      </c>
    </row>
    <row r="221" spans="1:9" ht="15.9" customHeight="1" x14ac:dyDescent="0.3">
      <c r="A221" s="13"/>
      <c r="B221" s="34"/>
      <c r="C221" s="274" t="str">
        <f>_xlfn.CONCAT(_xlfn.XLOOKUP("[S05_DefaultValues][19][InstallationCategory]",Submission!$O:$O,Submission!$H:$N,""))</f>
        <v/>
      </c>
      <c r="D221" s="414"/>
      <c r="E221" s="414"/>
      <c r="F221" s="414"/>
      <c r="G221" s="364"/>
      <c r="H221" s="123" t="str">
        <f>_xlfn.CONCAT(_xlfn.XLOOKUP("[S05_DefaultValues][19][FuelMaterialType]",Submission!$O:$O,Submission!$H:$N,""))</f>
        <v/>
      </c>
      <c r="I221" s="106" t="str">
        <f>_xlfn.CONCAT(_xlfn.XLOOKUP("[S05_DefaultValues][19][InstallationNumber]",Submission!$O:$O,Submission!$H:$N,""))</f>
        <v/>
      </c>
    </row>
    <row r="222" spans="1:9" ht="15.9" customHeight="1" x14ac:dyDescent="0.3">
      <c r="A222" s="13"/>
      <c r="B222" s="34"/>
      <c r="C222" s="274" t="str">
        <f>_xlfn.CONCAT(_xlfn.XLOOKUP("[S05_DefaultValues][20][InstallationCategory]",Submission!$O:$O,Submission!$H:$N,""))</f>
        <v/>
      </c>
      <c r="D222" s="414"/>
      <c r="E222" s="414"/>
      <c r="F222" s="414"/>
      <c r="G222" s="364"/>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74" t="str">
        <f>_xlfn.CONCAT(_xlfn.XLOOKUP("[S05_DefaultValues][21][InstallationCategory]",Submission!$O:$O,Submission!$H:$N,""))</f>
        <v/>
      </c>
      <c r="D223" s="414"/>
      <c r="E223" s="414"/>
      <c r="F223" s="414"/>
      <c r="G223" s="364"/>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74" t="str">
        <f>_xlfn.CONCAT(_xlfn.XLOOKUP("[S05_DefaultValues][22][InstallationCategory]",Submission!$O:$O,Submission!$H:$N,""))</f>
        <v/>
      </c>
      <c r="D224" s="414"/>
      <c r="E224" s="414"/>
      <c r="F224" s="414"/>
      <c r="G224" s="364"/>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74" t="str">
        <f>_xlfn.CONCAT(_xlfn.XLOOKUP("[S05_DefaultValues][23][InstallationCategory]",Submission!$O:$O,Submission!$H:$N,""))</f>
        <v/>
      </c>
      <c r="D225" s="414"/>
      <c r="E225" s="414"/>
      <c r="F225" s="414"/>
      <c r="G225" s="364"/>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74" t="str">
        <f>_xlfn.CONCAT(_xlfn.XLOOKUP("[S05_DefaultValues][24][InstallationCategory]",Submission!$O:$O,Submission!$H:$N,""))</f>
        <v/>
      </c>
      <c r="D226" s="414"/>
      <c r="E226" s="414"/>
      <c r="F226" s="414"/>
      <c r="G226" s="364"/>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74" t="str">
        <f>_xlfn.CONCAT(_xlfn.XLOOKUP("[S05_DefaultValues][25][InstallationCategory]",Submission!$O:$O,Submission!$H:$N,""))</f>
        <v/>
      </c>
      <c r="D227" s="414"/>
      <c r="E227" s="414"/>
      <c r="F227" s="414"/>
      <c r="G227" s="364"/>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74" t="str">
        <f>_xlfn.CONCAT(_xlfn.XLOOKUP("[S05_DefaultValues][26][InstallationCategory]",Submission!$O:$O,Submission!$H:$N,""))</f>
        <v/>
      </c>
      <c r="D228" s="414"/>
      <c r="E228" s="414"/>
      <c r="F228" s="414"/>
      <c r="G228" s="364"/>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74" t="str">
        <f>_xlfn.CONCAT(_xlfn.XLOOKUP("[S05_DefaultValues][27][InstallationCategory]",Submission!$O:$O,Submission!$H:$N,""))</f>
        <v/>
      </c>
      <c r="D229" s="414"/>
      <c r="E229" s="414"/>
      <c r="F229" s="414"/>
      <c r="G229" s="364"/>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74" t="str">
        <f>_xlfn.CONCAT(_xlfn.XLOOKUP("[S05_DefaultValues][28][InstallationCategory]",Submission!$O:$O,Submission!$H:$N,""))</f>
        <v/>
      </c>
      <c r="D230" s="414"/>
      <c r="E230" s="414"/>
      <c r="F230" s="414"/>
      <c r="G230" s="364"/>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74" t="str">
        <f>_xlfn.CONCAT(_xlfn.XLOOKUP("[S05_DefaultValues][29][InstallationCategory]",Submission!$O:$O,Submission!$H:$N,""))</f>
        <v/>
      </c>
      <c r="D231" s="414"/>
      <c r="E231" s="414"/>
      <c r="F231" s="414"/>
      <c r="G231" s="364"/>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74" t="str">
        <f>_xlfn.CONCAT(_xlfn.XLOOKUP("[S05_DefaultValues][30][InstallationCategory]",Submission!$O:$O,Submission!$H:$N,""))</f>
        <v/>
      </c>
      <c r="D232" s="414"/>
      <c r="E232" s="414"/>
      <c r="F232" s="414"/>
      <c r="G232" s="364"/>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74" t="str">
        <f>_xlfn.CONCAT(_xlfn.XLOOKUP("[S05_DefaultValues][31][InstallationCategory]",Submission!$O:$O,Submission!$H:$N,""))</f>
        <v/>
      </c>
      <c r="D233" s="414"/>
      <c r="E233" s="414"/>
      <c r="F233" s="414"/>
      <c r="G233" s="364"/>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74" t="str">
        <f>_xlfn.CONCAT(_xlfn.XLOOKUP("[S05_DefaultValues][32][InstallationCategory]",Submission!$O:$O,Submission!$H:$N,""))</f>
        <v/>
      </c>
      <c r="D234" s="414"/>
      <c r="E234" s="414"/>
      <c r="F234" s="414"/>
      <c r="G234" s="364"/>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74" t="str">
        <f>_xlfn.CONCAT(_xlfn.XLOOKUP("[S05_DefaultValues][33][InstallationCategory]",Submission!$O:$O,Submission!$H:$N,""))</f>
        <v/>
      </c>
      <c r="D235" s="414"/>
      <c r="E235" s="414"/>
      <c r="F235" s="414"/>
      <c r="G235" s="364"/>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74" t="str">
        <f>_xlfn.CONCAT(_xlfn.XLOOKUP("[S05_DefaultValues][34][InstallationCategory]",Submission!$O:$O,Submission!$H:$N,""))</f>
        <v/>
      </c>
      <c r="D236" s="414"/>
      <c r="E236" s="414"/>
      <c r="F236" s="414"/>
      <c r="G236" s="364"/>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74" t="str">
        <f>_xlfn.CONCAT(_xlfn.XLOOKUP("[S05_DefaultValues][35][InstallationCategory]",Submission!$O:$O,Submission!$H:$N,""))</f>
        <v/>
      </c>
      <c r="D237" s="414"/>
      <c r="E237" s="414"/>
      <c r="F237" s="414"/>
      <c r="G237" s="364"/>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74" t="str">
        <f>_xlfn.CONCAT(_xlfn.XLOOKUP("[S05_DefaultValues][36][InstallationCategory]",Submission!$O:$O,Submission!$H:$N,""))</f>
        <v/>
      </c>
      <c r="D238" s="414"/>
      <c r="E238" s="414"/>
      <c r="F238" s="414"/>
      <c r="G238" s="364"/>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74" t="str">
        <f>_xlfn.CONCAT(_xlfn.XLOOKUP("[S05_DefaultValues][37][InstallationCategory]",Submission!$O:$O,Submission!$H:$N,""))</f>
        <v/>
      </c>
      <c r="D239" s="414"/>
      <c r="E239" s="414"/>
      <c r="F239" s="414"/>
      <c r="G239" s="364"/>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74" t="str">
        <f>_xlfn.CONCAT(_xlfn.XLOOKUP("[S05_DefaultValues][38][InstallationCategory]",Submission!$O:$O,Submission!$H:$N,""))</f>
        <v/>
      </c>
      <c r="D240" s="414"/>
      <c r="E240" s="414"/>
      <c r="F240" s="414"/>
      <c r="G240" s="364"/>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74" t="str">
        <f>_xlfn.CONCAT(_xlfn.XLOOKUP("[S05_DefaultValues][39][InstallationCategory]",Submission!$O:$O,Submission!$H:$N,""))</f>
        <v/>
      </c>
      <c r="D241" s="414"/>
      <c r="E241" s="414"/>
      <c r="F241" s="414"/>
      <c r="G241" s="364"/>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74" t="str">
        <f>_xlfn.CONCAT(_xlfn.XLOOKUP("[S05_DefaultValues][40][InstallationCategory]",Submission!$O:$O,Submission!$H:$N,""))</f>
        <v/>
      </c>
      <c r="D242" s="414"/>
      <c r="E242" s="414"/>
      <c r="F242" s="414"/>
      <c r="G242" s="364"/>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74" t="str">
        <f>_xlfn.CONCAT(_xlfn.XLOOKUP("[S05_DefaultValues][41][InstallationCategory]",Submission!$O:$O,Submission!$H:$N,""))</f>
        <v/>
      </c>
      <c r="D243" s="414"/>
      <c r="E243" s="414"/>
      <c r="F243" s="414"/>
      <c r="G243" s="364"/>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74" t="str">
        <f>_xlfn.CONCAT(_xlfn.XLOOKUP("[S05_DefaultValues][42][InstallationCategory]",Submission!$O:$O,Submission!$H:$N,""))</f>
        <v/>
      </c>
      <c r="D244" s="414"/>
      <c r="E244" s="414"/>
      <c r="F244" s="414"/>
      <c r="G244" s="364"/>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74" t="str">
        <f>_xlfn.CONCAT(_xlfn.XLOOKUP("[S05_DefaultValues][43][InstallationCategory]",Submission!$O:$O,Submission!$H:$N,""))</f>
        <v/>
      </c>
      <c r="D245" s="414"/>
      <c r="E245" s="414"/>
      <c r="F245" s="414"/>
      <c r="G245" s="364"/>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74" t="str">
        <f>_xlfn.CONCAT(_xlfn.XLOOKUP("[S05_DefaultValues][44][InstallationCategory]",Submission!$O:$O,Submission!$H:$N,""))</f>
        <v/>
      </c>
      <c r="D246" s="414"/>
      <c r="E246" s="414"/>
      <c r="F246" s="414"/>
      <c r="G246" s="364"/>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74" t="str">
        <f>_xlfn.CONCAT(_xlfn.XLOOKUP("[S05_DefaultValues][45][InstallationCategory]",Submission!$O:$O,Submission!$H:$N,""))</f>
        <v/>
      </c>
      <c r="D247" s="414"/>
      <c r="E247" s="414"/>
      <c r="F247" s="414"/>
      <c r="G247" s="364"/>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74" t="str">
        <f>_xlfn.CONCAT(_xlfn.XLOOKUP("[S05_DefaultValues][46][InstallationCategory]",Submission!$O:$O,Submission!$H:$N,""))</f>
        <v/>
      </c>
      <c r="D248" s="414"/>
      <c r="E248" s="414"/>
      <c r="F248" s="414"/>
      <c r="G248" s="364"/>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74" t="str">
        <f>_xlfn.CONCAT(_xlfn.XLOOKUP("[S05_DefaultValues][47][InstallationCategory]",Submission!$O:$O,Submission!$H:$N,""))</f>
        <v/>
      </c>
      <c r="D249" s="414"/>
      <c r="E249" s="414"/>
      <c r="F249" s="414"/>
      <c r="G249" s="364"/>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74" t="str">
        <f>_xlfn.CONCAT(_xlfn.XLOOKUP("[S05_DefaultValues][48][InstallationCategory]",Submission!$O:$O,Submission!$H:$N,""))</f>
        <v/>
      </c>
      <c r="D250" s="414"/>
      <c r="E250" s="414"/>
      <c r="F250" s="414"/>
      <c r="G250" s="364"/>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74" t="str">
        <f>_xlfn.CONCAT(_xlfn.XLOOKUP("[S05_DefaultValues][49][InstallationCategory]",Submission!$O:$O,Submission!$H:$N,""))</f>
        <v/>
      </c>
      <c r="D251" s="414"/>
      <c r="E251" s="414"/>
      <c r="F251" s="414"/>
      <c r="G251" s="364"/>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74" t="str">
        <f>_xlfn.CONCAT(_xlfn.XLOOKUP("[S05_DefaultValues][50][InstallationCategory]",Submission!$O:$O,Submission!$H:$N,""))</f>
        <v/>
      </c>
      <c r="D252" s="414"/>
      <c r="E252" s="414"/>
      <c r="F252" s="414"/>
      <c r="G252" s="364"/>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74" t="str">
        <f>_xlfn.CONCAT(_xlfn.XLOOKUP("[S05_DefaultValues][51][InstallationCategory]",Submission!$O:$O,Submission!$H:$N,""))</f>
        <v/>
      </c>
      <c r="D253" s="414"/>
      <c r="E253" s="414"/>
      <c r="F253" s="414"/>
      <c r="G253" s="364"/>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74" t="str">
        <f>_xlfn.CONCAT(_xlfn.XLOOKUP("[S05_DefaultValues][52][InstallationCategory]",Submission!$O:$O,Submission!$H:$N,""))</f>
        <v/>
      </c>
      <c r="D254" s="414"/>
      <c r="E254" s="414"/>
      <c r="F254" s="414"/>
      <c r="G254" s="364"/>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74" t="str">
        <f>_xlfn.CONCAT(_xlfn.XLOOKUP("[S05_DefaultValues][53][InstallationCategory]",Submission!$O:$O,Submission!$H:$N,""))</f>
        <v/>
      </c>
      <c r="D255" s="414"/>
      <c r="E255" s="414"/>
      <c r="F255" s="414"/>
      <c r="G255" s="364"/>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74" t="str">
        <f>_xlfn.CONCAT(_xlfn.XLOOKUP("[S05_DefaultValues][54][InstallationCategory]",Submission!$O:$O,Submission!$H:$N,""))</f>
        <v/>
      </c>
      <c r="D256" s="414"/>
      <c r="E256" s="414"/>
      <c r="F256" s="414"/>
      <c r="G256" s="364"/>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74" t="str">
        <f>_xlfn.CONCAT(_xlfn.XLOOKUP("[S05_DefaultValues][55][InstallationCategory]",Submission!$O:$O,Submission!$H:$N,""))</f>
        <v/>
      </c>
      <c r="D257" s="414"/>
      <c r="E257" s="414"/>
      <c r="F257" s="414"/>
      <c r="G257" s="364"/>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74" t="str">
        <f>_xlfn.CONCAT(_xlfn.XLOOKUP("[S05_DefaultValues][56][InstallationCategory]",Submission!$O:$O,Submission!$H:$N,""))</f>
        <v/>
      </c>
      <c r="D258" s="414"/>
      <c r="E258" s="414"/>
      <c r="F258" s="414"/>
      <c r="G258" s="364"/>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74" t="str">
        <f>_xlfn.CONCAT(_xlfn.XLOOKUP("[S05_DefaultValues][57][InstallationCategory]",Submission!$O:$O,Submission!$H:$N,""))</f>
        <v/>
      </c>
      <c r="D259" s="414"/>
      <c r="E259" s="414"/>
      <c r="F259" s="414"/>
      <c r="G259" s="364"/>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74" t="str">
        <f>_xlfn.CONCAT(_xlfn.XLOOKUP("[S05_DefaultValues][58][InstallationCategory]",Submission!$O:$O,Submission!$H:$N,""))</f>
        <v/>
      </c>
      <c r="D260" s="414"/>
      <c r="E260" s="414"/>
      <c r="F260" s="414"/>
      <c r="G260" s="364"/>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74" t="str">
        <f>_xlfn.CONCAT(_xlfn.XLOOKUP("[S05_DefaultValues][59][InstallationCategory]",Submission!$O:$O,Submission!$H:$N,""))</f>
        <v/>
      </c>
      <c r="D261" s="414"/>
      <c r="E261" s="414"/>
      <c r="F261" s="414"/>
      <c r="G261" s="364"/>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74" t="str">
        <f>_xlfn.CONCAT(_xlfn.XLOOKUP("[S05_DefaultValues][60][InstallationCategory]",Submission!$O:$O,Submission!$H:$N,""))</f>
        <v/>
      </c>
      <c r="D262" s="414"/>
      <c r="E262" s="414"/>
      <c r="F262" s="414"/>
      <c r="G262" s="364"/>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74" t="str">
        <f>_xlfn.CONCAT(_xlfn.XLOOKUP("[S05_DefaultValues][61][InstallationCategory]",Submission!$O:$O,Submission!$H:$N,""))</f>
        <v/>
      </c>
      <c r="D263" s="414"/>
      <c r="E263" s="414"/>
      <c r="F263" s="414"/>
      <c r="G263" s="364"/>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74" t="str">
        <f>_xlfn.CONCAT(_xlfn.XLOOKUP("[S05_DefaultValues][62][InstallationCategory]",Submission!$O:$O,Submission!$H:$N,""))</f>
        <v/>
      </c>
      <c r="D264" s="414"/>
      <c r="E264" s="414"/>
      <c r="F264" s="414"/>
      <c r="G264" s="364"/>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74" t="str">
        <f>_xlfn.CONCAT(_xlfn.XLOOKUP("[S05_DefaultValues][63][InstallationCategory]",Submission!$O:$O,Submission!$H:$N,""))</f>
        <v/>
      </c>
      <c r="D265" s="414"/>
      <c r="E265" s="414"/>
      <c r="F265" s="414"/>
      <c r="G265" s="364"/>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74" t="str">
        <f>_xlfn.CONCAT(_xlfn.XLOOKUP("[S05_DefaultValues][64][InstallationCategory]",Submission!$O:$O,Submission!$H:$N,""))</f>
        <v/>
      </c>
      <c r="D266" s="414"/>
      <c r="E266" s="414"/>
      <c r="F266" s="414"/>
      <c r="G266" s="364"/>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74" t="str">
        <f>_xlfn.CONCAT(_xlfn.XLOOKUP("[S05_DefaultValues][65][InstallationCategory]",Submission!$O:$O,Submission!$H:$N,""))</f>
        <v/>
      </c>
      <c r="D267" s="414"/>
      <c r="E267" s="414"/>
      <c r="F267" s="414"/>
      <c r="G267" s="364"/>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74" t="str">
        <f>_xlfn.CONCAT(_xlfn.XLOOKUP("[S05_DefaultValues][66][InstallationCategory]",Submission!$O:$O,Submission!$H:$N,""))</f>
        <v/>
      </c>
      <c r="D268" s="414"/>
      <c r="E268" s="414"/>
      <c r="F268" s="414"/>
      <c r="G268" s="364"/>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74" t="str">
        <f>_xlfn.CONCAT(_xlfn.XLOOKUP("[S05_DefaultValues][67][InstallationCategory]",Submission!$O:$O,Submission!$H:$N,""))</f>
        <v/>
      </c>
      <c r="D269" s="414"/>
      <c r="E269" s="414"/>
      <c r="F269" s="414"/>
      <c r="G269" s="364"/>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74" t="str">
        <f>_xlfn.CONCAT(_xlfn.XLOOKUP("[S05_DefaultValues][68][InstallationCategory]",Submission!$O:$O,Submission!$H:$N,""))</f>
        <v/>
      </c>
      <c r="D270" s="414"/>
      <c r="E270" s="414"/>
      <c r="F270" s="414"/>
      <c r="G270" s="364"/>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74" t="str">
        <f>_xlfn.CONCAT(_xlfn.XLOOKUP("[S05_DefaultValues][69][InstallationCategory]",Submission!$O:$O,Submission!$H:$N,""))</f>
        <v/>
      </c>
      <c r="D271" s="414"/>
      <c r="E271" s="414"/>
      <c r="F271" s="414"/>
      <c r="G271" s="364"/>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74" t="str">
        <f>_xlfn.CONCAT(_xlfn.XLOOKUP("[S05_DefaultValues][70][InstallationCategory]",Submission!$O:$O,Submission!$H:$N,""))</f>
        <v/>
      </c>
      <c r="D272" s="414"/>
      <c r="E272" s="414"/>
      <c r="F272" s="414"/>
      <c r="G272" s="364"/>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74" t="str">
        <f>_xlfn.CONCAT(_xlfn.XLOOKUP("[S05_DefaultValues][71][InstallationCategory]",Submission!$O:$O,Submission!$H:$N,""))</f>
        <v/>
      </c>
      <c r="D273" s="414"/>
      <c r="E273" s="414"/>
      <c r="F273" s="414"/>
      <c r="G273" s="364"/>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74" t="str">
        <f>_xlfn.CONCAT(_xlfn.XLOOKUP("[S05_DefaultValues][72][InstallationCategory]",Submission!$O:$O,Submission!$H:$N,""))</f>
        <v/>
      </c>
      <c r="D274" s="414"/>
      <c r="E274" s="414"/>
      <c r="F274" s="414"/>
      <c r="G274" s="364"/>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74" t="str">
        <f>_xlfn.CONCAT(_xlfn.XLOOKUP("[S05_DefaultValues][73][InstallationCategory]",Submission!$O:$O,Submission!$H:$N,""))</f>
        <v/>
      </c>
      <c r="D275" s="414"/>
      <c r="E275" s="414"/>
      <c r="F275" s="414"/>
      <c r="G275" s="364"/>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74" t="str">
        <f>_xlfn.CONCAT(_xlfn.XLOOKUP("[S05_DefaultValues][74][InstallationCategory]",Submission!$O:$O,Submission!$H:$N,""))</f>
        <v/>
      </c>
      <c r="D276" s="414"/>
      <c r="E276" s="414"/>
      <c r="F276" s="414"/>
      <c r="G276" s="364"/>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74" t="str">
        <f>_xlfn.CONCAT(_xlfn.XLOOKUP("[S05_DefaultValues][75][InstallationCategory]",Submission!$O:$O,Submission!$H:$N,""))</f>
        <v/>
      </c>
      <c r="D277" s="414"/>
      <c r="E277" s="414"/>
      <c r="F277" s="414"/>
      <c r="G277" s="364"/>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74" t="str">
        <f>_xlfn.CONCAT(_xlfn.XLOOKUP("[S05_DefaultValues][76][InstallationCategory]",Submission!$O:$O,Submission!$H:$N,""))</f>
        <v/>
      </c>
      <c r="D278" s="414"/>
      <c r="E278" s="414"/>
      <c r="F278" s="414"/>
      <c r="G278" s="364"/>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74" t="str">
        <f>_xlfn.CONCAT(_xlfn.XLOOKUP("[S05_DefaultValues][77][InstallationCategory]",Submission!$O:$O,Submission!$H:$N,""))</f>
        <v/>
      </c>
      <c r="D279" s="414"/>
      <c r="E279" s="414"/>
      <c r="F279" s="414"/>
      <c r="G279" s="364"/>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74" t="str">
        <f>_xlfn.CONCAT(_xlfn.XLOOKUP("[S05_DefaultValues][78][InstallationCategory]",Submission!$O:$O,Submission!$H:$N,""))</f>
        <v/>
      </c>
      <c r="D280" s="414"/>
      <c r="E280" s="414"/>
      <c r="F280" s="414"/>
      <c r="G280" s="364"/>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74" t="str">
        <f>_xlfn.CONCAT(_xlfn.XLOOKUP("[S05_DefaultValues][79][InstallationCategory]",Submission!$O:$O,Submission!$H:$N,""))</f>
        <v/>
      </c>
      <c r="D281" s="414"/>
      <c r="E281" s="414"/>
      <c r="F281" s="414"/>
      <c r="G281" s="364"/>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74" t="str">
        <f>_xlfn.CONCAT(_xlfn.XLOOKUP("[S05_DefaultValues][80][InstallationCategory]",Submission!$O:$O,Submission!$H:$N,""))</f>
        <v/>
      </c>
      <c r="D282" s="414"/>
      <c r="E282" s="414"/>
      <c r="F282" s="414"/>
      <c r="G282" s="364"/>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74" t="str">
        <f>_xlfn.CONCAT(_xlfn.XLOOKUP("[S05_DefaultValues][81][InstallationCategory]",Submission!$O:$O,Submission!$H:$N,""))</f>
        <v/>
      </c>
      <c r="D283" s="414"/>
      <c r="E283" s="414"/>
      <c r="F283" s="414"/>
      <c r="G283" s="364"/>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74" t="str">
        <f>_xlfn.CONCAT(_xlfn.XLOOKUP("[S05_DefaultValues][82][InstallationCategory]",Submission!$O:$O,Submission!$H:$N,""))</f>
        <v/>
      </c>
      <c r="D284" s="414"/>
      <c r="E284" s="414"/>
      <c r="F284" s="414"/>
      <c r="G284" s="364"/>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74" t="str">
        <f>_xlfn.CONCAT(_xlfn.XLOOKUP("[S05_DefaultValues][83][InstallationCategory]",Submission!$O:$O,Submission!$H:$N,""))</f>
        <v/>
      </c>
      <c r="D285" s="414"/>
      <c r="E285" s="414"/>
      <c r="F285" s="414"/>
      <c r="G285" s="364"/>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74" t="str">
        <f>_xlfn.CONCAT(_xlfn.XLOOKUP("[S05_DefaultValues][84][InstallationCategory]",Submission!$O:$O,Submission!$H:$N,""))</f>
        <v/>
      </c>
      <c r="D286" s="414"/>
      <c r="E286" s="414"/>
      <c r="F286" s="414"/>
      <c r="G286" s="364"/>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74" t="str">
        <f>_xlfn.CONCAT(_xlfn.XLOOKUP("[S05_DefaultValues][85][InstallationCategory]",Submission!$O:$O,Submission!$H:$N,""))</f>
        <v/>
      </c>
      <c r="D287" s="414"/>
      <c r="E287" s="414"/>
      <c r="F287" s="414"/>
      <c r="G287" s="364"/>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74" t="str">
        <f>_xlfn.CONCAT(_xlfn.XLOOKUP("[S05_DefaultValues][86][InstallationCategory]",Submission!$O:$O,Submission!$H:$N,""))</f>
        <v/>
      </c>
      <c r="D288" s="414"/>
      <c r="E288" s="414"/>
      <c r="F288" s="414"/>
      <c r="G288" s="364"/>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74" t="str">
        <f>_xlfn.CONCAT(_xlfn.XLOOKUP("[S05_DefaultValues][87][InstallationCategory]",Submission!$O:$O,Submission!$H:$N,""))</f>
        <v/>
      </c>
      <c r="D289" s="414"/>
      <c r="E289" s="414"/>
      <c r="F289" s="414"/>
      <c r="G289" s="364"/>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74" t="str">
        <f>_xlfn.CONCAT(_xlfn.XLOOKUP("[S05_DefaultValues][88][InstallationCategory]",Submission!$O:$O,Submission!$H:$N,""))</f>
        <v/>
      </c>
      <c r="D290" s="414"/>
      <c r="E290" s="414"/>
      <c r="F290" s="414"/>
      <c r="G290" s="364"/>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74" t="str">
        <f>_xlfn.CONCAT(_xlfn.XLOOKUP("[S05_DefaultValues][89][InstallationCategory]",Submission!$O:$O,Submission!$H:$N,""))</f>
        <v/>
      </c>
      <c r="D291" s="414"/>
      <c r="E291" s="414"/>
      <c r="F291" s="414"/>
      <c r="G291" s="364"/>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74" t="str">
        <f>_xlfn.CONCAT(_xlfn.XLOOKUP("[S05_DefaultValues][90][InstallationCategory]",Submission!$O:$O,Submission!$H:$N,""))</f>
        <v/>
      </c>
      <c r="D292" s="414"/>
      <c r="E292" s="414"/>
      <c r="F292" s="414"/>
      <c r="G292" s="364"/>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74" t="str">
        <f>_xlfn.CONCAT(_xlfn.XLOOKUP("[S05_DefaultValues][91][InstallationCategory]",Submission!$O:$O,Submission!$H:$N,""))</f>
        <v/>
      </c>
      <c r="D293" s="414"/>
      <c r="E293" s="414"/>
      <c r="F293" s="414"/>
      <c r="G293" s="364"/>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74" t="str">
        <f>_xlfn.CONCAT(_xlfn.XLOOKUP("[S05_DefaultValues][92][InstallationCategory]",Submission!$O:$O,Submission!$H:$N,""))</f>
        <v/>
      </c>
      <c r="D294" s="414"/>
      <c r="E294" s="414"/>
      <c r="F294" s="414"/>
      <c r="G294" s="364"/>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74" t="str">
        <f>_xlfn.CONCAT(_xlfn.XLOOKUP("[S05_DefaultValues][93][InstallationCategory]",Submission!$O:$O,Submission!$H:$N,""))</f>
        <v/>
      </c>
      <c r="D295" s="414"/>
      <c r="E295" s="414"/>
      <c r="F295" s="414"/>
      <c r="G295" s="364"/>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74" t="str">
        <f>_xlfn.CONCAT(_xlfn.XLOOKUP("[S05_DefaultValues][94][InstallationCategory]",Submission!$O:$O,Submission!$H:$N,""))</f>
        <v/>
      </c>
      <c r="D296" s="414"/>
      <c r="E296" s="414"/>
      <c r="F296" s="414"/>
      <c r="G296" s="364"/>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74" t="str">
        <f>_xlfn.CONCAT(_xlfn.XLOOKUP("[S05_DefaultValues][95][InstallationCategory]",Submission!$O:$O,Submission!$H:$N,""))</f>
        <v/>
      </c>
      <c r="D297" s="414"/>
      <c r="E297" s="414"/>
      <c r="F297" s="414"/>
      <c r="G297" s="364"/>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74" t="str">
        <f>_xlfn.CONCAT(_xlfn.XLOOKUP("[S05_DefaultValues][96][InstallationCategory]",Submission!$O:$O,Submission!$H:$N,""))</f>
        <v/>
      </c>
      <c r="D298" s="414"/>
      <c r="E298" s="414"/>
      <c r="F298" s="414"/>
      <c r="G298" s="364"/>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74" t="str">
        <f>_xlfn.CONCAT(_xlfn.XLOOKUP("[S05_DefaultValues][97][InstallationCategory]",Submission!$O:$O,Submission!$H:$N,""))</f>
        <v/>
      </c>
      <c r="D299" s="414"/>
      <c r="E299" s="414"/>
      <c r="F299" s="414"/>
      <c r="G299" s="364"/>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74" t="str">
        <f>_xlfn.CONCAT(_xlfn.XLOOKUP("[S05_DefaultValues][98][InstallationCategory]",Submission!$O:$O,Submission!$H:$N,""))</f>
        <v/>
      </c>
      <c r="D300" s="414"/>
      <c r="E300" s="414"/>
      <c r="F300" s="414"/>
      <c r="G300" s="364"/>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74" t="str">
        <f>_xlfn.CONCAT(_xlfn.XLOOKUP("[S05_DefaultValues][99][InstallationCategory]",Submission!$O:$O,Submission!$H:$N,""))</f>
        <v/>
      </c>
      <c r="D301" s="414"/>
      <c r="E301" s="414"/>
      <c r="F301" s="414"/>
      <c r="G301" s="364"/>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74" t="str">
        <f>_xlfn.CONCAT(_xlfn.XLOOKUP("[S05_DefaultValues][100][InstallationCategory]",Submission!$O:$O,Submission!$H:$N,""))</f>
        <v/>
      </c>
      <c r="D302" s="414"/>
      <c r="E302" s="414"/>
      <c r="F302" s="414"/>
      <c r="G302" s="364"/>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74" t="str">
        <f>_xlfn.CONCAT(_xlfn.XLOOKUP("[S05_DefaultValues][101][InstallationCategory]",Submission!$O:$O,Submission!$H:$N,""))</f>
        <v/>
      </c>
      <c r="D303" s="414"/>
      <c r="E303" s="414"/>
      <c r="F303" s="414"/>
      <c r="G303" s="364"/>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74" t="str">
        <f>_xlfn.CONCAT(_xlfn.XLOOKUP("[S05_DefaultValues][102][InstallationCategory]",Submission!$O:$O,Submission!$H:$N,""))</f>
        <v/>
      </c>
      <c r="D304" s="414"/>
      <c r="E304" s="414"/>
      <c r="F304" s="414"/>
      <c r="G304" s="364"/>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74" t="str">
        <f>_xlfn.CONCAT(_xlfn.XLOOKUP("[S05_DefaultValues][103][InstallationCategory]",Submission!$O:$O,Submission!$H:$N,""))</f>
        <v/>
      </c>
      <c r="D305" s="414"/>
      <c r="E305" s="414"/>
      <c r="F305" s="414"/>
      <c r="G305" s="364"/>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74" t="str">
        <f>_xlfn.CONCAT(_xlfn.XLOOKUP("[S05_DefaultValues][104][InstallationCategory]",Submission!$O:$O,Submission!$H:$N,""))</f>
        <v/>
      </c>
      <c r="D306" s="414"/>
      <c r="E306" s="414"/>
      <c r="F306" s="414"/>
      <c r="G306" s="364"/>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74" t="str">
        <f>_xlfn.CONCAT(_xlfn.XLOOKUP("[S05_DefaultValues][105][InstallationCategory]",Submission!$O:$O,Submission!$H:$N,""))</f>
        <v/>
      </c>
      <c r="D307" s="414"/>
      <c r="E307" s="414"/>
      <c r="F307" s="414"/>
      <c r="G307" s="364"/>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74" t="str">
        <f>_xlfn.CONCAT(_xlfn.XLOOKUP("[S05_DefaultValues][106][InstallationCategory]",Submission!$O:$O,Submission!$H:$N,""))</f>
        <v/>
      </c>
      <c r="D308" s="414"/>
      <c r="E308" s="414"/>
      <c r="F308" s="414"/>
      <c r="G308" s="364"/>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74" t="str">
        <f>_xlfn.CONCAT(_xlfn.XLOOKUP("[S05_DefaultValues][107][InstallationCategory]",Submission!$O:$O,Submission!$H:$N,""))</f>
        <v/>
      </c>
      <c r="D309" s="414"/>
      <c r="E309" s="414"/>
      <c r="F309" s="414"/>
      <c r="G309" s="364"/>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74" t="str">
        <f>_xlfn.CONCAT(_xlfn.XLOOKUP("[S05_DefaultValues][108][InstallationCategory]",Submission!$O:$O,Submission!$H:$N,""))</f>
        <v/>
      </c>
      <c r="D310" s="414"/>
      <c r="E310" s="414"/>
      <c r="F310" s="414"/>
      <c r="G310" s="364"/>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74" t="str">
        <f>_xlfn.CONCAT(_xlfn.XLOOKUP("[S05_DefaultValues][109][InstallationCategory]",Submission!$O:$O,Submission!$H:$N,""))</f>
        <v/>
      </c>
      <c r="D311" s="414"/>
      <c r="E311" s="414"/>
      <c r="F311" s="414"/>
      <c r="G311" s="364"/>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74" t="str">
        <f>_xlfn.CONCAT(_xlfn.XLOOKUP("[S05_DefaultValues][110][InstallationCategory]",Submission!$O:$O,Submission!$H:$N,""))</f>
        <v/>
      </c>
      <c r="D312" s="414"/>
      <c r="E312" s="414"/>
      <c r="F312" s="414"/>
      <c r="G312" s="364"/>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74" t="str">
        <f>_xlfn.CONCAT(_xlfn.XLOOKUP("[S05_DefaultValues][111][InstallationCategory]",Submission!$O:$O,Submission!$H:$N,""))</f>
        <v/>
      </c>
      <c r="D313" s="414"/>
      <c r="E313" s="414"/>
      <c r="F313" s="414"/>
      <c r="G313" s="364"/>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74" t="str">
        <f>_xlfn.CONCAT(_xlfn.XLOOKUP("[S05_DefaultValues][112][InstallationCategory]",Submission!$O:$O,Submission!$H:$N,""))</f>
        <v/>
      </c>
      <c r="D314" s="414"/>
      <c r="E314" s="414"/>
      <c r="F314" s="414"/>
      <c r="G314" s="364"/>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74" t="str">
        <f>_xlfn.CONCAT(_xlfn.XLOOKUP("[S05_DefaultValues][113][InstallationCategory]",Submission!$O:$O,Submission!$H:$N,""))</f>
        <v/>
      </c>
      <c r="D315" s="414"/>
      <c r="E315" s="414"/>
      <c r="F315" s="414"/>
      <c r="G315" s="364"/>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74" t="str">
        <f>_xlfn.CONCAT(_xlfn.XLOOKUP("[S05_DefaultValues][114][InstallationCategory]",Submission!$O:$O,Submission!$H:$N,""))</f>
        <v/>
      </c>
      <c r="D316" s="414"/>
      <c r="E316" s="414"/>
      <c r="F316" s="414"/>
      <c r="G316" s="364"/>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74" t="str">
        <f>_xlfn.CONCAT(_xlfn.XLOOKUP("[S05_DefaultValues][115][InstallationCategory]",Submission!$O:$O,Submission!$H:$N,""))</f>
        <v/>
      </c>
      <c r="D317" s="414"/>
      <c r="E317" s="414"/>
      <c r="F317" s="414"/>
      <c r="G317" s="364"/>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74" t="str">
        <f>_xlfn.CONCAT(_xlfn.XLOOKUP("[S05_DefaultValues][116][InstallationCategory]",Submission!$O:$O,Submission!$H:$N,""))</f>
        <v/>
      </c>
      <c r="D318" s="414"/>
      <c r="E318" s="414"/>
      <c r="F318" s="414"/>
      <c r="G318" s="364"/>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74" t="str">
        <f>_xlfn.CONCAT(_xlfn.XLOOKUP("[S05_DefaultValues][117][InstallationCategory]",Submission!$O:$O,Submission!$H:$N,""))</f>
        <v/>
      </c>
      <c r="D319" s="414"/>
      <c r="E319" s="414"/>
      <c r="F319" s="414"/>
      <c r="G319" s="364"/>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74" t="str">
        <f>_xlfn.CONCAT(_xlfn.XLOOKUP("[S05_DefaultValues][118][InstallationCategory]",Submission!$O:$O,Submission!$H:$N,""))</f>
        <v/>
      </c>
      <c r="D320" s="414"/>
      <c r="E320" s="414"/>
      <c r="F320" s="414"/>
      <c r="G320" s="364"/>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74" t="str">
        <f>_xlfn.CONCAT(_xlfn.XLOOKUP("[S05_DefaultValues][119][InstallationCategory]",Submission!$O:$O,Submission!$H:$N,""))</f>
        <v/>
      </c>
      <c r="D321" s="414"/>
      <c r="E321" s="414"/>
      <c r="F321" s="414"/>
      <c r="G321" s="364"/>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74" t="str">
        <f>_xlfn.CONCAT(_xlfn.XLOOKUP("[S05_DefaultValues][120][InstallationCategory]",Submission!$O:$O,Submission!$H:$N,""))</f>
        <v/>
      </c>
      <c r="D322" s="414"/>
      <c r="E322" s="414"/>
      <c r="F322" s="414"/>
      <c r="G322" s="364"/>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74" t="str">
        <f>_xlfn.CONCAT(_xlfn.XLOOKUP("[S05_DefaultValues][121][InstallationCategory]",Submission!$O:$O,Submission!$H:$N,""))</f>
        <v/>
      </c>
      <c r="D323" s="414"/>
      <c r="E323" s="414"/>
      <c r="F323" s="414"/>
      <c r="G323" s="364"/>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74" t="str">
        <f>_xlfn.CONCAT(_xlfn.XLOOKUP("[S05_DefaultValues][122][InstallationCategory]",Submission!$O:$O,Submission!$H:$N,""))</f>
        <v/>
      </c>
      <c r="D324" s="414"/>
      <c r="E324" s="414"/>
      <c r="F324" s="414"/>
      <c r="G324" s="364"/>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74" t="str">
        <f>_xlfn.CONCAT(_xlfn.XLOOKUP("[S05_DefaultValues][123][InstallationCategory]",Submission!$O:$O,Submission!$H:$N,""))</f>
        <v/>
      </c>
      <c r="D325" s="414"/>
      <c r="E325" s="414"/>
      <c r="F325" s="414"/>
      <c r="G325" s="364"/>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74" t="str">
        <f>_xlfn.CONCAT(_xlfn.XLOOKUP("[S05_DefaultValues][124][InstallationCategory]",Submission!$O:$O,Submission!$H:$N,""))</f>
        <v/>
      </c>
      <c r="D326" s="414"/>
      <c r="E326" s="414"/>
      <c r="F326" s="414"/>
      <c r="G326" s="364"/>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74" t="str">
        <f>_xlfn.CONCAT(_xlfn.XLOOKUP("[S05_DefaultValues][125][InstallationCategory]",Submission!$O:$O,Submission!$H:$N,""))</f>
        <v/>
      </c>
      <c r="D327" s="414"/>
      <c r="E327" s="414"/>
      <c r="F327" s="414"/>
      <c r="G327" s="364"/>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74" t="str">
        <f>_xlfn.CONCAT(_xlfn.XLOOKUP("[S05_DefaultValues][126][InstallationCategory]",Submission!$O:$O,Submission!$H:$N,""))</f>
        <v/>
      </c>
      <c r="D328" s="414"/>
      <c r="E328" s="414"/>
      <c r="F328" s="414"/>
      <c r="G328" s="364"/>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74" t="str">
        <f>_xlfn.CONCAT(_xlfn.XLOOKUP("[S05_DefaultValues][127][InstallationCategory]",Submission!$O:$O,Submission!$H:$N,""))</f>
        <v/>
      </c>
      <c r="D329" s="414"/>
      <c r="E329" s="414"/>
      <c r="F329" s="414"/>
      <c r="G329" s="364"/>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74" t="str">
        <f>_xlfn.CONCAT(_xlfn.XLOOKUP("[S05_DefaultValues][128][InstallationCategory]",Submission!$O:$O,Submission!$H:$N,""))</f>
        <v/>
      </c>
      <c r="D330" s="414"/>
      <c r="E330" s="414"/>
      <c r="F330" s="414"/>
      <c r="G330" s="364"/>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74" t="str">
        <f>_xlfn.CONCAT(_xlfn.XLOOKUP("[S05_DefaultValues][129][InstallationCategory]",Submission!$O:$O,Submission!$H:$N,""))</f>
        <v/>
      </c>
      <c r="D331" s="414"/>
      <c r="E331" s="414"/>
      <c r="F331" s="414"/>
      <c r="G331" s="364"/>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74" t="str">
        <f>_xlfn.CONCAT(_xlfn.XLOOKUP("[S05_DefaultValues][130][InstallationCategory]",Submission!$O:$O,Submission!$H:$N,""))</f>
        <v/>
      </c>
      <c r="D332" s="414"/>
      <c r="E332" s="414"/>
      <c r="F332" s="414"/>
      <c r="G332" s="364"/>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74" t="str">
        <f>_xlfn.CONCAT(_xlfn.XLOOKUP("[S05_DefaultValues][131][InstallationCategory]",Submission!$O:$O,Submission!$H:$N,""))</f>
        <v/>
      </c>
      <c r="D333" s="414"/>
      <c r="E333" s="414"/>
      <c r="F333" s="414"/>
      <c r="G333" s="364"/>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74" t="str">
        <f>_xlfn.CONCAT(_xlfn.XLOOKUP("[S05_DefaultValues][132][InstallationCategory]",Submission!$O:$O,Submission!$H:$N,""))</f>
        <v/>
      </c>
      <c r="D334" s="414"/>
      <c r="E334" s="414"/>
      <c r="F334" s="414"/>
      <c r="G334" s="364"/>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74" t="str">
        <f>_xlfn.CONCAT(_xlfn.XLOOKUP("[S05_DefaultValues][133][InstallationCategory]",Submission!$O:$O,Submission!$H:$N,""))</f>
        <v/>
      </c>
      <c r="D335" s="414"/>
      <c r="E335" s="414"/>
      <c r="F335" s="414"/>
      <c r="G335" s="364"/>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74" t="str">
        <f>_xlfn.CONCAT(_xlfn.XLOOKUP("[S05_DefaultValues][134][InstallationCategory]",Submission!$O:$O,Submission!$H:$N,""))</f>
        <v/>
      </c>
      <c r="D336" s="414"/>
      <c r="E336" s="414"/>
      <c r="F336" s="414"/>
      <c r="G336" s="364"/>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74" t="str">
        <f>_xlfn.CONCAT(_xlfn.XLOOKUP("[S05_DefaultValues][135][InstallationCategory]",Submission!$O:$O,Submission!$H:$N,""))</f>
        <v/>
      </c>
      <c r="D337" s="414"/>
      <c r="E337" s="414"/>
      <c r="F337" s="414"/>
      <c r="G337" s="364"/>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74" t="str">
        <f>_xlfn.CONCAT(_xlfn.XLOOKUP("[S05_DefaultValues][136][InstallationCategory]",Submission!$O:$O,Submission!$H:$N,""))</f>
        <v/>
      </c>
      <c r="D338" s="414"/>
      <c r="E338" s="414"/>
      <c r="F338" s="414"/>
      <c r="G338" s="364"/>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74" t="str">
        <f>_xlfn.CONCAT(_xlfn.XLOOKUP("[S05_DefaultValues][137][InstallationCategory]",Submission!$O:$O,Submission!$H:$N,""))</f>
        <v/>
      </c>
      <c r="D339" s="414"/>
      <c r="E339" s="414"/>
      <c r="F339" s="414"/>
      <c r="G339" s="364"/>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74" t="str">
        <f>_xlfn.CONCAT(_xlfn.XLOOKUP("[S05_DefaultValues][138][InstallationCategory]",Submission!$O:$O,Submission!$H:$N,""))</f>
        <v/>
      </c>
      <c r="D340" s="414"/>
      <c r="E340" s="414"/>
      <c r="F340" s="414"/>
      <c r="G340" s="364"/>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74" t="str">
        <f>_xlfn.CONCAT(_xlfn.XLOOKUP("[S05_DefaultValues][139][InstallationCategory]",Submission!$O:$O,Submission!$H:$N,""))</f>
        <v/>
      </c>
      <c r="D341" s="414"/>
      <c r="E341" s="414"/>
      <c r="F341" s="414"/>
      <c r="G341" s="364"/>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74" t="str">
        <f>_xlfn.CONCAT(_xlfn.XLOOKUP("[S05_DefaultValues][140][InstallationCategory]",Submission!$O:$O,Submission!$H:$N,""))</f>
        <v/>
      </c>
      <c r="D342" s="414"/>
      <c r="E342" s="414"/>
      <c r="F342" s="414"/>
      <c r="G342" s="364"/>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74" t="str">
        <f>_xlfn.CONCAT(_xlfn.XLOOKUP("[S05_DefaultValues][141][InstallationCategory]",Submission!$O:$O,Submission!$H:$N,""))</f>
        <v/>
      </c>
      <c r="D343" s="414"/>
      <c r="E343" s="414"/>
      <c r="F343" s="414"/>
      <c r="G343" s="364"/>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74" t="str">
        <f>_xlfn.CONCAT(_xlfn.XLOOKUP("[S05_DefaultValues][142][InstallationCategory]",Submission!$O:$O,Submission!$H:$N,""))</f>
        <v/>
      </c>
      <c r="D344" s="414"/>
      <c r="E344" s="414"/>
      <c r="F344" s="414"/>
      <c r="G344" s="364"/>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74" t="str">
        <f>_xlfn.CONCAT(_xlfn.XLOOKUP("[S05_DefaultValues][143][InstallationCategory]",Submission!$O:$O,Submission!$H:$N,""))</f>
        <v/>
      </c>
      <c r="D345" s="414"/>
      <c r="E345" s="414"/>
      <c r="F345" s="414"/>
      <c r="G345" s="364"/>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74" t="str">
        <f>_xlfn.CONCAT(_xlfn.XLOOKUP("[S05_DefaultValues][144][InstallationCategory]",Submission!$O:$O,Submission!$H:$N,""))</f>
        <v/>
      </c>
      <c r="D346" s="414"/>
      <c r="E346" s="414"/>
      <c r="F346" s="414"/>
      <c r="G346" s="364"/>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74" t="str">
        <f>_xlfn.CONCAT(_xlfn.XLOOKUP("[S05_DefaultValues][145][InstallationCategory]",Submission!$O:$O,Submission!$H:$N,""))</f>
        <v/>
      </c>
      <c r="D347" s="414"/>
      <c r="E347" s="414"/>
      <c r="F347" s="414"/>
      <c r="G347" s="364"/>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74" t="str">
        <f>_xlfn.CONCAT(_xlfn.XLOOKUP("[S05_DefaultValues][146][InstallationCategory]",Submission!$O:$O,Submission!$H:$N,""))</f>
        <v/>
      </c>
      <c r="D348" s="414"/>
      <c r="E348" s="414"/>
      <c r="F348" s="414"/>
      <c r="G348" s="364"/>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74" t="str">
        <f>_xlfn.CONCAT(_xlfn.XLOOKUP("[S05_DefaultValues][147][InstallationCategory]",Submission!$O:$O,Submission!$H:$N,""))</f>
        <v/>
      </c>
      <c r="D349" s="414"/>
      <c r="E349" s="414"/>
      <c r="F349" s="414"/>
      <c r="G349" s="364"/>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74" t="str">
        <f>_xlfn.CONCAT(_xlfn.XLOOKUP("[S05_DefaultValues][148][InstallationCategory]",Submission!$O:$O,Submission!$H:$N,""))</f>
        <v/>
      </c>
      <c r="D350" s="414"/>
      <c r="E350" s="414"/>
      <c r="F350" s="414"/>
      <c r="G350" s="364"/>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74" t="str">
        <f>_xlfn.CONCAT(_xlfn.XLOOKUP("[S05_DefaultValues][149][InstallationCategory]",Submission!$O:$O,Submission!$H:$N,""))</f>
        <v/>
      </c>
      <c r="D351" s="414"/>
      <c r="E351" s="414"/>
      <c r="F351" s="414"/>
      <c r="G351" s="364"/>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74" t="str">
        <f>_xlfn.CONCAT(_xlfn.XLOOKUP("[S05_DefaultValues][150][InstallationCategory]",Submission!$O:$O,Submission!$H:$N,""))</f>
        <v/>
      </c>
      <c r="D352" s="414"/>
      <c r="E352" s="414"/>
      <c r="F352" s="414"/>
      <c r="G352" s="364"/>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74" t="str">
        <f>_xlfn.CONCAT(_xlfn.XLOOKUP("[S05_DefaultValues][151][InstallationCategory]",Submission!$O:$O,Submission!$H:$N,""))</f>
        <v/>
      </c>
      <c r="D353" s="414"/>
      <c r="E353" s="414"/>
      <c r="F353" s="414"/>
      <c r="G353" s="364"/>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74" t="str">
        <f>_xlfn.CONCAT(_xlfn.XLOOKUP("[S05_DefaultValues][152][InstallationCategory]",Submission!$O:$O,Submission!$H:$N,""))</f>
        <v/>
      </c>
      <c r="D354" s="414"/>
      <c r="E354" s="414"/>
      <c r="F354" s="414"/>
      <c r="G354" s="364"/>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74" t="str">
        <f>_xlfn.CONCAT(_xlfn.XLOOKUP("[S05_DefaultValues][153][InstallationCategory]",Submission!$O:$O,Submission!$H:$N,""))</f>
        <v/>
      </c>
      <c r="D355" s="414"/>
      <c r="E355" s="414"/>
      <c r="F355" s="414"/>
      <c r="G355" s="364"/>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74" t="str">
        <f>_xlfn.CONCAT(_xlfn.XLOOKUP("[S05_DefaultValues][154][InstallationCategory]",Submission!$O:$O,Submission!$H:$N,""))</f>
        <v/>
      </c>
      <c r="D356" s="414"/>
      <c r="E356" s="414"/>
      <c r="F356" s="414"/>
      <c r="G356" s="364"/>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74" t="str">
        <f>_xlfn.CONCAT(_xlfn.XLOOKUP("[S05_DefaultValues][155][InstallationCategory]",Submission!$O:$O,Submission!$H:$N,""))</f>
        <v/>
      </c>
      <c r="D357" s="414"/>
      <c r="E357" s="414"/>
      <c r="F357" s="414"/>
      <c r="G357" s="364"/>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74" t="str">
        <f>_xlfn.CONCAT(_xlfn.XLOOKUP("[S05_DefaultValues][156][InstallationCategory]",Submission!$O:$O,Submission!$H:$N,""))</f>
        <v/>
      </c>
      <c r="D358" s="414"/>
      <c r="E358" s="414"/>
      <c r="F358" s="414"/>
      <c r="G358" s="364"/>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74" t="str">
        <f>_xlfn.CONCAT(_xlfn.XLOOKUP("[S05_DefaultValues][157][InstallationCategory]",Submission!$O:$O,Submission!$H:$N,""))</f>
        <v/>
      </c>
      <c r="D359" s="414"/>
      <c r="E359" s="414"/>
      <c r="F359" s="414"/>
      <c r="G359" s="364"/>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74" t="str">
        <f>_xlfn.CONCAT(_xlfn.XLOOKUP("[S05_DefaultValues][158][InstallationCategory]",Submission!$O:$O,Submission!$H:$N,""))</f>
        <v/>
      </c>
      <c r="D360" s="414"/>
      <c r="E360" s="414"/>
      <c r="F360" s="414"/>
      <c r="G360" s="364"/>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74" t="str">
        <f>_xlfn.CONCAT(_xlfn.XLOOKUP("[S05_DefaultValues][159][InstallationCategory]",Submission!$O:$O,Submission!$H:$N,""))</f>
        <v/>
      </c>
      <c r="D361" s="414"/>
      <c r="E361" s="414"/>
      <c r="F361" s="414"/>
      <c r="G361" s="364"/>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74" t="str">
        <f>_xlfn.CONCAT(_xlfn.XLOOKUP("[S05_DefaultValues][160][InstallationCategory]",Submission!$O:$O,Submission!$H:$N,""))</f>
        <v/>
      </c>
      <c r="D362" s="414"/>
      <c r="E362" s="414"/>
      <c r="F362" s="414"/>
      <c r="G362" s="364"/>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74" t="str">
        <f>_xlfn.CONCAT(_xlfn.XLOOKUP("[S05_DefaultValues][161][InstallationCategory]",Submission!$O:$O,Submission!$H:$N,""))</f>
        <v/>
      </c>
      <c r="D363" s="414"/>
      <c r="E363" s="414"/>
      <c r="F363" s="414"/>
      <c r="G363" s="364"/>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74" t="str">
        <f>_xlfn.CONCAT(_xlfn.XLOOKUP("[S05_DefaultValues][162][InstallationCategory]",Submission!$O:$O,Submission!$H:$N,""))</f>
        <v/>
      </c>
      <c r="D364" s="414"/>
      <c r="E364" s="414"/>
      <c r="F364" s="414"/>
      <c r="G364" s="364"/>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74" t="str">
        <f>_xlfn.CONCAT(_xlfn.XLOOKUP("[S05_DefaultValues][163][InstallationCategory]",Submission!$O:$O,Submission!$H:$N,""))</f>
        <v/>
      </c>
      <c r="D365" s="414"/>
      <c r="E365" s="414"/>
      <c r="F365" s="414"/>
      <c r="G365" s="364"/>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74" t="str">
        <f>_xlfn.CONCAT(_xlfn.XLOOKUP("[S05_DefaultValues][164][InstallationCategory]",Submission!$O:$O,Submission!$H:$N,""))</f>
        <v/>
      </c>
      <c r="D366" s="414"/>
      <c r="E366" s="414"/>
      <c r="F366" s="414"/>
      <c r="G366" s="364"/>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74" t="str">
        <f>_xlfn.CONCAT(_xlfn.XLOOKUP("[S05_DefaultValues][165][InstallationCategory]",Submission!$O:$O,Submission!$H:$N,""))</f>
        <v/>
      </c>
      <c r="D367" s="414"/>
      <c r="E367" s="414"/>
      <c r="F367" s="414"/>
      <c r="G367" s="364"/>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74" t="str">
        <f>_xlfn.CONCAT(_xlfn.XLOOKUP("[S05_DefaultValues][166][InstallationCategory]",Submission!$O:$O,Submission!$H:$N,""))</f>
        <v/>
      </c>
      <c r="D368" s="414"/>
      <c r="E368" s="414"/>
      <c r="F368" s="414"/>
      <c r="G368" s="364"/>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74" t="str">
        <f>_xlfn.CONCAT(_xlfn.XLOOKUP("[S05_DefaultValues][167][InstallationCategory]",Submission!$O:$O,Submission!$H:$N,""))</f>
        <v/>
      </c>
      <c r="D369" s="414"/>
      <c r="E369" s="414"/>
      <c r="F369" s="414"/>
      <c r="G369" s="364"/>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74" t="str">
        <f>_xlfn.CONCAT(_xlfn.XLOOKUP("[S05_DefaultValues][168][InstallationCategory]",Submission!$O:$O,Submission!$H:$N,""))</f>
        <v/>
      </c>
      <c r="D370" s="414"/>
      <c r="E370" s="414"/>
      <c r="F370" s="414"/>
      <c r="G370" s="364"/>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74" t="str">
        <f>_xlfn.CONCAT(_xlfn.XLOOKUP("[S05_DefaultValues][169][InstallationCategory]",Submission!$O:$O,Submission!$H:$N,""))</f>
        <v/>
      </c>
      <c r="D371" s="414"/>
      <c r="E371" s="414"/>
      <c r="F371" s="414"/>
      <c r="G371" s="364"/>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74" t="str">
        <f>_xlfn.CONCAT(_xlfn.XLOOKUP("[S05_DefaultValues][170][InstallationCategory]",Submission!$O:$O,Submission!$H:$N,""))</f>
        <v/>
      </c>
      <c r="D372" s="414"/>
      <c r="E372" s="414"/>
      <c r="F372" s="414"/>
      <c r="G372" s="364"/>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74" t="str">
        <f>_xlfn.CONCAT(_xlfn.XLOOKUP("[S05_DefaultValues][171][InstallationCategory]",Submission!$O:$O,Submission!$H:$N,""))</f>
        <v/>
      </c>
      <c r="D373" s="414"/>
      <c r="E373" s="414"/>
      <c r="F373" s="414"/>
      <c r="G373" s="364"/>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74" t="str">
        <f>_xlfn.CONCAT(_xlfn.XLOOKUP("[S05_DefaultValues][172][InstallationCategory]",Submission!$O:$O,Submission!$H:$N,""))</f>
        <v/>
      </c>
      <c r="D374" s="414"/>
      <c r="E374" s="414"/>
      <c r="F374" s="414"/>
      <c r="G374" s="364"/>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74" t="str">
        <f>_xlfn.CONCAT(_xlfn.XLOOKUP("[S05_DefaultValues][173][InstallationCategory]",Submission!$O:$O,Submission!$H:$N,""))</f>
        <v/>
      </c>
      <c r="D375" s="414"/>
      <c r="E375" s="414"/>
      <c r="F375" s="414"/>
      <c r="G375" s="364"/>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74" t="str">
        <f>_xlfn.CONCAT(_xlfn.XLOOKUP("[S05_DefaultValues][174][InstallationCategory]",Submission!$O:$O,Submission!$H:$N,""))</f>
        <v/>
      </c>
      <c r="D376" s="414"/>
      <c r="E376" s="414"/>
      <c r="F376" s="414"/>
      <c r="G376" s="364"/>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74" t="str">
        <f>_xlfn.CONCAT(_xlfn.XLOOKUP("[S05_DefaultValues][175][InstallationCategory]",Submission!$O:$O,Submission!$H:$N,""))</f>
        <v/>
      </c>
      <c r="D377" s="414"/>
      <c r="E377" s="414"/>
      <c r="F377" s="414"/>
      <c r="G377" s="364"/>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74" t="str">
        <f>_xlfn.CONCAT(_xlfn.XLOOKUP("[S05_DefaultValues][176][InstallationCategory]",Submission!$O:$O,Submission!$H:$N,""))</f>
        <v/>
      </c>
      <c r="D378" s="414"/>
      <c r="E378" s="414"/>
      <c r="F378" s="414"/>
      <c r="G378" s="364"/>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74" t="str">
        <f>_xlfn.CONCAT(_xlfn.XLOOKUP("[S05_DefaultValues][177][InstallationCategory]",Submission!$O:$O,Submission!$H:$N,""))</f>
        <v/>
      </c>
      <c r="D379" s="414"/>
      <c r="E379" s="414"/>
      <c r="F379" s="414"/>
      <c r="G379" s="364"/>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74" t="str">
        <f>_xlfn.CONCAT(_xlfn.XLOOKUP("[S05_DefaultValues][178][InstallationCategory]",Submission!$O:$O,Submission!$H:$N,""))</f>
        <v/>
      </c>
      <c r="D380" s="414"/>
      <c r="E380" s="414"/>
      <c r="F380" s="414"/>
      <c r="G380" s="364"/>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74" t="str">
        <f>_xlfn.CONCAT(_xlfn.XLOOKUP("[S05_DefaultValues][179][InstallationCategory]",Submission!$O:$O,Submission!$H:$N,""))</f>
        <v/>
      </c>
      <c r="D381" s="414"/>
      <c r="E381" s="414"/>
      <c r="F381" s="414"/>
      <c r="G381" s="364"/>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74" t="str">
        <f>_xlfn.CONCAT(_xlfn.XLOOKUP("[S05_DefaultValues][180][InstallationCategory]",Submission!$O:$O,Submission!$H:$N,""))</f>
        <v/>
      </c>
      <c r="D382" s="414"/>
      <c r="E382" s="414"/>
      <c r="F382" s="414"/>
      <c r="G382" s="364"/>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74" t="str">
        <f>_xlfn.CONCAT(_xlfn.XLOOKUP("[S05_DefaultValues][181][InstallationCategory]",Submission!$O:$O,Submission!$H:$N,""))</f>
        <v/>
      </c>
      <c r="D383" s="414"/>
      <c r="E383" s="414"/>
      <c r="F383" s="414"/>
      <c r="G383" s="364"/>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74" t="str">
        <f>_xlfn.CONCAT(_xlfn.XLOOKUP("[S05_DefaultValues][182][InstallationCategory]",Submission!$O:$O,Submission!$H:$N,""))</f>
        <v/>
      </c>
      <c r="D384" s="414"/>
      <c r="E384" s="414"/>
      <c r="F384" s="414"/>
      <c r="G384" s="364"/>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74" t="str">
        <f>_xlfn.CONCAT(_xlfn.XLOOKUP("[S05_DefaultValues][183][InstallationCategory]",Submission!$O:$O,Submission!$H:$N,""))</f>
        <v/>
      </c>
      <c r="D385" s="414"/>
      <c r="E385" s="414"/>
      <c r="F385" s="414"/>
      <c r="G385" s="364"/>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74" t="str">
        <f>_xlfn.CONCAT(_xlfn.XLOOKUP("[S05_DefaultValues][184][InstallationCategory]",Submission!$O:$O,Submission!$H:$N,""))</f>
        <v/>
      </c>
      <c r="D386" s="414"/>
      <c r="E386" s="414"/>
      <c r="F386" s="414"/>
      <c r="G386" s="364"/>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74" t="str">
        <f>_xlfn.CONCAT(_xlfn.XLOOKUP("[S05_DefaultValues][185][InstallationCategory]",Submission!$O:$O,Submission!$H:$N,""))</f>
        <v/>
      </c>
      <c r="D387" s="414"/>
      <c r="E387" s="414"/>
      <c r="F387" s="414"/>
      <c r="G387" s="364"/>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74" t="str">
        <f>_xlfn.CONCAT(_xlfn.XLOOKUP("[S05_DefaultValues][186][InstallationCategory]",Submission!$O:$O,Submission!$H:$N,""))</f>
        <v/>
      </c>
      <c r="D388" s="414"/>
      <c r="E388" s="414"/>
      <c r="F388" s="414"/>
      <c r="G388" s="364"/>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74" t="str">
        <f>_xlfn.CONCAT(_xlfn.XLOOKUP("[S05_DefaultValues][187][InstallationCategory]",Submission!$O:$O,Submission!$H:$N,""))</f>
        <v/>
      </c>
      <c r="D389" s="414"/>
      <c r="E389" s="414"/>
      <c r="F389" s="414"/>
      <c r="G389" s="364"/>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74" t="str">
        <f>_xlfn.CONCAT(_xlfn.XLOOKUP("[S05_DefaultValues][188][InstallationCategory]",Submission!$O:$O,Submission!$H:$N,""))</f>
        <v/>
      </c>
      <c r="D390" s="414"/>
      <c r="E390" s="414"/>
      <c r="F390" s="414"/>
      <c r="G390" s="364"/>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74" t="str">
        <f>_xlfn.CONCAT(_xlfn.XLOOKUP("[S05_DefaultValues][189][InstallationCategory]",Submission!$O:$O,Submission!$H:$N,""))</f>
        <v/>
      </c>
      <c r="D391" s="414"/>
      <c r="E391" s="414"/>
      <c r="F391" s="414"/>
      <c r="G391" s="364"/>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74" t="str">
        <f>_xlfn.CONCAT(_xlfn.XLOOKUP("[S05_DefaultValues][190][InstallationCategory]",Submission!$O:$O,Submission!$H:$N,""))</f>
        <v/>
      </c>
      <c r="D392" s="414"/>
      <c r="E392" s="414"/>
      <c r="F392" s="414"/>
      <c r="G392" s="364"/>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74" t="str">
        <f>_xlfn.CONCAT(_xlfn.XLOOKUP("[S05_DefaultValues][191][InstallationCategory]",Submission!$O:$O,Submission!$H:$N,""))</f>
        <v/>
      </c>
      <c r="D393" s="414"/>
      <c r="E393" s="414"/>
      <c r="F393" s="414"/>
      <c r="G393" s="364"/>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74" t="str">
        <f>_xlfn.CONCAT(_xlfn.XLOOKUP("[S05_DefaultValues][192][InstallationCategory]",Submission!$O:$O,Submission!$H:$N,""))</f>
        <v/>
      </c>
      <c r="D394" s="414"/>
      <c r="E394" s="414"/>
      <c r="F394" s="414"/>
      <c r="G394" s="364"/>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74" t="str">
        <f>_xlfn.CONCAT(_xlfn.XLOOKUP("[S05_DefaultValues][193][InstallationCategory]",Submission!$O:$O,Submission!$H:$N,""))</f>
        <v/>
      </c>
      <c r="D395" s="414"/>
      <c r="E395" s="414"/>
      <c r="F395" s="414"/>
      <c r="G395" s="364"/>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74" t="str">
        <f>_xlfn.CONCAT(_xlfn.XLOOKUP("[S05_DefaultValues][194][InstallationCategory]",Submission!$O:$O,Submission!$H:$N,""))</f>
        <v/>
      </c>
      <c r="D396" s="414"/>
      <c r="E396" s="414"/>
      <c r="F396" s="414"/>
      <c r="G396" s="364"/>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74" t="str">
        <f>_xlfn.CONCAT(_xlfn.XLOOKUP("[S05_DefaultValues][195][InstallationCategory]",Submission!$O:$O,Submission!$H:$N,""))</f>
        <v/>
      </c>
      <c r="D397" s="414"/>
      <c r="E397" s="414"/>
      <c r="F397" s="414"/>
      <c r="G397" s="364"/>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74" t="str">
        <f>_xlfn.CONCAT(_xlfn.XLOOKUP("[S05_DefaultValues][196][InstallationCategory]",Submission!$O:$O,Submission!$H:$N,""))</f>
        <v/>
      </c>
      <c r="D398" s="414"/>
      <c r="E398" s="414"/>
      <c r="F398" s="414"/>
      <c r="G398" s="364"/>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74" t="str">
        <f>_xlfn.CONCAT(_xlfn.XLOOKUP("[S05_DefaultValues][197][InstallationCategory]",Submission!$O:$O,Submission!$H:$N,""))</f>
        <v/>
      </c>
      <c r="D399" s="414"/>
      <c r="E399" s="414"/>
      <c r="F399" s="414"/>
      <c r="G399" s="364"/>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74" t="str">
        <f>_xlfn.CONCAT(_xlfn.XLOOKUP("[S05_DefaultValues][198][InstallationCategory]",Submission!$O:$O,Submission!$H:$N,""))</f>
        <v/>
      </c>
      <c r="D400" s="414"/>
      <c r="E400" s="414"/>
      <c r="F400" s="414"/>
      <c r="G400" s="364"/>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74" t="str">
        <f>_xlfn.CONCAT(_xlfn.XLOOKUP("[S05_DefaultValues][199][InstallationCategory]",Submission!$O:$O,Submission!$H:$N,""))</f>
        <v/>
      </c>
      <c r="D401" s="414"/>
      <c r="E401" s="414"/>
      <c r="F401" s="414"/>
      <c r="G401" s="364"/>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74" t="str">
        <f>_xlfn.CONCAT(_xlfn.XLOOKUP("[S05_DefaultValues][200][InstallationCategory]",Submission!$O:$O,Submission!$H:$N,""))</f>
        <v/>
      </c>
      <c r="D402" s="414"/>
      <c r="E402" s="414"/>
      <c r="F402" s="414"/>
      <c r="G402" s="364"/>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74" t="str">
        <f>_xlfn.CONCAT(_xlfn.XLOOKUP("[S05_DefaultValues][201][InstallationCategory]",Submission!$O:$O,Submission!$H:$N,""))</f>
        <v/>
      </c>
      <c r="D403" s="414"/>
      <c r="E403" s="414"/>
      <c r="F403" s="414"/>
      <c r="G403" s="364"/>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74" t="str">
        <f>_xlfn.CONCAT(_xlfn.XLOOKUP("[S05_DefaultValues][202][InstallationCategory]",Submission!$O:$O,Submission!$H:$N,""))</f>
        <v/>
      </c>
      <c r="D404" s="414"/>
      <c r="E404" s="414"/>
      <c r="F404" s="414"/>
      <c r="G404" s="364"/>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74" t="str">
        <f>_xlfn.CONCAT(_xlfn.XLOOKUP("[S05_DefaultValues][203][InstallationCategory]",Submission!$O:$O,Submission!$H:$N,""))</f>
        <v/>
      </c>
      <c r="D405" s="414"/>
      <c r="E405" s="414"/>
      <c r="F405" s="414"/>
      <c r="G405" s="364"/>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74" t="str">
        <f>_xlfn.CONCAT(_xlfn.XLOOKUP("[S05_DefaultValues][204][InstallationCategory]",Submission!$O:$O,Submission!$H:$N,""))</f>
        <v/>
      </c>
      <c r="D406" s="414"/>
      <c r="E406" s="414"/>
      <c r="F406" s="414"/>
      <c r="G406" s="364"/>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74" t="str">
        <f>_xlfn.CONCAT(_xlfn.XLOOKUP("[S05_DefaultValues][205][InstallationCategory]",Submission!$O:$O,Submission!$H:$N,""))</f>
        <v/>
      </c>
      <c r="D407" s="414"/>
      <c r="E407" s="414"/>
      <c r="F407" s="414"/>
      <c r="G407" s="364"/>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74" t="str">
        <f>_xlfn.CONCAT(_xlfn.XLOOKUP("[S05_DefaultValues][206][InstallationCategory]",Submission!$O:$O,Submission!$H:$N,""))</f>
        <v/>
      </c>
      <c r="D408" s="414"/>
      <c r="E408" s="414"/>
      <c r="F408" s="414"/>
      <c r="G408" s="364"/>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74" t="str">
        <f>_xlfn.CONCAT(_xlfn.XLOOKUP("[S05_DefaultValues][207][InstallationCategory]",Submission!$O:$O,Submission!$H:$N,""))</f>
        <v/>
      </c>
      <c r="D409" s="414"/>
      <c r="E409" s="414"/>
      <c r="F409" s="414"/>
      <c r="G409" s="364"/>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74" t="str">
        <f>_xlfn.CONCAT(_xlfn.XLOOKUP("[S05_DefaultValues][208][InstallationCategory]",Submission!$O:$O,Submission!$H:$N,""))</f>
        <v/>
      </c>
      <c r="D410" s="414"/>
      <c r="E410" s="414"/>
      <c r="F410" s="414"/>
      <c r="G410" s="364"/>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74" t="str">
        <f>_xlfn.CONCAT(_xlfn.XLOOKUP("[S05_DefaultValues][209][InstallationCategory]",Submission!$O:$O,Submission!$H:$N,""))</f>
        <v/>
      </c>
      <c r="D411" s="414"/>
      <c r="E411" s="414"/>
      <c r="F411" s="414"/>
      <c r="G411" s="364"/>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74" t="str">
        <f>_xlfn.CONCAT(_xlfn.XLOOKUP("[S05_DefaultValues][210][InstallationCategory]",Submission!$O:$O,Submission!$H:$N,""))</f>
        <v/>
      </c>
      <c r="D412" s="414"/>
      <c r="E412" s="414"/>
      <c r="F412" s="414"/>
      <c r="G412" s="364"/>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74" t="str">
        <f>_xlfn.CONCAT(_xlfn.XLOOKUP("[S05_DefaultValues][211][InstallationCategory]",Submission!$O:$O,Submission!$H:$N,""))</f>
        <v/>
      </c>
      <c r="D413" s="414"/>
      <c r="E413" s="414"/>
      <c r="F413" s="414"/>
      <c r="G413" s="364"/>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74" t="str">
        <f>_xlfn.CONCAT(_xlfn.XLOOKUP("[S05_DefaultValues][212][InstallationCategory]",Submission!$O:$O,Submission!$H:$N,""))</f>
        <v/>
      </c>
      <c r="D414" s="414"/>
      <c r="E414" s="414"/>
      <c r="F414" s="414"/>
      <c r="G414" s="364"/>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74" t="str">
        <f>_xlfn.CONCAT(_xlfn.XLOOKUP("[S05_DefaultValues][213][InstallationCategory]",Submission!$O:$O,Submission!$H:$N,""))</f>
        <v/>
      </c>
      <c r="D415" s="414"/>
      <c r="E415" s="414"/>
      <c r="F415" s="414"/>
      <c r="G415" s="364"/>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74" t="str">
        <f>_xlfn.CONCAT(_xlfn.XLOOKUP("[S05_DefaultValues][214][InstallationCategory]",Submission!$O:$O,Submission!$H:$N,""))</f>
        <v/>
      </c>
      <c r="D416" s="414"/>
      <c r="E416" s="414"/>
      <c r="F416" s="414"/>
      <c r="G416" s="364"/>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74" t="str">
        <f>_xlfn.CONCAT(_xlfn.XLOOKUP("[S05_DefaultValues][215][InstallationCategory]",Submission!$O:$O,Submission!$H:$N,""))</f>
        <v/>
      </c>
      <c r="D417" s="414"/>
      <c r="E417" s="414"/>
      <c r="F417" s="414"/>
      <c r="G417" s="364"/>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74" t="str">
        <f>_xlfn.CONCAT(_xlfn.XLOOKUP("[S05_DefaultValues][216][InstallationCategory]",Submission!$O:$O,Submission!$H:$N,""))</f>
        <v/>
      </c>
      <c r="D418" s="414"/>
      <c r="E418" s="414"/>
      <c r="F418" s="414"/>
      <c r="G418" s="364"/>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74" t="str">
        <f>_xlfn.CONCAT(_xlfn.XLOOKUP("[S05_DefaultValues][217][InstallationCategory]",Submission!$O:$O,Submission!$H:$N,""))</f>
        <v/>
      </c>
      <c r="D419" s="414"/>
      <c r="E419" s="414"/>
      <c r="F419" s="414"/>
      <c r="G419" s="364"/>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74" t="str">
        <f>_xlfn.CONCAT(_xlfn.XLOOKUP("[S05_DefaultValues][218][InstallationCategory]",Submission!$O:$O,Submission!$H:$N,""))</f>
        <v/>
      </c>
      <c r="D420" s="414"/>
      <c r="E420" s="414"/>
      <c r="F420" s="414"/>
      <c r="G420" s="364"/>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74" t="str">
        <f>_xlfn.CONCAT(_xlfn.XLOOKUP("[S05_DefaultValues][219][InstallationCategory]",Submission!$O:$O,Submission!$H:$N,""))</f>
        <v/>
      </c>
      <c r="D421" s="414"/>
      <c r="E421" s="414"/>
      <c r="F421" s="414"/>
      <c r="G421" s="364"/>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74" t="str">
        <f>_xlfn.CONCAT(_xlfn.XLOOKUP("[S05_DefaultValues][220][InstallationCategory]",Submission!$O:$O,Submission!$H:$N,""))</f>
        <v/>
      </c>
      <c r="D422" s="414"/>
      <c r="E422" s="414"/>
      <c r="F422" s="414"/>
      <c r="G422" s="364"/>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74" t="str">
        <f>_xlfn.CONCAT(_xlfn.XLOOKUP("[S05_DefaultValues][221][InstallationCategory]",Submission!$O:$O,Submission!$H:$N,""))</f>
        <v/>
      </c>
      <c r="D423" s="414"/>
      <c r="E423" s="414"/>
      <c r="F423" s="414"/>
      <c r="G423" s="364"/>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74" t="str">
        <f>_xlfn.CONCAT(_xlfn.XLOOKUP("[S05_DefaultValues][222][InstallationCategory]",Submission!$O:$O,Submission!$H:$N,""))</f>
        <v/>
      </c>
      <c r="D424" s="414"/>
      <c r="E424" s="414"/>
      <c r="F424" s="414"/>
      <c r="G424" s="364"/>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74" t="str">
        <f>_xlfn.CONCAT(_xlfn.XLOOKUP("[S05_DefaultValues][223][InstallationCategory]",Submission!$O:$O,Submission!$H:$N,""))</f>
        <v/>
      </c>
      <c r="D425" s="414"/>
      <c r="E425" s="414"/>
      <c r="F425" s="414"/>
      <c r="G425" s="364"/>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74" t="str">
        <f>_xlfn.CONCAT(_xlfn.XLOOKUP("[S05_DefaultValues][224][InstallationCategory]",Submission!$O:$O,Submission!$H:$N,""))</f>
        <v/>
      </c>
      <c r="D426" s="414"/>
      <c r="E426" s="414"/>
      <c r="F426" s="414"/>
      <c r="G426" s="364"/>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74" t="str">
        <f>_xlfn.CONCAT(_xlfn.XLOOKUP("[S05_DefaultValues][225][InstallationCategory]",Submission!$O:$O,Submission!$H:$N,""))</f>
        <v/>
      </c>
      <c r="D427" s="414"/>
      <c r="E427" s="414"/>
      <c r="F427" s="414"/>
      <c r="G427" s="364"/>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74" t="str">
        <f>_xlfn.CONCAT(_xlfn.XLOOKUP("[S05_DefaultValues][226][InstallationCategory]",Submission!$O:$O,Submission!$H:$N,""))</f>
        <v/>
      </c>
      <c r="D428" s="414"/>
      <c r="E428" s="414"/>
      <c r="F428" s="414"/>
      <c r="G428" s="364"/>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74" t="str">
        <f>_xlfn.CONCAT(_xlfn.XLOOKUP("[S05_DefaultValues][227][InstallationCategory]",Submission!$O:$O,Submission!$H:$N,""))</f>
        <v/>
      </c>
      <c r="D429" s="414"/>
      <c r="E429" s="414"/>
      <c r="F429" s="414"/>
      <c r="G429" s="364"/>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74" t="str">
        <f>_xlfn.CONCAT(_xlfn.XLOOKUP("[S05_DefaultValues][228][InstallationCategory]",Submission!$O:$O,Submission!$H:$N,""))</f>
        <v/>
      </c>
      <c r="D430" s="414"/>
      <c r="E430" s="414"/>
      <c r="F430" s="414"/>
      <c r="G430" s="364"/>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74" t="str">
        <f>_xlfn.CONCAT(_xlfn.XLOOKUP("[S05_DefaultValues][229][InstallationCategory]",Submission!$O:$O,Submission!$H:$N,""))</f>
        <v/>
      </c>
      <c r="D431" s="414"/>
      <c r="E431" s="414"/>
      <c r="F431" s="414"/>
      <c r="G431" s="364"/>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74" t="str">
        <f>_xlfn.CONCAT(_xlfn.XLOOKUP("[S05_DefaultValues][230][InstallationCategory]",Submission!$O:$O,Submission!$H:$N,""))</f>
        <v/>
      </c>
      <c r="D432" s="414"/>
      <c r="E432" s="414"/>
      <c r="F432" s="414"/>
      <c r="G432" s="364"/>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74" t="str">
        <f>_xlfn.CONCAT(_xlfn.XLOOKUP("[S05_DefaultValues][231][InstallationCategory]",Submission!$O:$O,Submission!$H:$N,""))</f>
        <v/>
      </c>
      <c r="D433" s="414"/>
      <c r="E433" s="414"/>
      <c r="F433" s="414"/>
      <c r="G433" s="364"/>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74" t="str">
        <f>_xlfn.CONCAT(_xlfn.XLOOKUP("[S05_DefaultValues][232][InstallationCategory]",Submission!$O:$O,Submission!$H:$N,""))</f>
        <v/>
      </c>
      <c r="D434" s="414"/>
      <c r="E434" s="414"/>
      <c r="F434" s="414"/>
      <c r="G434" s="364"/>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74" t="str">
        <f>_xlfn.CONCAT(_xlfn.XLOOKUP("[S05_DefaultValues][233][InstallationCategory]",Submission!$O:$O,Submission!$H:$N,""))</f>
        <v/>
      </c>
      <c r="D435" s="414"/>
      <c r="E435" s="414"/>
      <c r="F435" s="414"/>
      <c r="G435" s="364"/>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74" t="str">
        <f>_xlfn.CONCAT(_xlfn.XLOOKUP("[S05_DefaultValues][234][InstallationCategory]",Submission!$O:$O,Submission!$H:$N,""))</f>
        <v/>
      </c>
      <c r="D436" s="414"/>
      <c r="E436" s="414"/>
      <c r="F436" s="414"/>
      <c r="G436" s="364"/>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74" t="str">
        <f>_xlfn.CONCAT(_xlfn.XLOOKUP("[S05_DefaultValues][235][InstallationCategory]",Submission!$O:$O,Submission!$H:$N,""))</f>
        <v/>
      </c>
      <c r="D437" s="414"/>
      <c r="E437" s="414"/>
      <c r="F437" s="414"/>
      <c r="G437" s="364"/>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74" t="str">
        <f>_xlfn.CONCAT(_xlfn.XLOOKUP("[S05_DefaultValues][236][InstallationCategory]",Submission!$O:$O,Submission!$H:$N,""))</f>
        <v/>
      </c>
      <c r="D438" s="414"/>
      <c r="E438" s="414"/>
      <c r="F438" s="414"/>
      <c r="G438" s="364"/>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74" t="str">
        <f>_xlfn.CONCAT(_xlfn.XLOOKUP("[S05_DefaultValues][237][InstallationCategory]",Submission!$O:$O,Submission!$H:$N,""))</f>
        <v/>
      </c>
      <c r="D439" s="414"/>
      <c r="E439" s="414"/>
      <c r="F439" s="414"/>
      <c r="G439" s="364"/>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74" t="str">
        <f>_xlfn.CONCAT(_xlfn.XLOOKUP("[S05_DefaultValues][238][InstallationCategory]",Submission!$O:$O,Submission!$H:$N,""))</f>
        <v/>
      </c>
      <c r="D440" s="414"/>
      <c r="E440" s="414"/>
      <c r="F440" s="414"/>
      <c r="G440" s="364"/>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74" t="str">
        <f>_xlfn.CONCAT(_xlfn.XLOOKUP("[S05_DefaultValues][239][InstallationCategory]",Submission!$O:$O,Submission!$H:$N,""))</f>
        <v/>
      </c>
      <c r="D441" s="414"/>
      <c r="E441" s="414"/>
      <c r="F441" s="414"/>
      <c r="G441" s="364"/>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74" t="str">
        <f>_xlfn.CONCAT(_xlfn.XLOOKUP("[S05_DefaultValues][240][InstallationCategory]",Submission!$O:$O,Submission!$H:$N,""))</f>
        <v/>
      </c>
      <c r="D442" s="414"/>
      <c r="E442" s="414"/>
      <c r="F442" s="414"/>
      <c r="G442" s="364"/>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74" t="str">
        <f>_xlfn.CONCAT(_xlfn.XLOOKUP("[S05_DefaultValues][241][InstallationCategory]",Submission!$O:$O,Submission!$H:$N,""))</f>
        <v/>
      </c>
      <c r="D443" s="414"/>
      <c r="E443" s="414"/>
      <c r="F443" s="414"/>
      <c r="G443" s="364"/>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74" t="str">
        <f>_xlfn.CONCAT(_xlfn.XLOOKUP("[S05_DefaultValues][242][InstallationCategory]",Submission!$O:$O,Submission!$H:$N,""))</f>
        <v/>
      </c>
      <c r="D444" s="414"/>
      <c r="E444" s="414"/>
      <c r="F444" s="414"/>
      <c r="G444" s="364"/>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74" t="str">
        <f>_xlfn.CONCAT(_xlfn.XLOOKUP("[S05_DefaultValues][243][InstallationCategory]",Submission!$O:$O,Submission!$H:$N,""))</f>
        <v/>
      </c>
      <c r="D445" s="414"/>
      <c r="E445" s="414"/>
      <c r="F445" s="414"/>
      <c r="G445" s="364"/>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74" t="str">
        <f>_xlfn.CONCAT(_xlfn.XLOOKUP("[S05_DefaultValues][244][InstallationCategory]",Submission!$O:$O,Submission!$H:$N,""))</f>
        <v/>
      </c>
      <c r="D446" s="414"/>
      <c r="E446" s="414"/>
      <c r="F446" s="414"/>
      <c r="G446" s="364"/>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74" t="str">
        <f>_xlfn.CONCAT(_xlfn.XLOOKUP("[S05_DefaultValues][245][InstallationCategory]",Submission!$O:$O,Submission!$H:$N,""))</f>
        <v/>
      </c>
      <c r="D447" s="414"/>
      <c r="E447" s="414"/>
      <c r="F447" s="414"/>
      <c r="G447" s="364"/>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74" t="str">
        <f>_xlfn.CONCAT(_xlfn.XLOOKUP("[S05_DefaultValues][246][InstallationCategory]",Submission!$O:$O,Submission!$H:$N,""))</f>
        <v/>
      </c>
      <c r="D448" s="414"/>
      <c r="E448" s="414"/>
      <c r="F448" s="414"/>
      <c r="G448" s="364"/>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74" t="str">
        <f>_xlfn.CONCAT(_xlfn.XLOOKUP("[S05_DefaultValues][247][InstallationCategory]",Submission!$O:$O,Submission!$H:$N,""))</f>
        <v/>
      </c>
      <c r="D449" s="414"/>
      <c r="E449" s="414"/>
      <c r="F449" s="414"/>
      <c r="G449" s="364"/>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74" t="str">
        <f>_xlfn.CONCAT(_xlfn.XLOOKUP("[S05_DefaultValues][248][InstallationCategory]",Submission!$O:$O,Submission!$H:$N,""))</f>
        <v/>
      </c>
      <c r="D450" s="414"/>
      <c r="E450" s="414"/>
      <c r="F450" s="414"/>
      <c r="G450" s="364"/>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74" t="str">
        <f>_xlfn.CONCAT(_xlfn.XLOOKUP("[S05_DefaultValues][249][InstallationCategory]",Submission!$O:$O,Submission!$H:$N,""))</f>
        <v/>
      </c>
      <c r="D451" s="414"/>
      <c r="E451" s="414"/>
      <c r="F451" s="414"/>
      <c r="G451" s="364"/>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74" t="str">
        <f>_xlfn.CONCAT(_xlfn.XLOOKUP("[S05_DefaultValues][250][InstallationCategory]",Submission!$O:$O,Submission!$H:$N,""))</f>
        <v/>
      </c>
      <c r="D452" s="414"/>
      <c r="E452" s="414"/>
      <c r="F452" s="414"/>
      <c r="G452" s="364"/>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74" t="str">
        <f>_xlfn.CONCAT(_xlfn.XLOOKUP("[S05_DefaultValues][251][InstallationCategory]",Submission!$O:$O,Submission!$H:$N,""))</f>
        <v/>
      </c>
      <c r="D453" s="414"/>
      <c r="E453" s="414"/>
      <c r="F453" s="414"/>
      <c r="G453" s="364"/>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74" t="str">
        <f>_xlfn.CONCAT(_xlfn.XLOOKUP("[S05_DefaultValues][252][InstallationCategory]",Submission!$O:$O,Submission!$H:$N,""))</f>
        <v/>
      </c>
      <c r="D454" s="414"/>
      <c r="E454" s="414"/>
      <c r="F454" s="414"/>
      <c r="G454" s="364"/>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74" t="str">
        <f>_xlfn.CONCAT(_xlfn.XLOOKUP("[S05_DefaultValues][253][InstallationCategory]",Submission!$O:$O,Submission!$H:$N,""))</f>
        <v/>
      </c>
      <c r="D455" s="414"/>
      <c r="E455" s="414"/>
      <c r="F455" s="414"/>
      <c r="G455" s="364"/>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74" t="str">
        <f>_xlfn.CONCAT(_xlfn.XLOOKUP("[S05_DefaultValues][254][InstallationCategory]",Submission!$O:$O,Submission!$H:$N,""))</f>
        <v/>
      </c>
      <c r="D456" s="414"/>
      <c r="E456" s="414"/>
      <c r="F456" s="414"/>
      <c r="G456" s="364"/>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74" t="str">
        <f>_xlfn.CONCAT(_xlfn.XLOOKUP("[S05_DefaultValues][255][InstallationCategory]",Submission!$O:$O,Submission!$H:$N,""))</f>
        <v/>
      </c>
      <c r="D457" s="414"/>
      <c r="E457" s="414"/>
      <c r="F457" s="414"/>
      <c r="G457" s="364"/>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74" t="str">
        <f>_xlfn.CONCAT(_xlfn.XLOOKUP("[S05_DefaultValues][256][InstallationCategory]",Submission!$O:$O,Submission!$H:$N,""))</f>
        <v/>
      </c>
      <c r="D458" s="414"/>
      <c r="E458" s="414"/>
      <c r="F458" s="414"/>
      <c r="G458" s="364"/>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74" t="str">
        <f>_xlfn.CONCAT(_xlfn.XLOOKUP("[S05_DefaultValues][257][InstallationCategory]",Submission!$O:$O,Submission!$H:$N,""))</f>
        <v/>
      </c>
      <c r="D459" s="414"/>
      <c r="E459" s="414"/>
      <c r="F459" s="414"/>
      <c r="G459" s="364"/>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74" t="str">
        <f>_xlfn.CONCAT(_xlfn.XLOOKUP("[S05_DefaultValues][258][InstallationCategory]",Submission!$O:$O,Submission!$H:$N,""))</f>
        <v/>
      </c>
      <c r="D460" s="414"/>
      <c r="E460" s="414"/>
      <c r="F460" s="414"/>
      <c r="G460" s="364"/>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74" t="str">
        <f>_xlfn.CONCAT(_xlfn.XLOOKUP("[S05_DefaultValues][259][InstallationCategory]",Submission!$O:$O,Submission!$H:$N,""))</f>
        <v/>
      </c>
      <c r="D461" s="414"/>
      <c r="E461" s="414"/>
      <c r="F461" s="414"/>
      <c r="G461" s="364"/>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74" t="str">
        <f>_xlfn.CONCAT(_xlfn.XLOOKUP("[S05_DefaultValues][260][InstallationCategory]",Submission!$O:$O,Submission!$H:$N,""))</f>
        <v/>
      </c>
      <c r="D462" s="414"/>
      <c r="E462" s="414"/>
      <c r="F462" s="414"/>
      <c r="G462" s="364"/>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74" t="str">
        <f>_xlfn.CONCAT(_xlfn.XLOOKUP("[S05_DefaultValues][261][InstallationCategory]",Submission!$O:$O,Submission!$H:$N,""))</f>
        <v/>
      </c>
      <c r="D463" s="414"/>
      <c r="E463" s="414"/>
      <c r="F463" s="414"/>
      <c r="G463" s="364"/>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74" t="str">
        <f>_xlfn.CONCAT(_xlfn.XLOOKUP("[S05_DefaultValues][262][InstallationCategory]",Submission!$O:$O,Submission!$H:$N,""))</f>
        <v/>
      </c>
      <c r="D464" s="414"/>
      <c r="E464" s="414"/>
      <c r="F464" s="414"/>
      <c r="G464" s="364"/>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74" t="str">
        <f>_xlfn.CONCAT(_xlfn.XLOOKUP("[S05_DefaultValues][263][InstallationCategory]",Submission!$O:$O,Submission!$H:$N,""))</f>
        <v/>
      </c>
      <c r="D465" s="414"/>
      <c r="E465" s="414"/>
      <c r="F465" s="414"/>
      <c r="G465" s="364"/>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74" t="str">
        <f>_xlfn.CONCAT(_xlfn.XLOOKUP("[S05_DefaultValues][264][InstallationCategory]",Submission!$O:$O,Submission!$H:$N,""))</f>
        <v/>
      </c>
      <c r="D466" s="414"/>
      <c r="E466" s="414"/>
      <c r="F466" s="414"/>
      <c r="G466" s="364"/>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74" t="str">
        <f>_xlfn.CONCAT(_xlfn.XLOOKUP("[S05_DefaultValues][265][InstallationCategory]",Submission!$O:$O,Submission!$H:$N,""))</f>
        <v/>
      </c>
      <c r="D467" s="414"/>
      <c r="E467" s="414"/>
      <c r="F467" s="414"/>
      <c r="G467" s="364"/>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74" t="str">
        <f>_xlfn.CONCAT(_xlfn.XLOOKUP("[S05_DefaultValues][266][InstallationCategory]",Submission!$O:$O,Submission!$H:$N,""))</f>
        <v/>
      </c>
      <c r="D468" s="414"/>
      <c r="E468" s="414"/>
      <c r="F468" s="414"/>
      <c r="G468" s="364"/>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74" t="str">
        <f>_xlfn.CONCAT(_xlfn.XLOOKUP("[S05_DefaultValues][267][InstallationCategory]",Submission!$O:$O,Submission!$H:$N,""))</f>
        <v/>
      </c>
      <c r="D469" s="414"/>
      <c r="E469" s="414"/>
      <c r="F469" s="414"/>
      <c r="G469" s="364"/>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74" t="str">
        <f>_xlfn.CONCAT(_xlfn.XLOOKUP("[S05_DefaultValues][268][InstallationCategory]",Submission!$O:$O,Submission!$H:$N,""))</f>
        <v/>
      </c>
      <c r="D470" s="414"/>
      <c r="E470" s="414"/>
      <c r="F470" s="414"/>
      <c r="G470" s="364"/>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74" t="str">
        <f>_xlfn.CONCAT(_xlfn.XLOOKUP("[S05_DefaultValues][269][InstallationCategory]",Submission!$O:$O,Submission!$H:$N,""))</f>
        <v/>
      </c>
      <c r="D471" s="414"/>
      <c r="E471" s="414"/>
      <c r="F471" s="414"/>
      <c r="G471" s="364"/>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74" t="str">
        <f>_xlfn.CONCAT(_xlfn.XLOOKUP("[S05_DefaultValues][270][InstallationCategory]",Submission!$O:$O,Submission!$H:$N,""))</f>
        <v/>
      </c>
      <c r="D472" s="414"/>
      <c r="E472" s="414"/>
      <c r="F472" s="414"/>
      <c r="G472" s="364"/>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74" t="str">
        <f>_xlfn.CONCAT(_xlfn.XLOOKUP("[S05_DefaultValues][271][InstallationCategory]",Submission!$O:$O,Submission!$H:$N,""))</f>
        <v/>
      </c>
      <c r="D473" s="414"/>
      <c r="E473" s="414"/>
      <c r="F473" s="414"/>
      <c r="G473" s="364"/>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74" t="str">
        <f>_xlfn.CONCAT(_xlfn.XLOOKUP("[S05_DefaultValues][272][InstallationCategory]",Submission!$O:$O,Submission!$H:$N,""))</f>
        <v/>
      </c>
      <c r="D474" s="414"/>
      <c r="E474" s="414"/>
      <c r="F474" s="414"/>
      <c r="G474" s="364"/>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74" t="str">
        <f>_xlfn.CONCAT(_xlfn.XLOOKUP("[S05_DefaultValues][273][InstallationCategory]",Submission!$O:$O,Submission!$H:$N,""))</f>
        <v/>
      </c>
      <c r="D475" s="414"/>
      <c r="E475" s="414"/>
      <c r="F475" s="414"/>
      <c r="G475" s="364"/>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74" t="str">
        <f>_xlfn.CONCAT(_xlfn.XLOOKUP("[S05_DefaultValues][274][InstallationCategory]",Submission!$O:$O,Submission!$H:$N,""))</f>
        <v/>
      </c>
      <c r="D476" s="414"/>
      <c r="E476" s="414"/>
      <c r="F476" s="414"/>
      <c r="G476" s="364"/>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74" t="str">
        <f>_xlfn.CONCAT(_xlfn.XLOOKUP("[S05_DefaultValues][275][InstallationCategory]",Submission!$O:$O,Submission!$H:$N,""))</f>
        <v/>
      </c>
      <c r="D477" s="414"/>
      <c r="E477" s="414"/>
      <c r="F477" s="414"/>
      <c r="G477" s="364"/>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74" t="str">
        <f>_xlfn.CONCAT(_xlfn.XLOOKUP("[S05_DefaultValues][276][InstallationCategory]",Submission!$O:$O,Submission!$H:$N,""))</f>
        <v/>
      </c>
      <c r="D478" s="414"/>
      <c r="E478" s="414"/>
      <c r="F478" s="414"/>
      <c r="G478" s="364"/>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74" t="str">
        <f>_xlfn.CONCAT(_xlfn.XLOOKUP("[S05_DefaultValues][277][InstallationCategory]",Submission!$O:$O,Submission!$H:$N,""))</f>
        <v/>
      </c>
      <c r="D479" s="414"/>
      <c r="E479" s="414"/>
      <c r="F479" s="414"/>
      <c r="G479" s="364"/>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74" t="str">
        <f>_xlfn.CONCAT(_xlfn.XLOOKUP("[S05_DefaultValues][278][InstallationCategory]",Submission!$O:$O,Submission!$H:$N,""))</f>
        <v/>
      </c>
      <c r="D480" s="414"/>
      <c r="E480" s="414"/>
      <c r="F480" s="414"/>
      <c r="G480" s="364"/>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74" t="str">
        <f>_xlfn.CONCAT(_xlfn.XLOOKUP("[S05_DefaultValues][279][InstallationCategory]",Submission!$O:$O,Submission!$H:$N,""))</f>
        <v/>
      </c>
      <c r="D481" s="414"/>
      <c r="E481" s="414"/>
      <c r="F481" s="414"/>
      <c r="G481" s="364"/>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74" t="str">
        <f>_xlfn.CONCAT(_xlfn.XLOOKUP("[S05_DefaultValues][280][InstallationCategory]",Submission!$O:$O,Submission!$H:$N,""))</f>
        <v/>
      </c>
      <c r="D482" s="414"/>
      <c r="E482" s="414"/>
      <c r="F482" s="414"/>
      <c r="G482" s="364"/>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74" t="str">
        <f>_xlfn.CONCAT(_xlfn.XLOOKUP("[S05_DefaultValues][281][InstallationCategory]",Submission!$O:$O,Submission!$H:$N,""))</f>
        <v/>
      </c>
      <c r="D483" s="414"/>
      <c r="E483" s="414"/>
      <c r="F483" s="414"/>
      <c r="G483" s="364"/>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74" t="str">
        <f>_xlfn.CONCAT(_xlfn.XLOOKUP("[S05_DefaultValues][282][InstallationCategory]",Submission!$O:$O,Submission!$H:$N,""))</f>
        <v/>
      </c>
      <c r="D484" s="414"/>
      <c r="E484" s="414"/>
      <c r="F484" s="414"/>
      <c r="G484" s="364"/>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74" t="str">
        <f>_xlfn.CONCAT(_xlfn.XLOOKUP("[S05_DefaultValues][283][InstallationCategory]",Submission!$O:$O,Submission!$H:$N,""))</f>
        <v/>
      </c>
      <c r="D485" s="414"/>
      <c r="E485" s="414"/>
      <c r="F485" s="414"/>
      <c r="G485" s="364"/>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74" t="str">
        <f>_xlfn.CONCAT(_xlfn.XLOOKUP("[S05_DefaultValues][284][InstallationCategory]",Submission!$O:$O,Submission!$H:$N,""))</f>
        <v/>
      </c>
      <c r="D486" s="414"/>
      <c r="E486" s="414"/>
      <c r="F486" s="414"/>
      <c r="G486" s="364"/>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74" t="str">
        <f>_xlfn.CONCAT(_xlfn.XLOOKUP("[S05_DefaultValues][285][InstallationCategory]",Submission!$O:$O,Submission!$H:$N,""))</f>
        <v/>
      </c>
      <c r="D487" s="414"/>
      <c r="E487" s="414"/>
      <c r="F487" s="414"/>
      <c r="G487" s="364"/>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74" t="str">
        <f>_xlfn.CONCAT(_xlfn.XLOOKUP("[S05_DefaultValues][286][InstallationCategory]",Submission!$O:$O,Submission!$H:$N,""))</f>
        <v/>
      </c>
      <c r="D488" s="414"/>
      <c r="E488" s="414"/>
      <c r="F488" s="414"/>
      <c r="G488" s="364"/>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74" t="str">
        <f>_xlfn.CONCAT(_xlfn.XLOOKUP("[S05_DefaultValues][287][InstallationCategory]",Submission!$O:$O,Submission!$H:$N,""))</f>
        <v/>
      </c>
      <c r="D489" s="414"/>
      <c r="E489" s="414"/>
      <c r="F489" s="414"/>
      <c r="G489" s="364"/>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74" t="str">
        <f>_xlfn.CONCAT(_xlfn.XLOOKUP("[S05_DefaultValues][288][InstallationCategory]",Submission!$O:$O,Submission!$H:$N,""))</f>
        <v/>
      </c>
      <c r="D490" s="414"/>
      <c r="E490" s="414"/>
      <c r="F490" s="414"/>
      <c r="G490" s="364"/>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74" t="str">
        <f>_xlfn.CONCAT(_xlfn.XLOOKUP("[S05_DefaultValues][289][InstallationCategory]",Submission!$O:$O,Submission!$H:$N,""))</f>
        <v/>
      </c>
      <c r="D491" s="414"/>
      <c r="E491" s="414"/>
      <c r="F491" s="414"/>
      <c r="G491" s="364"/>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74" t="str">
        <f>_xlfn.CONCAT(_xlfn.XLOOKUP("[S05_DefaultValues][290][InstallationCategory]",Submission!$O:$O,Submission!$H:$N,""))</f>
        <v/>
      </c>
      <c r="D492" s="414"/>
      <c r="E492" s="414"/>
      <c r="F492" s="414"/>
      <c r="G492" s="364"/>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74" t="str">
        <f>_xlfn.CONCAT(_xlfn.XLOOKUP("[S05_DefaultValues][291][InstallationCategory]",Submission!$O:$O,Submission!$H:$N,""))</f>
        <v/>
      </c>
      <c r="D493" s="414"/>
      <c r="E493" s="414"/>
      <c r="F493" s="414"/>
      <c r="G493" s="364"/>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74" t="str">
        <f>_xlfn.CONCAT(_xlfn.XLOOKUP("[S05_DefaultValues][292][InstallationCategory]",Submission!$O:$O,Submission!$H:$N,""))</f>
        <v/>
      </c>
      <c r="D494" s="414"/>
      <c r="E494" s="414"/>
      <c r="F494" s="414"/>
      <c r="G494" s="364"/>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74" t="str">
        <f>_xlfn.CONCAT(_xlfn.XLOOKUP("[S05_DefaultValues][293][InstallationCategory]",Submission!$O:$O,Submission!$H:$N,""))</f>
        <v/>
      </c>
      <c r="D495" s="414"/>
      <c r="E495" s="414"/>
      <c r="F495" s="414"/>
      <c r="G495" s="364"/>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74" t="str">
        <f>_xlfn.CONCAT(_xlfn.XLOOKUP("[S05_DefaultValues][294][InstallationCategory]",Submission!$O:$O,Submission!$H:$N,""))</f>
        <v/>
      </c>
      <c r="D496" s="414"/>
      <c r="E496" s="414"/>
      <c r="F496" s="414"/>
      <c r="G496" s="364"/>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74" t="str">
        <f>_xlfn.CONCAT(_xlfn.XLOOKUP("[S05_DefaultValues][295][InstallationCategory]",Submission!$O:$O,Submission!$H:$N,""))</f>
        <v/>
      </c>
      <c r="D497" s="414"/>
      <c r="E497" s="414"/>
      <c r="F497" s="414"/>
      <c r="G497" s="364"/>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74" t="str">
        <f>_xlfn.CONCAT(_xlfn.XLOOKUP("[S05_DefaultValues][296][InstallationCategory]",Submission!$O:$O,Submission!$H:$N,""))</f>
        <v/>
      </c>
      <c r="D498" s="414"/>
      <c r="E498" s="414"/>
      <c r="F498" s="414"/>
      <c r="G498" s="364"/>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74" t="str">
        <f>_xlfn.CONCAT(_xlfn.XLOOKUP("[S05_DefaultValues][297][InstallationCategory]",Submission!$O:$O,Submission!$H:$N,""))</f>
        <v/>
      </c>
      <c r="D499" s="414"/>
      <c r="E499" s="414"/>
      <c r="F499" s="414"/>
      <c r="G499" s="364"/>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74" t="str">
        <f>_xlfn.CONCAT(_xlfn.XLOOKUP("[S05_DefaultValues][298][InstallationCategory]",Submission!$O:$O,Submission!$H:$N,""))</f>
        <v/>
      </c>
      <c r="D500" s="414"/>
      <c r="E500" s="414"/>
      <c r="F500" s="414"/>
      <c r="G500" s="364"/>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74" t="str">
        <f>_xlfn.CONCAT(_xlfn.XLOOKUP("[S05_DefaultValues][299][InstallationCategory]",Submission!$O:$O,Submission!$H:$N,""))</f>
        <v/>
      </c>
      <c r="D501" s="414"/>
      <c r="E501" s="414"/>
      <c r="F501" s="414"/>
      <c r="G501" s="364"/>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74" t="str">
        <f>_xlfn.CONCAT(_xlfn.XLOOKUP("[S05_DefaultValues][300][InstallationCategory]",Submission!$O:$O,Submission!$H:$N,""))</f>
        <v/>
      </c>
      <c r="D502" s="414"/>
      <c r="E502" s="414"/>
      <c r="F502" s="414"/>
      <c r="G502" s="364"/>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74" t="str">
        <f>_xlfn.CONCAT(_xlfn.XLOOKUP("[S05_DefaultValues][301][InstallationCategory]",Submission!$O:$O,Submission!$H:$N,""))</f>
        <v/>
      </c>
      <c r="D503" s="414"/>
      <c r="E503" s="414"/>
      <c r="F503" s="414"/>
      <c r="G503" s="364"/>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74" t="str">
        <f>_xlfn.CONCAT(_xlfn.XLOOKUP("[S05_DefaultValues][302][InstallationCategory]",Submission!$O:$O,Submission!$H:$N,""))</f>
        <v/>
      </c>
      <c r="D504" s="414"/>
      <c r="E504" s="414"/>
      <c r="F504" s="414"/>
      <c r="G504" s="364"/>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74" t="str">
        <f>_xlfn.CONCAT(_xlfn.XLOOKUP("[S05_DefaultValues][303][InstallationCategory]",Submission!$O:$O,Submission!$H:$N,""))</f>
        <v/>
      </c>
      <c r="D505" s="414"/>
      <c r="E505" s="414"/>
      <c r="F505" s="414"/>
      <c r="G505" s="364"/>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74" t="str">
        <f>_xlfn.CONCAT(_xlfn.XLOOKUP("[S05_DefaultValues][304][InstallationCategory]",Submission!$O:$O,Submission!$H:$N,""))</f>
        <v/>
      </c>
      <c r="D506" s="414"/>
      <c r="E506" s="414"/>
      <c r="F506" s="414"/>
      <c r="G506" s="364"/>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74" t="str">
        <f>_xlfn.CONCAT(_xlfn.XLOOKUP("[S05_DefaultValues][305][InstallationCategory]",Submission!$O:$O,Submission!$H:$N,""))</f>
        <v/>
      </c>
      <c r="D507" s="414"/>
      <c r="E507" s="414"/>
      <c r="F507" s="414"/>
      <c r="G507" s="364"/>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74" t="str">
        <f>_xlfn.CONCAT(_xlfn.XLOOKUP("[S05_DefaultValues][306][InstallationCategory]",Submission!$O:$O,Submission!$H:$N,""))</f>
        <v/>
      </c>
      <c r="D508" s="414"/>
      <c r="E508" s="414"/>
      <c r="F508" s="414"/>
      <c r="G508" s="364"/>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74" t="str">
        <f>_xlfn.CONCAT(_xlfn.XLOOKUP("[S05_DefaultValues][307][InstallationCategory]",Submission!$O:$O,Submission!$H:$N,""))</f>
        <v/>
      </c>
      <c r="D509" s="414"/>
      <c r="E509" s="414"/>
      <c r="F509" s="414"/>
      <c r="G509" s="364"/>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74" t="str">
        <f>_xlfn.CONCAT(_xlfn.XLOOKUP("[S05_DefaultValues][308][InstallationCategory]",Submission!$O:$O,Submission!$H:$N,""))</f>
        <v/>
      </c>
      <c r="D510" s="414"/>
      <c r="E510" s="414"/>
      <c r="F510" s="414"/>
      <c r="G510" s="364"/>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74" t="str">
        <f>_xlfn.CONCAT(_xlfn.XLOOKUP("[S05_DefaultValues][309][InstallationCategory]",Submission!$O:$O,Submission!$H:$N,""))</f>
        <v/>
      </c>
      <c r="D511" s="414"/>
      <c r="E511" s="414"/>
      <c r="F511" s="414"/>
      <c r="G511" s="364"/>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74" t="str">
        <f>_xlfn.CONCAT(_xlfn.XLOOKUP("[S05_DefaultValues][310][InstallationCategory]",Submission!$O:$O,Submission!$H:$N,""))</f>
        <v/>
      </c>
      <c r="D512" s="414"/>
      <c r="E512" s="414"/>
      <c r="F512" s="414"/>
      <c r="G512" s="364"/>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74" t="str">
        <f>_xlfn.CONCAT(_xlfn.XLOOKUP("[S05_DefaultValues][311][InstallationCategory]",Submission!$O:$O,Submission!$H:$N,""))</f>
        <v/>
      </c>
      <c r="D513" s="414"/>
      <c r="E513" s="414"/>
      <c r="F513" s="414"/>
      <c r="G513" s="364"/>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74" t="str">
        <f>_xlfn.CONCAT(_xlfn.XLOOKUP("[S05_DefaultValues][312][InstallationCategory]",Submission!$O:$O,Submission!$H:$N,""))</f>
        <v/>
      </c>
      <c r="D514" s="414"/>
      <c r="E514" s="414"/>
      <c r="F514" s="414"/>
      <c r="G514" s="364"/>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74" t="str">
        <f>_xlfn.CONCAT(_xlfn.XLOOKUP("[S05_DefaultValues][313][InstallationCategory]",Submission!$O:$O,Submission!$H:$N,""))</f>
        <v/>
      </c>
      <c r="D515" s="414"/>
      <c r="E515" s="414"/>
      <c r="F515" s="414"/>
      <c r="G515" s="364"/>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74" t="str">
        <f>_xlfn.CONCAT(_xlfn.XLOOKUP("[S05_DefaultValues][314][InstallationCategory]",Submission!$O:$O,Submission!$H:$N,""))</f>
        <v/>
      </c>
      <c r="D516" s="414"/>
      <c r="E516" s="414"/>
      <c r="F516" s="414"/>
      <c r="G516" s="364"/>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74" t="str">
        <f>_xlfn.CONCAT(_xlfn.XLOOKUP("[S05_DefaultValues][315][InstallationCategory]",Submission!$O:$O,Submission!$H:$N,""))</f>
        <v/>
      </c>
      <c r="D517" s="414"/>
      <c r="E517" s="414"/>
      <c r="F517" s="414"/>
      <c r="G517" s="364"/>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74" t="str">
        <f>_xlfn.CONCAT(_xlfn.XLOOKUP("[S05_DefaultValues][316][InstallationCategory]",Submission!$O:$O,Submission!$H:$N,""))</f>
        <v/>
      </c>
      <c r="D518" s="414"/>
      <c r="E518" s="414"/>
      <c r="F518" s="414"/>
      <c r="G518" s="364"/>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74" t="str">
        <f>_xlfn.CONCAT(_xlfn.XLOOKUP("[S05_DefaultValues][317][InstallationCategory]",Submission!$O:$O,Submission!$H:$N,""))</f>
        <v/>
      </c>
      <c r="D519" s="414"/>
      <c r="E519" s="414"/>
      <c r="F519" s="414"/>
      <c r="G519" s="364"/>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74" t="str">
        <f>_xlfn.CONCAT(_xlfn.XLOOKUP("[S05_DefaultValues][318][InstallationCategory]",Submission!$O:$O,Submission!$H:$N,""))</f>
        <v/>
      </c>
      <c r="D520" s="414"/>
      <c r="E520" s="414"/>
      <c r="F520" s="414"/>
      <c r="G520" s="364"/>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74" t="str">
        <f>_xlfn.CONCAT(_xlfn.XLOOKUP("[S05_DefaultValues][319][InstallationCategory]",Submission!$O:$O,Submission!$H:$N,""))</f>
        <v/>
      </c>
      <c r="D521" s="414"/>
      <c r="E521" s="414"/>
      <c r="F521" s="414"/>
      <c r="G521" s="364"/>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74" t="str">
        <f>_xlfn.CONCAT(_xlfn.XLOOKUP("[S05_DefaultValues][320][InstallationCategory]",Submission!$O:$O,Submission!$H:$N,""))</f>
        <v/>
      </c>
      <c r="D522" s="414"/>
      <c r="E522" s="414"/>
      <c r="F522" s="414"/>
      <c r="G522" s="364"/>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74" t="str">
        <f>_xlfn.CONCAT(_xlfn.XLOOKUP("[S05_DefaultValues][321][InstallationCategory]",Submission!$O:$O,Submission!$H:$N,""))</f>
        <v/>
      </c>
      <c r="D523" s="414"/>
      <c r="E523" s="414"/>
      <c r="F523" s="414"/>
      <c r="G523" s="364"/>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74" t="str">
        <f>_xlfn.CONCAT(_xlfn.XLOOKUP("[S05_DefaultValues][322][InstallationCategory]",Submission!$O:$O,Submission!$H:$N,""))</f>
        <v/>
      </c>
      <c r="D524" s="414"/>
      <c r="E524" s="414"/>
      <c r="F524" s="414"/>
      <c r="G524" s="364"/>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74" t="str">
        <f>_xlfn.CONCAT(_xlfn.XLOOKUP("[S05_DefaultValues][323][InstallationCategory]",Submission!$O:$O,Submission!$H:$N,""))</f>
        <v/>
      </c>
      <c r="D525" s="414"/>
      <c r="E525" s="414"/>
      <c r="F525" s="414"/>
      <c r="G525" s="364"/>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74" t="str">
        <f>_xlfn.CONCAT(_xlfn.XLOOKUP("[S05_DefaultValues][324][InstallationCategory]",Submission!$O:$O,Submission!$H:$N,""))</f>
        <v/>
      </c>
      <c r="D526" s="414"/>
      <c r="E526" s="414"/>
      <c r="F526" s="414"/>
      <c r="G526" s="364"/>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74" t="str">
        <f>_xlfn.CONCAT(_xlfn.XLOOKUP("[S05_DefaultValues][325][InstallationCategory]",Submission!$O:$O,Submission!$H:$N,""))</f>
        <v/>
      </c>
      <c r="D527" s="414"/>
      <c r="E527" s="414"/>
      <c r="F527" s="414"/>
      <c r="G527" s="364"/>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74" t="str">
        <f>_xlfn.CONCAT(_xlfn.XLOOKUP("[S05_DefaultValues][326][InstallationCategory]",Submission!$O:$O,Submission!$H:$N,""))</f>
        <v/>
      </c>
      <c r="D528" s="414"/>
      <c r="E528" s="414"/>
      <c r="F528" s="414"/>
      <c r="G528" s="364"/>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74" t="str">
        <f>_xlfn.CONCAT(_xlfn.XLOOKUP("[S05_DefaultValues][327][InstallationCategory]",Submission!$O:$O,Submission!$H:$N,""))</f>
        <v/>
      </c>
      <c r="D529" s="414"/>
      <c r="E529" s="414"/>
      <c r="F529" s="414"/>
      <c r="G529" s="364"/>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74" t="str">
        <f>_xlfn.CONCAT(_xlfn.XLOOKUP("[S05_DefaultValues][328][InstallationCategory]",Submission!$O:$O,Submission!$H:$N,""))</f>
        <v/>
      </c>
      <c r="D530" s="414"/>
      <c r="E530" s="414"/>
      <c r="F530" s="414"/>
      <c r="G530" s="364"/>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74" t="str">
        <f>_xlfn.CONCAT(_xlfn.XLOOKUP("[S05_DefaultValues][329][InstallationCategory]",Submission!$O:$O,Submission!$H:$N,""))</f>
        <v/>
      </c>
      <c r="D531" s="414"/>
      <c r="E531" s="414"/>
      <c r="F531" s="414"/>
      <c r="G531" s="364"/>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74" t="str">
        <f>_xlfn.CONCAT(_xlfn.XLOOKUP("[S05_DefaultValues][330][InstallationCategory]",Submission!$O:$O,Submission!$H:$N,""))</f>
        <v/>
      </c>
      <c r="D532" s="414"/>
      <c r="E532" s="414"/>
      <c r="F532" s="414"/>
      <c r="G532" s="364"/>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74" t="str">
        <f>_xlfn.CONCAT(_xlfn.XLOOKUP("[S05_DefaultValues][331][InstallationCategory]",Submission!$O:$O,Submission!$H:$N,""))</f>
        <v/>
      </c>
      <c r="D533" s="414"/>
      <c r="E533" s="414"/>
      <c r="F533" s="414"/>
      <c r="G533" s="364"/>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74" t="str">
        <f>_xlfn.CONCAT(_xlfn.XLOOKUP("[S05_DefaultValues][332][InstallationCategory]",Submission!$O:$O,Submission!$H:$N,""))</f>
        <v/>
      </c>
      <c r="D534" s="414"/>
      <c r="E534" s="414"/>
      <c r="F534" s="414"/>
      <c r="G534" s="364"/>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74" t="str">
        <f>_xlfn.CONCAT(_xlfn.XLOOKUP("[S05_DefaultValues][333][InstallationCategory]",Submission!$O:$O,Submission!$H:$N,""))</f>
        <v/>
      </c>
      <c r="D535" s="414"/>
      <c r="E535" s="414"/>
      <c r="F535" s="414"/>
      <c r="G535" s="364"/>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74" t="str">
        <f>_xlfn.CONCAT(_xlfn.XLOOKUP("[S05_DefaultValues][334][InstallationCategory]",Submission!$O:$O,Submission!$H:$N,""))</f>
        <v/>
      </c>
      <c r="D536" s="414"/>
      <c r="E536" s="414"/>
      <c r="F536" s="414"/>
      <c r="G536" s="364"/>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74" t="str">
        <f>_xlfn.CONCAT(_xlfn.XLOOKUP("[S05_DefaultValues][335][InstallationCategory]",Submission!$O:$O,Submission!$H:$N,""))</f>
        <v/>
      </c>
      <c r="D537" s="414"/>
      <c r="E537" s="414"/>
      <c r="F537" s="414"/>
      <c r="G537" s="364"/>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74" t="str">
        <f>_xlfn.CONCAT(_xlfn.XLOOKUP("[S05_DefaultValues][336][InstallationCategory]",Submission!$O:$O,Submission!$H:$N,""))</f>
        <v/>
      </c>
      <c r="D538" s="414"/>
      <c r="E538" s="414"/>
      <c r="F538" s="414"/>
      <c r="G538" s="364"/>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74" t="str">
        <f>_xlfn.CONCAT(_xlfn.XLOOKUP("[S05_DefaultValues][337][InstallationCategory]",Submission!$O:$O,Submission!$H:$N,""))</f>
        <v/>
      </c>
      <c r="D539" s="414"/>
      <c r="E539" s="414"/>
      <c r="F539" s="414"/>
      <c r="G539" s="364"/>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74" t="str">
        <f>_xlfn.CONCAT(_xlfn.XLOOKUP("[S05_DefaultValues][338][InstallationCategory]",Submission!$O:$O,Submission!$H:$N,""))</f>
        <v/>
      </c>
      <c r="D540" s="414"/>
      <c r="E540" s="414"/>
      <c r="F540" s="414"/>
      <c r="G540" s="364"/>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74" t="str">
        <f>_xlfn.CONCAT(_xlfn.XLOOKUP("[S05_DefaultValues][339][InstallationCategory]",Submission!$O:$O,Submission!$H:$N,""))</f>
        <v/>
      </c>
      <c r="D541" s="414"/>
      <c r="E541" s="414"/>
      <c r="F541" s="414"/>
      <c r="G541" s="364"/>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74" t="str">
        <f>_xlfn.CONCAT(_xlfn.XLOOKUP("[S05_DefaultValues][340][InstallationCategory]",Submission!$O:$O,Submission!$H:$N,""))</f>
        <v/>
      </c>
      <c r="D542" s="414"/>
      <c r="E542" s="414"/>
      <c r="F542" s="414"/>
      <c r="G542" s="364"/>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74" t="str">
        <f>_xlfn.CONCAT(_xlfn.XLOOKUP("[S05_DefaultValues][341][InstallationCategory]",Submission!$O:$O,Submission!$H:$N,""))</f>
        <v/>
      </c>
      <c r="D543" s="414"/>
      <c r="E543" s="414"/>
      <c r="F543" s="414"/>
      <c r="G543" s="364"/>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74" t="str">
        <f>_xlfn.CONCAT(_xlfn.XLOOKUP("[S05_DefaultValues][342][InstallationCategory]",Submission!$O:$O,Submission!$H:$N,""))</f>
        <v/>
      </c>
      <c r="D544" s="414"/>
      <c r="E544" s="414"/>
      <c r="F544" s="414"/>
      <c r="G544" s="364"/>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74" t="str">
        <f>_xlfn.CONCAT(_xlfn.XLOOKUP("[S05_DefaultValues][343][InstallationCategory]",Submission!$O:$O,Submission!$H:$N,""))</f>
        <v/>
      </c>
      <c r="D545" s="414"/>
      <c r="E545" s="414"/>
      <c r="F545" s="414"/>
      <c r="G545" s="364"/>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74" t="str">
        <f>_xlfn.CONCAT(_xlfn.XLOOKUP("[S05_DefaultValues][344][InstallationCategory]",Submission!$O:$O,Submission!$H:$N,""))</f>
        <v/>
      </c>
      <c r="D546" s="414"/>
      <c r="E546" s="414"/>
      <c r="F546" s="414"/>
      <c r="G546" s="364"/>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74" t="str">
        <f>_xlfn.CONCAT(_xlfn.XLOOKUP("[S05_DefaultValues][345][InstallationCategory]",Submission!$O:$O,Submission!$H:$N,""))</f>
        <v/>
      </c>
      <c r="D547" s="414"/>
      <c r="E547" s="414"/>
      <c r="F547" s="414"/>
      <c r="G547" s="364"/>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74" t="str">
        <f>_xlfn.CONCAT(_xlfn.XLOOKUP("[S05_DefaultValues][346][InstallationCategory]",Submission!$O:$O,Submission!$H:$N,""))</f>
        <v/>
      </c>
      <c r="D548" s="414"/>
      <c r="E548" s="414"/>
      <c r="F548" s="414"/>
      <c r="G548" s="364"/>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74" t="str">
        <f>_xlfn.CONCAT(_xlfn.XLOOKUP("[S05_DefaultValues][347][InstallationCategory]",Submission!$O:$O,Submission!$H:$N,""))</f>
        <v/>
      </c>
      <c r="D549" s="414"/>
      <c r="E549" s="414"/>
      <c r="F549" s="414"/>
      <c r="G549" s="364"/>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74" t="str">
        <f>_xlfn.CONCAT(_xlfn.XLOOKUP("[S05_DefaultValues][348][InstallationCategory]",Submission!$O:$O,Submission!$H:$N,""))</f>
        <v/>
      </c>
      <c r="D550" s="414"/>
      <c r="E550" s="414"/>
      <c r="F550" s="414"/>
      <c r="G550" s="364"/>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74" t="str">
        <f>_xlfn.CONCAT(_xlfn.XLOOKUP("[S05_DefaultValues][349][InstallationCategory]",Submission!$O:$O,Submission!$H:$N,""))</f>
        <v/>
      </c>
      <c r="D551" s="414"/>
      <c r="E551" s="414"/>
      <c r="F551" s="414"/>
      <c r="G551" s="364"/>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74" t="str">
        <f>_xlfn.CONCAT(_xlfn.XLOOKUP("[S05_DefaultValues][350][InstallationCategory]",Submission!$O:$O,Submission!$H:$N,""))</f>
        <v/>
      </c>
      <c r="D552" s="414"/>
      <c r="E552" s="414"/>
      <c r="F552" s="414"/>
      <c r="G552" s="364"/>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74" t="str">
        <f>_xlfn.CONCAT(_xlfn.XLOOKUP("[S05_DefaultValues][351][InstallationCategory]",Submission!$O:$O,Submission!$H:$N,""))</f>
        <v/>
      </c>
      <c r="D553" s="414"/>
      <c r="E553" s="414"/>
      <c r="F553" s="414"/>
      <c r="G553" s="364"/>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74" t="str">
        <f>_xlfn.CONCAT(_xlfn.XLOOKUP("[S05_DefaultValues][352][InstallationCategory]",Submission!$O:$O,Submission!$H:$N,""))</f>
        <v/>
      </c>
      <c r="D554" s="414"/>
      <c r="E554" s="414"/>
      <c r="F554" s="414"/>
      <c r="G554" s="364"/>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74" t="str">
        <f>_xlfn.CONCAT(_xlfn.XLOOKUP("[S05_DefaultValues][353][InstallationCategory]",Submission!$O:$O,Submission!$H:$N,""))</f>
        <v/>
      </c>
      <c r="D555" s="414"/>
      <c r="E555" s="414"/>
      <c r="F555" s="414"/>
      <c r="G555" s="364"/>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74" t="str">
        <f>_xlfn.CONCAT(_xlfn.XLOOKUP("[S05_DefaultValues][354][InstallationCategory]",Submission!$O:$O,Submission!$H:$N,""))</f>
        <v/>
      </c>
      <c r="D556" s="414"/>
      <c r="E556" s="414"/>
      <c r="F556" s="414"/>
      <c r="G556" s="364"/>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74" t="str">
        <f>_xlfn.CONCAT(_xlfn.XLOOKUP("[S05_DefaultValues][355][InstallationCategory]",Submission!$O:$O,Submission!$H:$N,""))</f>
        <v/>
      </c>
      <c r="D557" s="414"/>
      <c r="E557" s="414"/>
      <c r="F557" s="414"/>
      <c r="G557" s="364"/>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74" t="str">
        <f>_xlfn.CONCAT(_xlfn.XLOOKUP("[S05_DefaultValues][356][InstallationCategory]",Submission!$O:$O,Submission!$H:$N,""))</f>
        <v/>
      </c>
      <c r="D558" s="414"/>
      <c r="E558" s="414"/>
      <c r="F558" s="414"/>
      <c r="G558" s="364"/>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74" t="str">
        <f>_xlfn.CONCAT(_xlfn.XLOOKUP("[S05_DefaultValues][357][InstallationCategory]",Submission!$O:$O,Submission!$H:$N,""))</f>
        <v/>
      </c>
      <c r="D559" s="414"/>
      <c r="E559" s="414"/>
      <c r="F559" s="414"/>
      <c r="G559" s="364"/>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74" t="str">
        <f>_xlfn.CONCAT(_xlfn.XLOOKUP("[S05_DefaultValues][358][InstallationCategory]",Submission!$O:$O,Submission!$H:$N,""))</f>
        <v/>
      </c>
      <c r="D560" s="414"/>
      <c r="E560" s="414"/>
      <c r="F560" s="414"/>
      <c r="G560" s="364"/>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74" t="str">
        <f>_xlfn.CONCAT(_xlfn.XLOOKUP("[S05_DefaultValues][359][InstallationCategory]",Submission!$O:$O,Submission!$H:$N,""))</f>
        <v/>
      </c>
      <c r="D561" s="414"/>
      <c r="E561" s="414"/>
      <c r="F561" s="414"/>
      <c r="G561" s="364"/>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74" t="str">
        <f>_xlfn.CONCAT(_xlfn.XLOOKUP("[S05_DefaultValues][360][InstallationCategory]",Submission!$O:$O,Submission!$H:$N,""))</f>
        <v/>
      </c>
      <c r="D562" s="414"/>
      <c r="E562" s="414"/>
      <c r="F562" s="414"/>
      <c r="G562" s="364"/>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74" t="str">
        <f>_xlfn.CONCAT(_xlfn.XLOOKUP("[S05_DefaultValues][361][InstallationCategory]",Submission!$O:$O,Submission!$H:$N,""))</f>
        <v/>
      </c>
      <c r="D563" s="414"/>
      <c r="E563" s="414"/>
      <c r="F563" s="414"/>
      <c r="G563" s="364"/>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74" t="str">
        <f>_xlfn.CONCAT(_xlfn.XLOOKUP("[S05_DefaultValues][362][InstallationCategory]",Submission!$O:$O,Submission!$H:$N,""))</f>
        <v/>
      </c>
      <c r="D564" s="414"/>
      <c r="E564" s="414"/>
      <c r="F564" s="414"/>
      <c r="G564" s="364"/>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74" t="str">
        <f>_xlfn.CONCAT(_xlfn.XLOOKUP("[S05_DefaultValues][363][InstallationCategory]",Submission!$O:$O,Submission!$H:$N,""))</f>
        <v/>
      </c>
      <c r="D565" s="414"/>
      <c r="E565" s="414"/>
      <c r="F565" s="414"/>
      <c r="G565" s="364"/>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74" t="str">
        <f>_xlfn.CONCAT(_xlfn.XLOOKUP("[S05_DefaultValues][364][InstallationCategory]",Submission!$O:$O,Submission!$H:$N,""))</f>
        <v/>
      </c>
      <c r="D566" s="414"/>
      <c r="E566" s="414"/>
      <c r="F566" s="414"/>
      <c r="G566" s="364"/>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74" t="str">
        <f>_xlfn.CONCAT(_xlfn.XLOOKUP("[S05_DefaultValues][365][InstallationCategory]",Submission!$O:$O,Submission!$H:$N,""))</f>
        <v/>
      </c>
      <c r="D567" s="414"/>
      <c r="E567" s="414"/>
      <c r="F567" s="414"/>
      <c r="G567" s="364"/>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74" t="str">
        <f>_xlfn.CONCAT(_xlfn.XLOOKUP("[S05_DefaultValues][366][InstallationCategory]",Submission!$O:$O,Submission!$H:$N,""))</f>
        <v/>
      </c>
      <c r="D568" s="414"/>
      <c r="E568" s="414"/>
      <c r="F568" s="414"/>
      <c r="G568" s="364"/>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74" t="str">
        <f>_xlfn.CONCAT(_xlfn.XLOOKUP("[S05_DefaultValues][367][InstallationCategory]",Submission!$O:$O,Submission!$H:$N,""))</f>
        <v/>
      </c>
      <c r="D569" s="414"/>
      <c r="E569" s="414"/>
      <c r="F569" s="414"/>
      <c r="G569" s="364"/>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74" t="str">
        <f>_xlfn.CONCAT(_xlfn.XLOOKUP("[S05_DefaultValues][368][InstallationCategory]",Submission!$O:$O,Submission!$H:$N,""))</f>
        <v/>
      </c>
      <c r="D570" s="414"/>
      <c r="E570" s="414"/>
      <c r="F570" s="414"/>
      <c r="G570" s="364"/>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74" t="str">
        <f>_xlfn.CONCAT(_xlfn.XLOOKUP("[S05_DefaultValues][369][InstallationCategory]",Submission!$O:$O,Submission!$H:$N,""))</f>
        <v/>
      </c>
      <c r="D571" s="414"/>
      <c r="E571" s="414"/>
      <c r="F571" s="414"/>
      <c r="G571" s="364"/>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74" t="str">
        <f>_xlfn.CONCAT(_xlfn.XLOOKUP("[S05_DefaultValues][370][InstallationCategory]",Submission!$O:$O,Submission!$H:$N,""))</f>
        <v/>
      </c>
      <c r="D572" s="414"/>
      <c r="E572" s="414"/>
      <c r="F572" s="414"/>
      <c r="G572" s="364"/>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74" t="str">
        <f>_xlfn.CONCAT(_xlfn.XLOOKUP("[S05_DefaultValues][371][InstallationCategory]",Submission!$O:$O,Submission!$H:$N,""))</f>
        <v/>
      </c>
      <c r="D573" s="414"/>
      <c r="E573" s="414"/>
      <c r="F573" s="414"/>
      <c r="G573" s="364"/>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74" t="str">
        <f>_xlfn.CONCAT(_xlfn.XLOOKUP("[S05_DefaultValues][372][InstallationCategory]",Submission!$O:$O,Submission!$H:$N,""))</f>
        <v/>
      </c>
      <c r="D574" s="414"/>
      <c r="E574" s="414"/>
      <c r="F574" s="414"/>
      <c r="G574" s="364"/>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74" t="str">
        <f>_xlfn.CONCAT(_xlfn.XLOOKUP("[S05_DefaultValues][373][InstallationCategory]",Submission!$O:$O,Submission!$H:$N,""))</f>
        <v/>
      </c>
      <c r="D575" s="414"/>
      <c r="E575" s="414"/>
      <c r="F575" s="414"/>
      <c r="G575" s="364"/>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74" t="str">
        <f>_xlfn.CONCAT(_xlfn.XLOOKUP("[S05_DefaultValues][374][InstallationCategory]",Submission!$O:$O,Submission!$H:$N,""))</f>
        <v/>
      </c>
      <c r="D576" s="414"/>
      <c r="E576" s="414"/>
      <c r="F576" s="414"/>
      <c r="G576" s="364"/>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74" t="str">
        <f>_xlfn.CONCAT(_xlfn.XLOOKUP("[S05_DefaultValues][375][InstallationCategory]",Submission!$O:$O,Submission!$H:$N,""))</f>
        <v/>
      </c>
      <c r="D577" s="414"/>
      <c r="E577" s="414"/>
      <c r="F577" s="414"/>
      <c r="G577" s="364"/>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74" t="str">
        <f>_xlfn.CONCAT(_xlfn.XLOOKUP("[S05_DefaultValues][376][InstallationCategory]",Submission!$O:$O,Submission!$H:$N,""))</f>
        <v/>
      </c>
      <c r="D578" s="414"/>
      <c r="E578" s="414"/>
      <c r="F578" s="414"/>
      <c r="G578" s="364"/>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74" t="str">
        <f>_xlfn.CONCAT(_xlfn.XLOOKUP("[S05_DefaultValues][377][InstallationCategory]",Submission!$O:$O,Submission!$H:$N,""))</f>
        <v/>
      </c>
      <c r="D579" s="414"/>
      <c r="E579" s="414"/>
      <c r="F579" s="414"/>
      <c r="G579" s="364"/>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74" t="str">
        <f>_xlfn.CONCAT(_xlfn.XLOOKUP("[S05_DefaultValues][378][InstallationCategory]",Submission!$O:$O,Submission!$H:$N,""))</f>
        <v/>
      </c>
      <c r="D580" s="414"/>
      <c r="E580" s="414"/>
      <c r="F580" s="414"/>
      <c r="G580" s="364"/>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74" t="str">
        <f>_xlfn.CONCAT(_xlfn.XLOOKUP("[S05_DefaultValues][379][InstallationCategory]",Submission!$O:$O,Submission!$H:$N,""))</f>
        <v/>
      </c>
      <c r="D581" s="414"/>
      <c r="E581" s="414"/>
      <c r="F581" s="414"/>
      <c r="G581" s="364"/>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74" t="str">
        <f>_xlfn.CONCAT(_xlfn.XLOOKUP("[S05_DefaultValues][380][InstallationCategory]",Submission!$O:$O,Submission!$H:$N,""))</f>
        <v/>
      </c>
      <c r="D582" s="414"/>
      <c r="E582" s="414"/>
      <c r="F582" s="414"/>
      <c r="G582" s="364"/>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74" t="str">
        <f>_xlfn.CONCAT(_xlfn.XLOOKUP("[S05_DefaultValues][381][InstallationCategory]",Submission!$O:$O,Submission!$H:$N,""))</f>
        <v/>
      </c>
      <c r="D583" s="414"/>
      <c r="E583" s="414"/>
      <c r="F583" s="414"/>
      <c r="G583" s="364"/>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74" t="str">
        <f>_xlfn.CONCAT(_xlfn.XLOOKUP("[S05_DefaultValues][382][InstallationCategory]",Submission!$O:$O,Submission!$H:$N,""))</f>
        <v/>
      </c>
      <c r="D584" s="414"/>
      <c r="E584" s="414"/>
      <c r="F584" s="414"/>
      <c r="G584" s="364"/>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74" t="str">
        <f>_xlfn.CONCAT(_xlfn.XLOOKUP("[S05_DefaultValues][383][InstallationCategory]",Submission!$O:$O,Submission!$H:$N,""))</f>
        <v/>
      </c>
      <c r="D585" s="414"/>
      <c r="E585" s="414"/>
      <c r="F585" s="414"/>
      <c r="G585" s="364"/>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74" t="str">
        <f>_xlfn.CONCAT(_xlfn.XLOOKUP("[S05_DefaultValues][384][InstallationCategory]",Submission!$O:$O,Submission!$H:$N,""))</f>
        <v/>
      </c>
      <c r="D586" s="414"/>
      <c r="E586" s="414"/>
      <c r="F586" s="414"/>
      <c r="G586" s="364"/>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74" t="str">
        <f>_xlfn.CONCAT(_xlfn.XLOOKUP("[S05_DefaultValues][385][InstallationCategory]",Submission!$O:$O,Submission!$H:$N,""))</f>
        <v/>
      </c>
      <c r="D587" s="414"/>
      <c r="E587" s="414"/>
      <c r="F587" s="414"/>
      <c r="G587" s="364"/>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74" t="str">
        <f>_xlfn.CONCAT(_xlfn.XLOOKUP("[S05_DefaultValues][386][InstallationCategory]",Submission!$O:$O,Submission!$H:$N,""))</f>
        <v/>
      </c>
      <c r="D588" s="414"/>
      <c r="E588" s="414"/>
      <c r="F588" s="414"/>
      <c r="G588" s="364"/>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74" t="str">
        <f>_xlfn.CONCAT(_xlfn.XLOOKUP("[S05_DefaultValues][387][InstallationCategory]",Submission!$O:$O,Submission!$H:$N,""))</f>
        <v/>
      </c>
      <c r="D589" s="414"/>
      <c r="E589" s="414"/>
      <c r="F589" s="414"/>
      <c r="G589" s="364"/>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74" t="str">
        <f>_xlfn.CONCAT(_xlfn.XLOOKUP("[S05_DefaultValues][388][InstallationCategory]",Submission!$O:$O,Submission!$H:$N,""))</f>
        <v/>
      </c>
      <c r="D590" s="414"/>
      <c r="E590" s="414"/>
      <c r="F590" s="414"/>
      <c r="G590" s="364"/>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74" t="str">
        <f>_xlfn.CONCAT(_xlfn.XLOOKUP("[S05_DefaultValues][389][InstallationCategory]",Submission!$O:$O,Submission!$H:$N,""))</f>
        <v/>
      </c>
      <c r="D591" s="414"/>
      <c r="E591" s="414"/>
      <c r="F591" s="414"/>
      <c r="G591" s="364"/>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74" t="str">
        <f>_xlfn.CONCAT(_xlfn.XLOOKUP("[S05_DefaultValues][390][InstallationCategory]",Submission!$O:$O,Submission!$H:$N,""))</f>
        <v/>
      </c>
      <c r="D592" s="414"/>
      <c r="E592" s="414"/>
      <c r="F592" s="414"/>
      <c r="G592" s="364"/>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74" t="str">
        <f>_xlfn.CONCAT(_xlfn.XLOOKUP("[S05_DefaultValues][391][InstallationCategory]",Submission!$O:$O,Submission!$H:$N,""))</f>
        <v/>
      </c>
      <c r="D593" s="414"/>
      <c r="E593" s="414"/>
      <c r="F593" s="414"/>
      <c r="G593" s="364"/>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74" t="str">
        <f>_xlfn.CONCAT(_xlfn.XLOOKUP("[S05_DefaultValues][392][InstallationCategory]",Submission!$O:$O,Submission!$H:$N,""))</f>
        <v/>
      </c>
      <c r="D594" s="414"/>
      <c r="E594" s="414"/>
      <c r="F594" s="414"/>
      <c r="G594" s="364"/>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74" t="str">
        <f>_xlfn.CONCAT(_xlfn.XLOOKUP("[S05_DefaultValues][393][InstallationCategory]",Submission!$O:$O,Submission!$H:$N,""))</f>
        <v/>
      </c>
      <c r="D595" s="414"/>
      <c r="E595" s="414"/>
      <c r="F595" s="414"/>
      <c r="G595" s="364"/>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74" t="str">
        <f>_xlfn.CONCAT(_xlfn.XLOOKUP("[S05_DefaultValues][394][InstallationCategory]",Submission!$O:$O,Submission!$H:$N,""))</f>
        <v/>
      </c>
      <c r="D596" s="414"/>
      <c r="E596" s="414"/>
      <c r="F596" s="414"/>
      <c r="G596" s="364"/>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74" t="str">
        <f>_xlfn.CONCAT(_xlfn.XLOOKUP("[S05_DefaultValues][395][InstallationCategory]",Submission!$O:$O,Submission!$H:$N,""))</f>
        <v/>
      </c>
      <c r="D597" s="414"/>
      <c r="E597" s="414"/>
      <c r="F597" s="414"/>
      <c r="G597" s="364"/>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74" t="str">
        <f>_xlfn.CONCAT(_xlfn.XLOOKUP("[S05_DefaultValues][396][InstallationCategory]",Submission!$O:$O,Submission!$H:$N,""))</f>
        <v/>
      </c>
      <c r="D598" s="414"/>
      <c r="E598" s="414"/>
      <c r="F598" s="414"/>
      <c r="G598" s="364"/>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74" t="str">
        <f>_xlfn.CONCAT(_xlfn.XLOOKUP("[S05_DefaultValues][397][InstallationCategory]",Submission!$O:$O,Submission!$H:$N,""))</f>
        <v/>
      </c>
      <c r="D599" s="414"/>
      <c r="E599" s="414"/>
      <c r="F599" s="414"/>
      <c r="G599" s="364"/>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74" t="str">
        <f>_xlfn.CONCAT(_xlfn.XLOOKUP("[S05_DefaultValues][398][InstallationCategory]",Submission!$O:$O,Submission!$H:$N,""))</f>
        <v/>
      </c>
      <c r="D600" s="414"/>
      <c r="E600" s="414"/>
      <c r="F600" s="414"/>
      <c r="G600" s="364"/>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74" t="str">
        <f>_xlfn.CONCAT(_xlfn.XLOOKUP("[S05_DefaultValues][399][InstallationCategory]",Submission!$O:$O,Submission!$H:$N,""))</f>
        <v/>
      </c>
      <c r="D601" s="414"/>
      <c r="E601" s="414"/>
      <c r="F601" s="414"/>
      <c r="G601" s="364"/>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74" t="str">
        <f>_xlfn.CONCAT(_xlfn.XLOOKUP("[S05_DefaultValues][400][InstallationCategory]",Submission!$O:$O,Submission!$H:$N,""))</f>
        <v/>
      </c>
      <c r="D602" s="414"/>
      <c r="E602" s="414"/>
      <c r="F602" s="414"/>
      <c r="G602" s="364"/>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74" t="str">
        <f>_xlfn.CONCAT(_xlfn.XLOOKUP("[S05_DefaultValues][401][InstallationCategory]",Submission!$O:$O,Submission!$H:$N,""))</f>
        <v/>
      </c>
      <c r="D603" s="414"/>
      <c r="E603" s="414"/>
      <c r="F603" s="414"/>
      <c r="G603" s="364"/>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74" t="str">
        <f>_xlfn.CONCAT(_xlfn.XLOOKUP("[S05_DefaultValues][402][InstallationCategory]",Submission!$O:$O,Submission!$H:$N,""))</f>
        <v/>
      </c>
      <c r="D604" s="414"/>
      <c r="E604" s="414"/>
      <c r="F604" s="414"/>
      <c r="G604" s="364"/>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74" t="str">
        <f>_xlfn.CONCAT(_xlfn.XLOOKUP("[S05_DefaultValues][403][InstallationCategory]",Submission!$O:$O,Submission!$H:$N,""))</f>
        <v/>
      </c>
      <c r="D605" s="414"/>
      <c r="E605" s="414"/>
      <c r="F605" s="414"/>
      <c r="G605" s="364"/>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74" t="str">
        <f>_xlfn.CONCAT(_xlfn.XLOOKUP("[S05_DefaultValues][404][InstallationCategory]",Submission!$O:$O,Submission!$H:$N,""))</f>
        <v/>
      </c>
      <c r="D606" s="414"/>
      <c r="E606" s="414"/>
      <c r="F606" s="414"/>
      <c r="G606" s="364"/>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74" t="str">
        <f>_xlfn.CONCAT(_xlfn.XLOOKUP("[S05_DefaultValues][405][InstallationCategory]",Submission!$O:$O,Submission!$H:$N,""))</f>
        <v/>
      </c>
      <c r="D607" s="414"/>
      <c r="E607" s="414"/>
      <c r="F607" s="414"/>
      <c r="G607" s="364"/>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74" t="str">
        <f>_xlfn.CONCAT(_xlfn.XLOOKUP("[S05_DefaultValues][406][InstallationCategory]",Submission!$O:$O,Submission!$H:$N,""))</f>
        <v/>
      </c>
      <c r="D608" s="414"/>
      <c r="E608" s="414"/>
      <c r="F608" s="414"/>
      <c r="G608" s="364"/>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74" t="str">
        <f>_xlfn.CONCAT(_xlfn.XLOOKUP("[S05_DefaultValues][407][InstallationCategory]",Submission!$O:$O,Submission!$H:$N,""))</f>
        <v/>
      </c>
      <c r="D609" s="414"/>
      <c r="E609" s="414"/>
      <c r="F609" s="414"/>
      <c r="G609" s="364"/>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74" t="str">
        <f>_xlfn.CONCAT(_xlfn.XLOOKUP("[S05_DefaultValues][408][InstallationCategory]",Submission!$O:$O,Submission!$H:$N,""))</f>
        <v/>
      </c>
      <c r="D610" s="414"/>
      <c r="E610" s="414"/>
      <c r="F610" s="414"/>
      <c r="G610" s="364"/>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74" t="str">
        <f>_xlfn.CONCAT(_xlfn.XLOOKUP("[S05_DefaultValues][409][InstallationCategory]",Submission!$O:$O,Submission!$H:$N,""))</f>
        <v/>
      </c>
      <c r="D611" s="414"/>
      <c r="E611" s="414"/>
      <c r="F611" s="414"/>
      <c r="G611" s="364"/>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74" t="str">
        <f>_xlfn.CONCAT(_xlfn.XLOOKUP("[S05_DefaultValues][410][InstallationCategory]",Submission!$O:$O,Submission!$H:$N,""))</f>
        <v/>
      </c>
      <c r="D612" s="414"/>
      <c r="E612" s="414"/>
      <c r="F612" s="414"/>
      <c r="G612" s="364"/>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74" t="str">
        <f>_xlfn.CONCAT(_xlfn.XLOOKUP("[S05_DefaultValues][411][InstallationCategory]",Submission!$O:$O,Submission!$H:$N,""))</f>
        <v/>
      </c>
      <c r="D613" s="414"/>
      <c r="E613" s="414"/>
      <c r="F613" s="414"/>
      <c r="G613" s="364"/>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74" t="str">
        <f>_xlfn.CONCAT(_xlfn.XLOOKUP("[S05_DefaultValues][412][InstallationCategory]",Submission!$O:$O,Submission!$H:$N,""))</f>
        <v/>
      </c>
      <c r="D614" s="414"/>
      <c r="E614" s="414"/>
      <c r="F614" s="414"/>
      <c r="G614" s="364"/>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74" t="str">
        <f>_xlfn.CONCAT(_xlfn.XLOOKUP("[S05_DefaultValues][413][InstallationCategory]",Submission!$O:$O,Submission!$H:$N,""))</f>
        <v/>
      </c>
      <c r="D615" s="414"/>
      <c r="E615" s="414"/>
      <c r="F615" s="414"/>
      <c r="G615" s="364"/>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74" t="str">
        <f>_xlfn.CONCAT(_xlfn.XLOOKUP("[S05_DefaultValues][414][InstallationCategory]",Submission!$O:$O,Submission!$H:$N,""))</f>
        <v/>
      </c>
      <c r="D616" s="414"/>
      <c r="E616" s="414"/>
      <c r="F616" s="414"/>
      <c r="G616" s="364"/>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74" t="str">
        <f>_xlfn.CONCAT(_xlfn.XLOOKUP("[S05_DefaultValues][415][InstallationCategory]",Submission!$O:$O,Submission!$H:$N,""))</f>
        <v/>
      </c>
      <c r="D617" s="414"/>
      <c r="E617" s="414"/>
      <c r="F617" s="414"/>
      <c r="G617" s="364"/>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74" t="str">
        <f>_xlfn.CONCAT(_xlfn.XLOOKUP("[S05_DefaultValues][416][InstallationCategory]",Submission!$O:$O,Submission!$H:$N,""))</f>
        <v/>
      </c>
      <c r="D618" s="414"/>
      <c r="E618" s="414"/>
      <c r="F618" s="414"/>
      <c r="G618" s="364"/>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74" t="str">
        <f>_xlfn.CONCAT(_xlfn.XLOOKUP("[S05_DefaultValues][417][InstallationCategory]",Submission!$O:$O,Submission!$H:$N,""))</f>
        <v/>
      </c>
      <c r="D619" s="414"/>
      <c r="E619" s="414"/>
      <c r="F619" s="414"/>
      <c r="G619" s="364"/>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74" t="str">
        <f>_xlfn.CONCAT(_xlfn.XLOOKUP("[S05_DefaultValues][418][InstallationCategory]",Submission!$O:$O,Submission!$H:$N,""))</f>
        <v/>
      </c>
      <c r="D620" s="414"/>
      <c r="E620" s="414"/>
      <c r="F620" s="414"/>
      <c r="G620" s="364"/>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74" t="str">
        <f>_xlfn.CONCAT(_xlfn.XLOOKUP("[S05_DefaultValues][419][InstallationCategory]",Submission!$O:$O,Submission!$H:$N,""))</f>
        <v/>
      </c>
      <c r="D621" s="414"/>
      <c r="E621" s="414"/>
      <c r="F621" s="414"/>
      <c r="G621" s="364"/>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74" t="str">
        <f>_xlfn.CONCAT(_xlfn.XLOOKUP("[S05_DefaultValues][420][InstallationCategory]",Submission!$O:$O,Submission!$H:$N,""))</f>
        <v/>
      </c>
      <c r="D622" s="414"/>
      <c r="E622" s="414"/>
      <c r="F622" s="414"/>
      <c r="G622" s="364"/>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74" t="str">
        <f>_xlfn.CONCAT(_xlfn.XLOOKUP("[S05_DefaultValues][421][InstallationCategory]",Submission!$O:$O,Submission!$H:$N,""))</f>
        <v/>
      </c>
      <c r="D623" s="414"/>
      <c r="E623" s="414"/>
      <c r="F623" s="414"/>
      <c r="G623" s="364"/>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74" t="str">
        <f>_xlfn.CONCAT(_xlfn.XLOOKUP("[S05_DefaultValues][422][InstallationCategory]",Submission!$O:$O,Submission!$H:$N,""))</f>
        <v/>
      </c>
      <c r="D624" s="414"/>
      <c r="E624" s="414"/>
      <c r="F624" s="414"/>
      <c r="G624" s="364"/>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74" t="str">
        <f>_xlfn.CONCAT(_xlfn.XLOOKUP("[S05_DefaultValues][423][InstallationCategory]",Submission!$O:$O,Submission!$H:$N,""))</f>
        <v/>
      </c>
      <c r="D625" s="414"/>
      <c r="E625" s="414"/>
      <c r="F625" s="414"/>
      <c r="G625" s="364"/>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74" t="str">
        <f>_xlfn.CONCAT(_xlfn.XLOOKUP("[S05_DefaultValues][424][InstallationCategory]",Submission!$O:$O,Submission!$H:$N,""))</f>
        <v/>
      </c>
      <c r="D626" s="414"/>
      <c r="E626" s="414"/>
      <c r="F626" s="414"/>
      <c r="G626" s="364"/>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74" t="str">
        <f>_xlfn.CONCAT(_xlfn.XLOOKUP("[S05_DefaultValues][425][InstallationCategory]",Submission!$O:$O,Submission!$H:$N,""))</f>
        <v/>
      </c>
      <c r="D627" s="414"/>
      <c r="E627" s="414"/>
      <c r="F627" s="414"/>
      <c r="G627" s="364"/>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74" t="str">
        <f>_xlfn.CONCAT(_xlfn.XLOOKUP("[S05_DefaultValues][426][InstallationCategory]",Submission!$O:$O,Submission!$H:$N,""))</f>
        <v/>
      </c>
      <c r="D628" s="414"/>
      <c r="E628" s="414"/>
      <c r="F628" s="414"/>
      <c r="G628" s="364"/>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74" t="str">
        <f>_xlfn.CONCAT(_xlfn.XLOOKUP("[S05_DefaultValues][427][InstallationCategory]",Submission!$O:$O,Submission!$H:$N,""))</f>
        <v/>
      </c>
      <c r="D629" s="414"/>
      <c r="E629" s="414"/>
      <c r="F629" s="414"/>
      <c r="G629" s="364"/>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74" t="str">
        <f>_xlfn.CONCAT(_xlfn.XLOOKUP("[S05_DefaultValues][428][InstallationCategory]",Submission!$O:$O,Submission!$H:$N,""))</f>
        <v/>
      </c>
      <c r="D630" s="414"/>
      <c r="E630" s="414"/>
      <c r="F630" s="414"/>
      <c r="G630" s="364"/>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74" t="str">
        <f>_xlfn.CONCAT(_xlfn.XLOOKUP("[S05_DefaultValues][429][InstallationCategory]",Submission!$O:$O,Submission!$H:$N,""))</f>
        <v/>
      </c>
      <c r="D631" s="414"/>
      <c r="E631" s="414"/>
      <c r="F631" s="414"/>
      <c r="G631" s="364"/>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74" t="str">
        <f>_xlfn.CONCAT(_xlfn.XLOOKUP("[S05_DefaultValues][430][InstallationCategory]",Submission!$O:$O,Submission!$H:$N,""))</f>
        <v/>
      </c>
      <c r="D632" s="414"/>
      <c r="E632" s="414"/>
      <c r="F632" s="414"/>
      <c r="G632" s="364"/>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74" t="str">
        <f>_xlfn.CONCAT(_xlfn.XLOOKUP("[S05_DefaultValues][431][InstallationCategory]",Submission!$O:$O,Submission!$H:$N,""))</f>
        <v/>
      </c>
      <c r="D633" s="414"/>
      <c r="E633" s="414"/>
      <c r="F633" s="414"/>
      <c r="G633" s="364"/>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74" t="str">
        <f>_xlfn.CONCAT(_xlfn.XLOOKUP("[S05_DefaultValues][432][InstallationCategory]",Submission!$O:$O,Submission!$H:$N,""))</f>
        <v/>
      </c>
      <c r="D634" s="414"/>
      <c r="E634" s="414"/>
      <c r="F634" s="414"/>
      <c r="G634" s="364"/>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74" t="str">
        <f>_xlfn.CONCAT(_xlfn.XLOOKUP("[S05_DefaultValues][433][InstallationCategory]",Submission!$O:$O,Submission!$H:$N,""))</f>
        <v/>
      </c>
      <c r="D635" s="414"/>
      <c r="E635" s="414"/>
      <c r="F635" s="414"/>
      <c r="G635" s="364"/>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74" t="str">
        <f>_xlfn.CONCAT(_xlfn.XLOOKUP("[S05_DefaultValues][434][InstallationCategory]",Submission!$O:$O,Submission!$H:$N,""))</f>
        <v/>
      </c>
      <c r="D636" s="414"/>
      <c r="E636" s="414"/>
      <c r="F636" s="414"/>
      <c r="G636" s="364"/>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74" t="str">
        <f>_xlfn.CONCAT(_xlfn.XLOOKUP("[S05_DefaultValues][435][InstallationCategory]",Submission!$O:$O,Submission!$H:$N,""))</f>
        <v/>
      </c>
      <c r="D637" s="414"/>
      <c r="E637" s="414"/>
      <c r="F637" s="414"/>
      <c r="G637" s="364"/>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74" t="str">
        <f>_xlfn.CONCAT(_xlfn.XLOOKUP("[S05_DefaultValues][436][InstallationCategory]",Submission!$O:$O,Submission!$H:$N,""))</f>
        <v/>
      </c>
      <c r="D638" s="414"/>
      <c r="E638" s="414"/>
      <c r="F638" s="414"/>
      <c r="G638" s="364"/>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74" t="str">
        <f>_xlfn.CONCAT(_xlfn.XLOOKUP("[S05_DefaultValues][437][InstallationCategory]",Submission!$O:$O,Submission!$H:$N,""))</f>
        <v/>
      </c>
      <c r="D639" s="414"/>
      <c r="E639" s="414"/>
      <c r="F639" s="414"/>
      <c r="G639" s="364"/>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74" t="str">
        <f>_xlfn.CONCAT(_xlfn.XLOOKUP("[S05_DefaultValues][438][InstallationCategory]",Submission!$O:$O,Submission!$H:$N,""))</f>
        <v/>
      </c>
      <c r="D640" s="414"/>
      <c r="E640" s="414"/>
      <c r="F640" s="414"/>
      <c r="G640" s="364"/>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74" t="str">
        <f>_xlfn.CONCAT(_xlfn.XLOOKUP("[S05_DefaultValues][439][InstallationCategory]",Submission!$O:$O,Submission!$H:$N,""))</f>
        <v/>
      </c>
      <c r="D641" s="414"/>
      <c r="E641" s="414"/>
      <c r="F641" s="414"/>
      <c r="G641" s="364"/>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74" t="str">
        <f>_xlfn.CONCAT(_xlfn.XLOOKUP("[S05_DefaultValues][440][InstallationCategory]",Submission!$O:$O,Submission!$H:$N,""))</f>
        <v/>
      </c>
      <c r="D642" s="414"/>
      <c r="E642" s="414"/>
      <c r="F642" s="414"/>
      <c r="G642" s="364"/>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74" t="str">
        <f>_xlfn.CONCAT(_xlfn.XLOOKUP("[S05_DefaultValues][441][InstallationCategory]",Submission!$O:$O,Submission!$H:$N,""))</f>
        <v/>
      </c>
      <c r="D643" s="414"/>
      <c r="E643" s="414"/>
      <c r="F643" s="414"/>
      <c r="G643" s="364"/>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74" t="str">
        <f>_xlfn.CONCAT(_xlfn.XLOOKUP("[S05_DefaultValues][442][InstallationCategory]",Submission!$O:$O,Submission!$H:$N,""))</f>
        <v/>
      </c>
      <c r="D644" s="414"/>
      <c r="E644" s="414"/>
      <c r="F644" s="414"/>
      <c r="G644" s="364"/>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74" t="str">
        <f>_xlfn.CONCAT(_xlfn.XLOOKUP("[S05_DefaultValues][443][InstallationCategory]",Submission!$O:$O,Submission!$H:$N,""))</f>
        <v/>
      </c>
      <c r="D645" s="414"/>
      <c r="E645" s="414"/>
      <c r="F645" s="414"/>
      <c r="G645" s="364"/>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74" t="str">
        <f>_xlfn.CONCAT(_xlfn.XLOOKUP("[S05_DefaultValues][444][InstallationCategory]",Submission!$O:$O,Submission!$H:$N,""))</f>
        <v/>
      </c>
      <c r="D646" s="414"/>
      <c r="E646" s="414"/>
      <c r="F646" s="414"/>
      <c r="G646" s="364"/>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74" t="str">
        <f>_xlfn.CONCAT(_xlfn.XLOOKUP("[S05_DefaultValues][445][InstallationCategory]",Submission!$O:$O,Submission!$H:$N,""))</f>
        <v/>
      </c>
      <c r="D647" s="414"/>
      <c r="E647" s="414"/>
      <c r="F647" s="414"/>
      <c r="G647" s="364"/>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74" t="str">
        <f>_xlfn.CONCAT(_xlfn.XLOOKUP("[S05_DefaultValues][446][InstallationCategory]",Submission!$O:$O,Submission!$H:$N,""))</f>
        <v/>
      </c>
      <c r="D648" s="414"/>
      <c r="E648" s="414"/>
      <c r="F648" s="414"/>
      <c r="G648" s="364"/>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74" t="str">
        <f>_xlfn.CONCAT(_xlfn.XLOOKUP("[S05_DefaultValues][447][InstallationCategory]",Submission!$O:$O,Submission!$H:$N,""))</f>
        <v/>
      </c>
      <c r="D649" s="414"/>
      <c r="E649" s="414"/>
      <c r="F649" s="414"/>
      <c r="G649" s="364"/>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74" t="str">
        <f>_xlfn.CONCAT(_xlfn.XLOOKUP("[S05_DefaultValues][448][InstallationCategory]",Submission!$O:$O,Submission!$H:$N,""))</f>
        <v/>
      </c>
      <c r="D650" s="414"/>
      <c r="E650" s="414"/>
      <c r="F650" s="414"/>
      <c r="G650" s="364"/>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74" t="str">
        <f>_xlfn.CONCAT(_xlfn.XLOOKUP("[S05_DefaultValues][449][InstallationCategory]",Submission!$O:$O,Submission!$H:$N,""))</f>
        <v/>
      </c>
      <c r="D651" s="414"/>
      <c r="E651" s="414"/>
      <c r="F651" s="414"/>
      <c r="G651" s="364"/>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74" t="str">
        <f>_xlfn.CONCAT(_xlfn.XLOOKUP("[S05_DefaultValues][450][InstallationCategory]",Submission!$O:$O,Submission!$H:$N,""))</f>
        <v/>
      </c>
      <c r="D652" s="414"/>
      <c r="E652" s="414"/>
      <c r="F652" s="414"/>
      <c r="G652" s="364"/>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74" t="str">
        <f>_xlfn.CONCAT(_xlfn.XLOOKUP("[S05_DefaultValues][451][InstallationCategory]",Submission!$O:$O,Submission!$H:$N,""))</f>
        <v/>
      </c>
      <c r="D653" s="414"/>
      <c r="E653" s="414"/>
      <c r="F653" s="414"/>
      <c r="G653" s="364"/>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74" t="str">
        <f>_xlfn.CONCAT(_xlfn.XLOOKUP("[S05_DefaultValues][452][InstallationCategory]",Submission!$O:$O,Submission!$H:$N,""))</f>
        <v/>
      </c>
      <c r="D654" s="414"/>
      <c r="E654" s="414"/>
      <c r="F654" s="414"/>
      <c r="G654" s="364"/>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74" t="str">
        <f>_xlfn.CONCAT(_xlfn.XLOOKUP("[S05_DefaultValues][453][InstallationCategory]",Submission!$O:$O,Submission!$H:$N,""))</f>
        <v/>
      </c>
      <c r="D655" s="414"/>
      <c r="E655" s="414"/>
      <c r="F655" s="414"/>
      <c r="G655" s="364"/>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74" t="str">
        <f>_xlfn.CONCAT(_xlfn.XLOOKUP("[S05_DefaultValues][454][InstallationCategory]",Submission!$O:$O,Submission!$H:$N,""))</f>
        <v/>
      </c>
      <c r="D656" s="414"/>
      <c r="E656" s="414"/>
      <c r="F656" s="414"/>
      <c r="G656" s="364"/>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74" t="str">
        <f>_xlfn.CONCAT(_xlfn.XLOOKUP("[S05_DefaultValues][455][InstallationCategory]",Submission!$O:$O,Submission!$H:$N,""))</f>
        <v/>
      </c>
      <c r="D657" s="414"/>
      <c r="E657" s="414"/>
      <c r="F657" s="414"/>
      <c r="G657" s="364"/>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74" t="str">
        <f>_xlfn.CONCAT(_xlfn.XLOOKUP("[S05_DefaultValues][456][InstallationCategory]",Submission!$O:$O,Submission!$H:$N,""))</f>
        <v/>
      </c>
      <c r="D658" s="414"/>
      <c r="E658" s="414"/>
      <c r="F658" s="414"/>
      <c r="G658" s="364"/>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74" t="str">
        <f>_xlfn.CONCAT(_xlfn.XLOOKUP("[S05_DefaultValues][457][InstallationCategory]",Submission!$O:$O,Submission!$H:$N,""))</f>
        <v/>
      </c>
      <c r="D659" s="414"/>
      <c r="E659" s="414"/>
      <c r="F659" s="414"/>
      <c r="G659" s="364"/>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74" t="str">
        <f>_xlfn.CONCAT(_xlfn.XLOOKUP("[S05_DefaultValues][458][InstallationCategory]",Submission!$O:$O,Submission!$H:$N,""))</f>
        <v/>
      </c>
      <c r="D660" s="414"/>
      <c r="E660" s="414"/>
      <c r="F660" s="414"/>
      <c r="G660" s="364"/>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74" t="str">
        <f>_xlfn.CONCAT(_xlfn.XLOOKUP("[S05_DefaultValues][459][InstallationCategory]",Submission!$O:$O,Submission!$H:$N,""))</f>
        <v/>
      </c>
      <c r="D661" s="414"/>
      <c r="E661" s="414"/>
      <c r="F661" s="414"/>
      <c r="G661" s="364"/>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74" t="str">
        <f>_xlfn.CONCAT(_xlfn.XLOOKUP("[S05_DefaultValues][460][InstallationCategory]",Submission!$O:$O,Submission!$H:$N,""))</f>
        <v/>
      </c>
      <c r="D662" s="414"/>
      <c r="E662" s="414"/>
      <c r="F662" s="414"/>
      <c r="G662" s="364"/>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74" t="str">
        <f>_xlfn.CONCAT(_xlfn.XLOOKUP("[S05_DefaultValues][461][InstallationCategory]",Submission!$O:$O,Submission!$H:$N,""))</f>
        <v/>
      </c>
      <c r="D663" s="414"/>
      <c r="E663" s="414"/>
      <c r="F663" s="414"/>
      <c r="G663" s="364"/>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74" t="str">
        <f>_xlfn.CONCAT(_xlfn.XLOOKUP("[S05_DefaultValues][462][InstallationCategory]",Submission!$O:$O,Submission!$H:$N,""))</f>
        <v/>
      </c>
      <c r="D664" s="414"/>
      <c r="E664" s="414"/>
      <c r="F664" s="414"/>
      <c r="G664" s="364"/>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74" t="str">
        <f>_xlfn.CONCAT(_xlfn.XLOOKUP("[S05_DefaultValues][463][InstallationCategory]",Submission!$O:$O,Submission!$H:$N,""))</f>
        <v/>
      </c>
      <c r="D665" s="414"/>
      <c r="E665" s="414"/>
      <c r="F665" s="414"/>
      <c r="G665" s="364"/>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74" t="str">
        <f>_xlfn.CONCAT(_xlfn.XLOOKUP("[S05_DefaultValues][464][InstallationCategory]",Submission!$O:$O,Submission!$H:$N,""))</f>
        <v/>
      </c>
      <c r="D666" s="414"/>
      <c r="E666" s="414"/>
      <c r="F666" s="414"/>
      <c r="G666" s="364"/>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74" t="str">
        <f>_xlfn.CONCAT(_xlfn.XLOOKUP("[S05_DefaultValues][465][InstallationCategory]",Submission!$O:$O,Submission!$H:$N,""))</f>
        <v/>
      </c>
      <c r="D667" s="414"/>
      <c r="E667" s="414"/>
      <c r="F667" s="414"/>
      <c r="G667" s="364"/>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74" t="str">
        <f>_xlfn.CONCAT(_xlfn.XLOOKUP("[S05_DefaultValues][466][InstallationCategory]",Submission!$O:$O,Submission!$H:$N,""))</f>
        <v/>
      </c>
      <c r="D668" s="414"/>
      <c r="E668" s="414"/>
      <c r="F668" s="414"/>
      <c r="G668" s="364"/>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74" t="str">
        <f>_xlfn.CONCAT(_xlfn.XLOOKUP("[S05_DefaultValues][467][InstallationCategory]",Submission!$O:$O,Submission!$H:$N,""))</f>
        <v/>
      </c>
      <c r="D669" s="414"/>
      <c r="E669" s="414"/>
      <c r="F669" s="414"/>
      <c r="G669" s="364"/>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74" t="str">
        <f>_xlfn.CONCAT(_xlfn.XLOOKUP("[S05_DefaultValues][468][InstallationCategory]",Submission!$O:$O,Submission!$H:$N,""))</f>
        <v/>
      </c>
      <c r="D670" s="414"/>
      <c r="E670" s="414"/>
      <c r="F670" s="414"/>
      <c r="G670" s="364"/>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74" t="str">
        <f>_xlfn.CONCAT(_xlfn.XLOOKUP("[S05_DefaultValues][469][InstallationCategory]",Submission!$O:$O,Submission!$H:$N,""))</f>
        <v/>
      </c>
      <c r="D671" s="414"/>
      <c r="E671" s="414"/>
      <c r="F671" s="414"/>
      <c r="G671" s="364"/>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74" t="str">
        <f>_xlfn.CONCAT(_xlfn.XLOOKUP("[S05_DefaultValues][470][InstallationCategory]",Submission!$O:$O,Submission!$H:$N,""))</f>
        <v/>
      </c>
      <c r="D672" s="414"/>
      <c r="E672" s="414"/>
      <c r="F672" s="414"/>
      <c r="G672" s="364"/>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74" t="str">
        <f>_xlfn.CONCAT(_xlfn.XLOOKUP("[S05_DefaultValues][471][InstallationCategory]",Submission!$O:$O,Submission!$H:$N,""))</f>
        <v/>
      </c>
      <c r="D673" s="414"/>
      <c r="E673" s="414"/>
      <c r="F673" s="414"/>
      <c r="G673" s="364"/>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74" t="str">
        <f>_xlfn.CONCAT(_xlfn.XLOOKUP("[S05_DefaultValues][472][InstallationCategory]",Submission!$O:$O,Submission!$H:$N,""))</f>
        <v/>
      </c>
      <c r="D674" s="414"/>
      <c r="E674" s="414"/>
      <c r="F674" s="414"/>
      <c r="G674" s="364"/>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74" t="str">
        <f>_xlfn.CONCAT(_xlfn.XLOOKUP("[S05_DefaultValues][473][InstallationCategory]",Submission!$O:$O,Submission!$H:$N,""))</f>
        <v/>
      </c>
      <c r="D675" s="414"/>
      <c r="E675" s="414"/>
      <c r="F675" s="414"/>
      <c r="G675" s="364"/>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74" t="str">
        <f>_xlfn.CONCAT(_xlfn.XLOOKUP("[S05_DefaultValues][474][InstallationCategory]",Submission!$O:$O,Submission!$H:$N,""))</f>
        <v/>
      </c>
      <c r="D676" s="414"/>
      <c r="E676" s="414"/>
      <c r="F676" s="414"/>
      <c r="G676" s="364"/>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74" t="str">
        <f>_xlfn.CONCAT(_xlfn.XLOOKUP("[S05_DefaultValues][475][InstallationCategory]",Submission!$O:$O,Submission!$H:$N,""))</f>
        <v/>
      </c>
      <c r="D677" s="414"/>
      <c r="E677" s="414"/>
      <c r="F677" s="414"/>
      <c r="G677" s="364"/>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74" t="str">
        <f>_xlfn.CONCAT(_xlfn.XLOOKUP("[S05_DefaultValues][476][InstallationCategory]",Submission!$O:$O,Submission!$H:$N,""))</f>
        <v/>
      </c>
      <c r="D678" s="414"/>
      <c r="E678" s="414"/>
      <c r="F678" s="414"/>
      <c r="G678" s="364"/>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74" t="str">
        <f>_xlfn.CONCAT(_xlfn.XLOOKUP("[S05_DefaultValues][477][InstallationCategory]",Submission!$O:$O,Submission!$H:$N,""))</f>
        <v/>
      </c>
      <c r="D679" s="414"/>
      <c r="E679" s="414"/>
      <c r="F679" s="414"/>
      <c r="G679" s="364"/>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74" t="str">
        <f>_xlfn.CONCAT(_xlfn.XLOOKUP("[S05_DefaultValues][478][InstallationCategory]",Submission!$O:$O,Submission!$H:$N,""))</f>
        <v/>
      </c>
      <c r="D680" s="414"/>
      <c r="E680" s="414"/>
      <c r="F680" s="414"/>
      <c r="G680" s="364"/>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74" t="str">
        <f>_xlfn.CONCAT(_xlfn.XLOOKUP("[S05_DefaultValues][479][InstallationCategory]",Submission!$O:$O,Submission!$H:$N,""))</f>
        <v/>
      </c>
      <c r="D681" s="414"/>
      <c r="E681" s="414"/>
      <c r="F681" s="414"/>
      <c r="G681" s="364"/>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74" t="str">
        <f>_xlfn.CONCAT(_xlfn.XLOOKUP("[S05_DefaultValues][480][InstallationCategory]",Submission!$O:$O,Submission!$H:$N,""))</f>
        <v/>
      </c>
      <c r="D682" s="414"/>
      <c r="E682" s="414"/>
      <c r="F682" s="414"/>
      <c r="G682" s="364"/>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74" t="str">
        <f>_xlfn.CONCAT(_xlfn.XLOOKUP("[S05_DefaultValues][481][InstallationCategory]",Submission!$O:$O,Submission!$H:$N,""))</f>
        <v/>
      </c>
      <c r="D683" s="414"/>
      <c r="E683" s="414"/>
      <c r="F683" s="414"/>
      <c r="G683" s="364"/>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74" t="str">
        <f>_xlfn.CONCAT(_xlfn.XLOOKUP("[S05_DefaultValues][482][InstallationCategory]",Submission!$O:$O,Submission!$H:$N,""))</f>
        <v/>
      </c>
      <c r="D684" s="414"/>
      <c r="E684" s="414"/>
      <c r="F684" s="414"/>
      <c r="G684" s="364"/>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74" t="str">
        <f>_xlfn.CONCAT(_xlfn.XLOOKUP("[S05_DefaultValues][483][InstallationCategory]",Submission!$O:$O,Submission!$H:$N,""))</f>
        <v/>
      </c>
      <c r="D685" s="414"/>
      <c r="E685" s="414"/>
      <c r="F685" s="414"/>
      <c r="G685" s="364"/>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74" t="str">
        <f>_xlfn.CONCAT(_xlfn.XLOOKUP("[S05_DefaultValues][484][InstallationCategory]",Submission!$O:$O,Submission!$H:$N,""))</f>
        <v/>
      </c>
      <c r="D686" s="414"/>
      <c r="E686" s="414"/>
      <c r="F686" s="414"/>
      <c r="G686" s="364"/>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74" t="str">
        <f>_xlfn.CONCAT(_xlfn.XLOOKUP("[S05_DefaultValues][485][InstallationCategory]",Submission!$O:$O,Submission!$H:$N,""))</f>
        <v/>
      </c>
      <c r="D687" s="414"/>
      <c r="E687" s="414"/>
      <c r="F687" s="414"/>
      <c r="G687" s="364"/>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74" t="str">
        <f>_xlfn.CONCAT(_xlfn.XLOOKUP("[S05_DefaultValues][486][InstallationCategory]",Submission!$O:$O,Submission!$H:$N,""))</f>
        <v/>
      </c>
      <c r="D688" s="414"/>
      <c r="E688" s="414"/>
      <c r="F688" s="414"/>
      <c r="G688" s="364"/>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74" t="str">
        <f>_xlfn.CONCAT(_xlfn.XLOOKUP("[S05_DefaultValues][487][InstallationCategory]",Submission!$O:$O,Submission!$H:$N,""))</f>
        <v/>
      </c>
      <c r="D689" s="414"/>
      <c r="E689" s="414"/>
      <c r="F689" s="414"/>
      <c r="G689" s="364"/>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74" t="str">
        <f>_xlfn.CONCAT(_xlfn.XLOOKUP("[S05_DefaultValues][488][InstallationCategory]",Submission!$O:$O,Submission!$H:$N,""))</f>
        <v/>
      </c>
      <c r="D690" s="414"/>
      <c r="E690" s="414"/>
      <c r="F690" s="414"/>
      <c r="G690" s="364"/>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74" t="str">
        <f>_xlfn.CONCAT(_xlfn.XLOOKUP("[S05_DefaultValues][489][InstallationCategory]",Submission!$O:$O,Submission!$H:$N,""))</f>
        <v/>
      </c>
      <c r="D691" s="414"/>
      <c r="E691" s="414"/>
      <c r="F691" s="414"/>
      <c r="G691" s="364"/>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74" t="str">
        <f>_xlfn.CONCAT(_xlfn.XLOOKUP("[S05_DefaultValues][490][InstallationCategory]",Submission!$O:$O,Submission!$H:$N,""))</f>
        <v/>
      </c>
      <c r="D692" s="414"/>
      <c r="E692" s="414"/>
      <c r="F692" s="414"/>
      <c r="G692" s="364"/>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74" t="str">
        <f>_xlfn.CONCAT(_xlfn.XLOOKUP("[S05_DefaultValues][491][InstallationCategory]",Submission!$O:$O,Submission!$H:$N,""))</f>
        <v/>
      </c>
      <c r="D693" s="414"/>
      <c r="E693" s="414"/>
      <c r="F693" s="414"/>
      <c r="G693" s="364"/>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74" t="str">
        <f>_xlfn.CONCAT(_xlfn.XLOOKUP("[S05_DefaultValues][492][InstallationCategory]",Submission!$O:$O,Submission!$H:$N,""))</f>
        <v/>
      </c>
      <c r="D694" s="414"/>
      <c r="E694" s="414"/>
      <c r="F694" s="414"/>
      <c r="G694" s="364"/>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74" t="str">
        <f>_xlfn.CONCAT(_xlfn.XLOOKUP("[S05_DefaultValues][493][InstallationCategory]",Submission!$O:$O,Submission!$H:$N,""))</f>
        <v/>
      </c>
      <c r="D695" s="414"/>
      <c r="E695" s="414"/>
      <c r="F695" s="414"/>
      <c r="G695" s="364"/>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74" t="str">
        <f>_xlfn.CONCAT(_xlfn.XLOOKUP("[S05_DefaultValues][494][InstallationCategory]",Submission!$O:$O,Submission!$H:$N,""))</f>
        <v/>
      </c>
      <c r="D696" s="414"/>
      <c r="E696" s="414"/>
      <c r="F696" s="414"/>
      <c r="G696" s="364"/>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74" t="str">
        <f>_xlfn.CONCAT(_xlfn.XLOOKUP("[S05_DefaultValues][495][InstallationCategory]",Submission!$O:$O,Submission!$H:$N,""))</f>
        <v/>
      </c>
      <c r="D697" s="414"/>
      <c r="E697" s="414"/>
      <c r="F697" s="414"/>
      <c r="G697" s="364"/>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74" t="str">
        <f>_xlfn.CONCAT(_xlfn.XLOOKUP("[S05_DefaultValues][496][InstallationCategory]",Submission!$O:$O,Submission!$H:$N,""))</f>
        <v/>
      </c>
      <c r="D698" s="414"/>
      <c r="E698" s="414"/>
      <c r="F698" s="414"/>
      <c r="G698" s="364"/>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74" t="str">
        <f>_xlfn.CONCAT(_xlfn.XLOOKUP("[S05_DefaultValues][497][InstallationCategory]",Submission!$O:$O,Submission!$H:$N,""))</f>
        <v/>
      </c>
      <c r="D699" s="414"/>
      <c r="E699" s="414"/>
      <c r="F699" s="414"/>
      <c r="G699" s="364"/>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74" t="str">
        <f>_xlfn.CONCAT(_xlfn.XLOOKUP("[S05_DefaultValues][498][InstallationCategory]",Submission!$O:$O,Submission!$H:$N,""))</f>
        <v/>
      </c>
      <c r="D700" s="414"/>
      <c r="E700" s="414"/>
      <c r="F700" s="414"/>
      <c r="G700" s="364"/>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74" t="str">
        <f>_xlfn.CONCAT(_xlfn.XLOOKUP("[S05_DefaultValues][499][InstallationCategory]",Submission!$O:$O,Submission!$H:$N,""))</f>
        <v/>
      </c>
      <c r="D701" s="414"/>
      <c r="E701" s="414"/>
      <c r="F701" s="414"/>
      <c r="G701" s="364"/>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74" t="str">
        <f>_xlfn.CONCAT(_xlfn.XLOOKUP("[S05_DefaultValues][500][InstallationCategory]",Submission!$O:$O,Submission!$H:$N,""))</f>
        <v/>
      </c>
      <c r="D702" s="414"/>
      <c r="E702" s="414"/>
      <c r="F702" s="414"/>
      <c r="G702" s="364"/>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74" t="str">
        <f>_xlfn.CONCAT(_xlfn.XLOOKUP("[S05_DefaultValues][501][InstallationCategory]",Submission!$O:$O,Submission!$H:$N,""))</f>
        <v/>
      </c>
      <c r="D703" s="414"/>
      <c r="E703" s="414"/>
      <c r="F703" s="414"/>
      <c r="G703" s="364"/>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74" t="str">
        <f>_xlfn.CONCAT(_xlfn.XLOOKUP("[S05_DefaultValues][502][InstallationCategory]",Submission!$O:$O,Submission!$H:$N,""))</f>
        <v/>
      </c>
      <c r="D704" s="414"/>
      <c r="E704" s="414"/>
      <c r="F704" s="414"/>
      <c r="G704" s="364"/>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74" t="str">
        <f>_xlfn.CONCAT(_xlfn.XLOOKUP("[S05_DefaultValues][503][InstallationCategory]",Submission!$O:$O,Submission!$H:$N,""))</f>
        <v/>
      </c>
      <c r="D705" s="414"/>
      <c r="E705" s="414"/>
      <c r="F705" s="414"/>
      <c r="G705" s="364"/>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74" t="str">
        <f>_xlfn.CONCAT(_xlfn.XLOOKUP("[S05_DefaultValues][504][InstallationCategory]",Submission!$O:$O,Submission!$H:$N,""))</f>
        <v/>
      </c>
      <c r="D706" s="414"/>
      <c r="E706" s="414"/>
      <c r="F706" s="414"/>
      <c r="G706" s="364"/>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74" t="str">
        <f>_xlfn.CONCAT(_xlfn.XLOOKUP("[S05_DefaultValues][505][InstallationCategory]",Submission!$O:$O,Submission!$H:$N,""))</f>
        <v/>
      </c>
      <c r="D707" s="414"/>
      <c r="E707" s="414"/>
      <c r="F707" s="414"/>
      <c r="G707" s="364"/>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74" t="str">
        <f>_xlfn.CONCAT(_xlfn.XLOOKUP("[S05_DefaultValues][506][InstallationCategory]",Submission!$O:$O,Submission!$H:$N,""))</f>
        <v/>
      </c>
      <c r="D708" s="414"/>
      <c r="E708" s="414"/>
      <c r="F708" s="414"/>
      <c r="G708" s="364"/>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74" t="str">
        <f>_xlfn.CONCAT(_xlfn.XLOOKUP("[S05_DefaultValues][507][InstallationCategory]",Submission!$O:$O,Submission!$H:$N,""))</f>
        <v/>
      </c>
      <c r="D709" s="414"/>
      <c r="E709" s="414"/>
      <c r="F709" s="414"/>
      <c r="G709" s="364"/>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74" t="str">
        <f>_xlfn.CONCAT(_xlfn.XLOOKUP("[S05_DefaultValues][508][InstallationCategory]",Submission!$O:$O,Submission!$H:$N,""))</f>
        <v/>
      </c>
      <c r="D710" s="414"/>
      <c r="E710" s="414"/>
      <c r="F710" s="414"/>
      <c r="G710" s="364"/>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74" t="str">
        <f>_xlfn.CONCAT(_xlfn.XLOOKUP("[S05_DefaultValues][509][InstallationCategory]",Submission!$O:$O,Submission!$H:$N,""))</f>
        <v/>
      </c>
      <c r="D711" s="414"/>
      <c r="E711" s="414"/>
      <c r="F711" s="414"/>
      <c r="G711" s="364"/>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74" t="str">
        <f>_xlfn.CONCAT(_xlfn.XLOOKUP("[S05_DefaultValues][510][InstallationCategory]",Submission!$O:$O,Submission!$H:$N,""))</f>
        <v/>
      </c>
      <c r="D712" s="414"/>
      <c r="E712" s="414"/>
      <c r="F712" s="414"/>
      <c r="G712" s="364"/>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74" t="str">
        <f>_xlfn.CONCAT(_xlfn.XLOOKUP("[S05_DefaultValues][511][InstallationCategory]",Submission!$O:$O,Submission!$H:$N,""))</f>
        <v/>
      </c>
      <c r="D713" s="414"/>
      <c r="E713" s="414"/>
      <c r="F713" s="414"/>
      <c r="G713" s="364"/>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74" t="str">
        <f>_xlfn.CONCAT(_xlfn.XLOOKUP("[S05_DefaultValues][512][InstallationCategory]",Submission!$O:$O,Submission!$H:$N,""))</f>
        <v/>
      </c>
      <c r="D714" s="414"/>
      <c r="E714" s="414"/>
      <c r="F714" s="414"/>
      <c r="G714" s="364"/>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74" t="str">
        <f>_xlfn.CONCAT(_xlfn.XLOOKUP("[S05_DefaultValues][513][InstallationCategory]",Submission!$O:$O,Submission!$H:$N,""))</f>
        <v/>
      </c>
      <c r="D715" s="414"/>
      <c r="E715" s="414"/>
      <c r="F715" s="414"/>
      <c r="G715" s="364"/>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74" t="str">
        <f>_xlfn.CONCAT(_xlfn.XLOOKUP("[S05_DefaultValues][514][InstallationCategory]",Submission!$O:$O,Submission!$H:$N,""))</f>
        <v/>
      </c>
      <c r="D716" s="414"/>
      <c r="E716" s="414"/>
      <c r="F716" s="414"/>
      <c r="G716" s="364"/>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74" t="str">
        <f>_xlfn.CONCAT(_xlfn.XLOOKUP("[S05_DefaultValues][515][InstallationCategory]",Submission!$O:$O,Submission!$H:$N,""))</f>
        <v/>
      </c>
      <c r="D717" s="414"/>
      <c r="E717" s="414"/>
      <c r="F717" s="414"/>
      <c r="G717" s="364"/>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74" t="str">
        <f>_xlfn.CONCAT(_xlfn.XLOOKUP("[S05_DefaultValues][516][InstallationCategory]",Submission!$O:$O,Submission!$H:$N,""))</f>
        <v/>
      </c>
      <c r="D718" s="414"/>
      <c r="E718" s="414"/>
      <c r="F718" s="414"/>
      <c r="G718" s="364"/>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74" t="str">
        <f>_xlfn.CONCAT(_xlfn.XLOOKUP("[S05_DefaultValues][517][InstallationCategory]",Submission!$O:$O,Submission!$H:$N,""))</f>
        <v/>
      </c>
      <c r="D719" s="414"/>
      <c r="E719" s="414"/>
      <c r="F719" s="414"/>
      <c r="G719" s="364"/>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74" t="str">
        <f>_xlfn.CONCAT(_xlfn.XLOOKUP("[S05_DefaultValues][518][InstallationCategory]",Submission!$O:$O,Submission!$H:$N,""))</f>
        <v/>
      </c>
      <c r="D720" s="414"/>
      <c r="E720" s="414"/>
      <c r="F720" s="414"/>
      <c r="G720" s="364"/>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74" t="str">
        <f>_xlfn.CONCAT(_xlfn.XLOOKUP("[S05_DefaultValues][519][InstallationCategory]",Submission!$O:$O,Submission!$H:$N,""))</f>
        <v/>
      </c>
      <c r="D721" s="414"/>
      <c r="E721" s="414"/>
      <c r="F721" s="414"/>
      <c r="G721" s="364"/>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74" t="str">
        <f>_xlfn.CONCAT(_xlfn.XLOOKUP("[S05_DefaultValues][520][InstallationCategory]",Submission!$O:$O,Submission!$H:$N,""))</f>
        <v/>
      </c>
      <c r="D722" s="414"/>
      <c r="E722" s="414"/>
      <c r="F722" s="414"/>
      <c r="G722" s="364"/>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74" t="str">
        <f>_xlfn.CONCAT(_xlfn.XLOOKUP("[S05_DefaultValues][521][InstallationCategory]",Submission!$O:$O,Submission!$H:$N,""))</f>
        <v/>
      </c>
      <c r="D723" s="414"/>
      <c r="E723" s="414"/>
      <c r="F723" s="414"/>
      <c r="G723" s="364"/>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74" t="str">
        <f>_xlfn.CONCAT(_xlfn.XLOOKUP("[S05_DefaultValues][522][InstallationCategory]",Submission!$O:$O,Submission!$H:$N,""))</f>
        <v/>
      </c>
      <c r="D724" s="414"/>
      <c r="E724" s="414"/>
      <c r="F724" s="414"/>
      <c r="G724" s="364"/>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74" t="str">
        <f>_xlfn.CONCAT(_xlfn.XLOOKUP("[S05_DefaultValues][523][InstallationCategory]",Submission!$O:$O,Submission!$H:$N,""))</f>
        <v/>
      </c>
      <c r="D725" s="414"/>
      <c r="E725" s="414"/>
      <c r="F725" s="414"/>
      <c r="G725" s="364"/>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74" t="str">
        <f>_xlfn.CONCAT(_xlfn.XLOOKUP("[S05_DefaultValues][524][InstallationCategory]",Submission!$O:$O,Submission!$H:$N,""))</f>
        <v/>
      </c>
      <c r="D726" s="414"/>
      <c r="E726" s="414"/>
      <c r="F726" s="414"/>
      <c r="G726" s="364"/>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74" t="str">
        <f>_xlfn.CONCAT(_xlfn.XLOOKUP("[S05_DefaultValues][525][InstallationCategory]",Submission!$O:$O,Submission!$H:$N,""))</f>
        <v/>
      </c>
      <c r="D727" s="414"/>
      <c r="E727" s="414"/>
      <c r="F727" s="414"/>
      <c r="G727" s="364"/>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74" t="str">
        <f>_xlfn.CONCAT(_xlfn.XLOOKUP("[S05_DefaultValues][526][InstallationCategory]",Submission!$O:$O,Submission!$H:$N,""))</f>
        <v/>
      </c>
      <c r="D728" s="414"/>
      <c r="E728" s="414"/>
      <c r="F728" s="414"/>
      <c r="G728" s="364"/>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74" t="str">
        <f>_xlfn.CONCAT(_xlfn.XLOOKUP("[S05_DefaultValues][527][InstallationCategory]",Submission!$O:$O,Submission!$H:$N,""))</f>
        <v/>
      </c>
      <c r="D729" s="414"/>
      <c r="E729" s="414"/>
      <c r="F729" s="414"/>
      <c r="G729" s="364"/>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74" t="str">
        <f>_xlfn.CONCAT(_xlfn.XLOOKUP("[S05_DefaultValues][528][InstallationCategory]",Submission!$O:$O,Submission!$H:$N,""))</f>
        <v/>
      </c>
      <c r="D730" s="414"/>
      <c r="E730" s="414"/>
      <c r="F730" s="414"/>
      <c r="G730" s="364"/>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74" t="str">
        <f>_xlfn.CONCAT(_xlfn.XLOOKUP("[S05_DefaultValues][529][InstallationCategory]",Submission!$O:$O,Submission!$H:$N,""))</f>
        <v/>
      </c>
      <c r="D731" s="414"/>
      <c r="E731" s="414"/>
      <c r="F731" s="414"/>
      <c r="G731" s="364"/>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74" t="str">
        <f>_xlfn.CONCAT(_xlfn.XLOOKUP("[S05_DefaultValues][530][InstallationCategory]",Submission!$O:$O,Submission!$H:$N,""))</f>
        <v/>
      </c>
      <c r="D732" s="414"/>
      <c r="E732" s="414"/>
      <c r="F732" s="414"/>
      <c r="G732" s="364"/>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74" t="str">
        <f>_xlfn.CONCAT(_xlfn.XLOOKUP("[S05_DefaultValues][531][InstallationCategory]",Submission!$O:$O,Submission!$H:$N,""))</f>
        <v/>
      </c>
      <c r="D733" s="414"/>
      <c r="E733" s="414"/>
      <c r="F733" s="414"/>
      <c r="G733" s="364"/>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74" t="str">
        <f>_xlfn.CONCAT(_xlfn.XLOOKUP("[S05_DefaultValues][532][InstallationCategory]",Submission!$O:$O,Submission!$H:$N,""))</f>
        <v/>
      </c>
      <c r="D734" s="414"/>
      <c r="E734" s="414"/>
      <c r="F734" s="414"/>
      <c r="G734" s="364"/>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74" t="str">
        <f>_xlfn.CONCAT(_xlfn.XLOOKUP("[S05_DefaultValues][533][InstallationCategory]",Submission!$O:$O,Submission!$H:$N,""))</f>
        <v/>
      </c>
      <c r="D735" s="414"/>
      <c r="E735" s="414"/>
      <c r="F735" s="414"/>
      <c r="G735" s="364"/>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74" t="str">
        <f>_xlfn.CONCAT(_xlfn.XLOOKUP("[S05_DefaultValues][534][InstallationCategory]",Submission!$O:$O,Submission!$H:$N,""))</f>
        <v/>
      </c>
      <c r="D736" s="414"/>
      <c r="E736" s="414"/>
      <c r="F736" s="414"/>
      <c r="G736" s="364"/>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74" t="str">
        <f>_xlfn.CONCAT(_xlfn.XLOOKUP("[S05_DefaultValues][535][InstallationCategory]",Submission!$O:$O,Submission!$H:$N,""))</f>
        <v/>
      </c>
      <c r="D737" s="414"/>
      <c r="E737" s="414"/>
      <c r="F737" s="414"/>
      <c r="G737" s="364"/>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74" t="str">
        <f>_xlfn.CONCAT(_xlfn.XLOOKUP("[S05_DefaultValues][536][InstallationCategory]",Submission!$O:$O,Submission!$H:$N,""))</f>
        <v/>
      </c>
      <c r="D738" s="414"/>
      <c r="E738" s="414"/>
      <c r="F738" s="414"/>
      <c r="G738" s="364"/>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74" t="str">
        <f>_xlfn.CONCAT(_xlfn.XLOOKUP("[S05_DefaultValues][537][InstallationCategory]",Submission!$O:$O,Submission!$H:$N,""))</f>
        <v/>
      </c>
      <c r="D739" s="414"/>
      <c r="E739" s="414"/>
      <c r="F739" s="414"/>
      <c r="G739" s="364"/>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74" t="str">
        <f>_xlfn.CONCAT(_xlfn.XLOOKUP("[S05_DefaultValues][538][InstallationCategory]",Submission!$O:$O,Submission!$H:$N,""))</f>
        <v/>
      </c>
      <c r="D740" s="414"/>
      <c r="E740" s="414"/>
      <c r="F740" s="414"/>
      <c r="G740" s="364"/>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74" t="str">
        <f>_xlfn.CONCAT(_xlfn.XLOOKUP("[S05_DefaultValues][539][InstallationCategory]",Submission!$O:$O,Submission!$H:$N,""))</f>
        <v/>
      </c>
      <c r="D741" s="414"/>
      <c r="E741" s="414"/>
      <c r="F741" s="414"/>
      <c r="G741" s="364"/>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74" t="str">
        <f>_xlfn.CONCAT(_xlfn.XLOOKUP("[S05_DefaultValues][540][InstallationCategory]",Submission!$O:$O,Submission!$H:$N,""))</f>
        <v/>
      </c>
      <c r="D742" s="414"/>
      <c r="E742" s="414"/>
      <c r="F742" s="414"/>
      <c r="G742" s="364"/>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74" t="str">
        <f>_xlfn.CONCAT(_xlfn.XLOOKUP("[S05_DefaultValues][541][InstallationCategory]",Submission!$O:$O,Submission!$H:$N,""))</f>
        <v/>
      </c>
      <c r="D743" s="414"/>
      <c r="E743" s="414"/>
      <c r="F743" s="414"/>
      <c r="G743" s="364"/>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74" t="str">
        <f>_xlfn.CONCAT(_xlfn.XLOOKUP("[S05_DefaultValues][542][InstallationCategory]",Submission!$O:$O,Submission!$H:$N,""))</f>
        <v/>
      </c>
      <c r="D744" s="414"/>
      <c r="E744" s="414"/>
      <c r="F744" s="414"/>
      <c r="G744" s="364"/>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74" t="str">
        <f>_xlfn.CONCAT(_xlfn.XLOOKUP("[S05_DefaultValues][543][InstallationCategory]",Submission!$O:$O,Submission!$H:$N,""))</f>
        <v/>
      </c>
      <c r="D745" s="414"/>
      <c r="E745" s="414"/>
      <c r="F745" s="414"/>
      <c r="G745" s="364"/>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74" t="str">
        <f>_xlfn.CONCAT(_xlfn.XLOOKUP("[S05_DefaultValues][544][InstallationCategory]",Submission!$O:$O,Submission!$H:$N,""))</f>
        <v/>
      </c>
      <c r="D746" s="414"/>
      <c r="E746" s="414"/>
      <c r="F746" s="414"/>
      <c r="G746" s="364"/>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74" t="str">
        <f>_xlfn.CONCAT(_xlfn.XLOOKUP("[S05_DefaultValues][545][InstallationCategory]",Submission!$O:$O,Submission!$H:$N,""))</f>
        <v/>
      </c>
      <c r="D747" s="414"/>
      <c r="E747" s="414"/>
      <c r="F747" s="414"/>
      <c r="G747" s="364"/>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74" t="str">
        <f>_xlfn.CONCAT(_xlfn.XLOOKUP("[S05_DefaultValues][546][InstallationCategory]",Submission!$O:$O,Submission!$H:$N,""))</f>
        <v/>
      </c>
      <c r="D748" s="414"/>
      <c r="E748" s="414"/>
      <c r="F748" s="414"/>
      <c r="G748" s="364"/>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74" t="str">
        <f>_xlfn.CONCAT(_xlfn.XLOOKUP("[S05_DefaultValues][547][InstallationCategory]",Submission!$O:$O,Submission!$H:$N,""))</f>
        <v/>
      </c>
      <c r="D749" s="414"/>
      <c r="E749" s="414"/>
      <c r="F749" s="414"/>
      <c r="G749" s="364"/>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74" t="str">
        <f>_xlfn.CONCAT(_xlfn.XLOOKUP("[S05_DefaultValues][548][InstallationCategory]",Submission!$O:$O,Submission!$H:$N,""))</f>
        <v/>
      </c>
      <c r="D750" s="414"/>
      <c r="E750" s="414"/>
      <c r="F750" s="414"/>
      <c r="G750" s="364"/>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74" t="str">
        <f>_xlfn.CONCAT(_xlfn.XLOOKUP("[S05_DefaultValues][549][InstallationCategory]",Submission!$O:$O,Submission!$H:$N,""))</f>
        <v/>
      </c>
      <c r="D751" s="414"/>
      <c r="E751" s="414"/>
      <c r="F751" s="414"/>
      <c r="G751" s="364"/>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74" t="str">
        <f>_xlfn.CONCAT(_xlfn.XLOOKUP("[S05_DefaultValues][550][InstallationCategory]",Submission!$O:$O,Submission!$H:$N,""))</f>
        <v/>
      </c>
      <c r="D752" s="414"/>
      <c r="E752" s="414"/>
      <c r="F752" s="414"/>
      <c r="G752" s="364"/>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74" t="str">
        <f>_xlfn.CONCAT(_xlfn.XLOOKUP("[S05_DefaultValues][551][InstallationCategory]",Submission!$O:$O,Submission!$H:$N,""))</f>
        <v/>
      </c>
      <c r="D753" s="414"/>
      <c r="E753" s="414"/>
      <c r="F753" s="414"/>
      <c r="G753" s="364"/>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74" t="str">
        <f>_xlfn.CONCAT(_xlfn.XLOOKUP("[S05_DefaultValues][552][InstallationCategory]",Submission!$O:$O,Submission!$H:$N,""))</f>
        <v/>
      </c>
      <c r="D754" s="414"/>
      <c r="E754" s="414"/>
      <c r="F754" s="414"/>
      <c r="G754" s="364"/>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74" t="str">
        <f>_xlfn.CONCAT(_xlfn.XLOOKUP("[S05_DefaultValues][553][InstallationCategory]",Submission!$O:$O,Submission!$H:$N,""))</f>
        <v/>
      </c>
      <c r="D755" s="414"/>
      <c r="E755" s="414"/>
      <c r="F755" s="414"/>
      <c r="G755" s="364"/>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74" t="str">
        <f>_xlfn.CONCAT(_xlfn.XLOOKUP("[S05_DefaultValues][554][InstallationCategory]",Submission!$O:$O,Submission!$H:$N,""))</f>
        <v/>
      </c>
      <c r="D756" s="414"/>
      <c r="E756" s="414"/>
      <c r="F756" s="414"/>
      <c r="G756" s="364"/>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74" t="str">
        <f>_xlfn.CONCAT(_xlfn.XLOOKUP("[S05_DefaultValues][555][InstallationCategory]",Submission!$O:$O,Submission!$H:$N,""))</f>
        <v/>
      </c>
      <c r="D757" s="414"/>
      <c r="E757" s="414"/>
      <c r="F757" s="414"/>
      <c r="G757" s="364"/>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74" t="str">
        <f>_xlfn.CONCAT(_xlfn.XLOOKUP("[S05_DefaultValues][556][InstallationCategory]",Submission!$O:$O,Submission!$H:$N,""))</f>
        <v/>
      </c>
      <c r="D758" s="414"/>
      <c r="E758" s="414"/>
      <c r="F758" s="414"/>
      <c r="G758" s="364"/>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74" t="str">
        <f>_xlfn.CONCAT(_xlfn.XLOOKUP("[S05_DefaultValues][557][InstallationCategory]",Submission!$O:$O,Submission!$H:$N,""))</f>
        <v/>
      </c>
      <c r="D759" s="414"/>
      <c r="E759" s="414"/>
      <c r="F759" s="414"/>
      <c r="G759" s="364"/>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74" t="str">
        <f>_xlfn.CONCAT(_xlfn.XLOOKUP("[S05_DefaultValues][558][InstallationCategory]",Submission!$O:$O,Submission!$H:$N,""))</f>
        <v/>
      </c>
      <c r="D760" s="414"/>
      <c r="E760" s="414"/>
      <c r="F760" s="414"/>
      <c r="G760" s="364"/>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74" t="str">
        <f>_xlfn.CONCAT(_xlfn.XLOOKUP("[S05_DefaultValues][559][InstallationCategory]",Submission!$O:$O,Submission!$H:$N,""))</f>
        <v/>
      </c>
      <c r="D761" s="414"/>
      <c r="E761" s="414"/>
      <c r="F761" s="414"/>
      <c r="G761" s="364"/>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74" t="str">
        <f>_xlfn.CONCAT(_xlfn.XLOOKUP("[S05_DefaultValues][560][InstallationCategory]",Submission!$O:$O,Submission!$H:$N,""))</f>
        <v/>
      </c>
      <c r="D762" s="414"/>
      <c r="E762" s="414"/>
      <c r="F762" s="414"/>
      <c r="G762" s="364"/>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74" t="str">
        <f>_xlfn.CONCAT(_xlfn.XLOOKUP("[S05_DefaultValues][561][InstallationCategory]",Submission!$O:$O,Submission!$H:$N,""))</f>
        <v/>
      </c>
      <c r="D763" s="414"/>
      <c r="E763" s="414"/>
      <c r="F763" s="414"/>
      <c r="G763" s="364"/>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74" t="str">
        <f>_xlfn.CONCAT(_xlfn.XLOOKUP("[S05_DefaultValues][562][InstallationCategory]",Submission!$O:$O,Submission!$H:$N,""))</f>
        <v/>
      </c>
      <c r="D764" s="414"/>
      <c r="E764" s="414"/>
      <c r="F764" s="414"/>
      <c r="G764" s="364"/>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74" t="str">
        <f>_xlfn.CONCAT(_xlfn.XLOOKUP("[S05_DefaultValues][563][InstallationCategory]",Submission!$O:$O,Submission!$H:$N,""))</f>
        <v/>
      </c>
      <c r="D765" s="414"/>
      <c r="E765" s="414"/>
      <c r="F765" s="414"/>
      <c r="G765" s="364"/>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74" t="str">
        <f>_xlfn.CONCAT(_xlfn.XLOOKUP("[S05_DefaultValues][564][InstallationCategory]",Submission!$O:$O,Submission!$H:$N,""))</f>
        <v/>
      </c>
      <c r="D766" s="414"/>
      <c r="E766" s="414"/>
      <c r="F766" s="414"/>
      <c r="G766" s="364"/>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74" t="str">
        <f>_xlfn.CONCAT(_xlfn.XLOOKUP("[S05_DefaultValues][565][InstallationCategory]",Submission!$O:$O,Submission!$H:$N,""))</f>
        <v/>
      </c>
      <c r="D767" s="414"/>
      <c r="E767" s="414"/>
      <c r="F767" s="414"/>
      <c r="G767" s="364"/>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74" t="str">
        <f>_xlfn.CONCAT(_xlfn.XLOOKUP("[S05_DefaultValues][566][InstallationCategory]",Submission!$O:$O,Submission!$H:$N,""))</f>
        <v/>
      </c>
      <c r="D768" s="414"/>
      <c r="E768" s="414"/>
      <c r="F768" s="414"/>
      <c r="G768" s="364"/>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74" t="str">
        <f>_xlfn.CONCAT(_xlfn.XLOOKUP("[S05_DefaultValues][567][InstallationCategory]",Submission!$O:$O,Submission!$H:$N,""))</f>
        <v/>
      </c>
      <c r="D769" s="414"/>
      <c r="E769" s="414"/>
      <c r="F769" s="414"/>
      <c r="G769" s="364"/>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74" t="str">
        <f>_xlfn.CONCAT(_xlfn.XLOOKUP("[S05_DefaultValues][568][InstallationCategory]",Submission!$O:$O,Submission!$H:$N,""))</f>
        <v/>
      </c>
      <c r="D770" s="414"/>
      <c r="E770" s="414"/>
      <c r="F770" s="414"/>
      <c r="G770" s="364"/>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74" t="str">
        <f>_xlfn.CONCAT(_xlfn.XLOOKUP("[S05_DefaultValues][569][InstallationCategory]",Submission!$O:$O,Submission!$H:$N,""))</f>
        <v/>
      </c>
      <c r="D771" s="414"/>
      <c r="E771" s="414"/>
      <c r="F771" s="414"/>
      <c r="G771" s="364"/>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74" t="str">
        <f>_xlfn.CONCAT(_xlfn.XLOOKUP("[S05_DefaultValues][570][InstallationCategory]",Submission!$O:$O,Submission!$H:$N,""))</f>
        <v/>
      </c>
      <c r="D772" s="414"/>
      <c r="E772" s="414"/>
      <c r="F772" s="414"/>
      <c r="G772" s="364"/>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74" t="str">
        <f>_xlfn.CONCAT(_xlfn.XLOOKUP("[S05_DefaultValues][571][InstallationCategory]",Submission!$O:$O,Submission!$H:$N,""))</f>
        <v/>
      </c>
      <c r="D773" s="414"/>
      <c r="E773" s="414"/>
      <c r="F773" s="414"/>
      <c r="G773" s="364"/>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74" t="str">
        <f>_xlfn.CONCAT(_xlfn.XLOOKUP("[S05_DefaultValues][572][InstallationCategory]",Submission!$O:$O,Submission!$H:$N,""))</f>
        <v/>
      </c>
      <c r="D774" s="414"/>
      <c r="E774" s="414"/>
      <c r="F774" s="414"/>
      <c r="G774" s="364"/>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74" t="str">
        <f>_xlfn.CONCAT(_xlfn.XLOOKUP("[S05_DefaultValues][573][InstallationCategory]",Submission!$O:$O,Submission!$H:$N,""))</f>
        <v/>
      </c>
      <c r="D775" s="414"/>
      <c r="E775" s="414"/>
      <c r="F775" s="414"/>
      <c r="G775" s="364"/>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74" t="str">
        <f>_xlfn.CONCAT(_xlfn.XLOOKUP("[S05_DefaultValues][574][InstallationCategory]",Submission!$O:$O,Submission!$H:$N,""))</f>
        <v/>
      </c>
      <c r="D776" s="414"/>
      <c r="E776" s="414"/>
      <c r="F776" s="414"/>
      <c r="G776" s="364"/>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74" t="str">
        <f>_xlfn.CONCAT(_xlfn.XLOOKUP("[S05_DefaultValues][575][InstallationCategory]",Submission!$O:$O,Submission!$H:$N,""))</f>
        <v/>
      </c>
      <c r="D777" s="414"/>
      <c r="E777" s="414"/>
      <c r="F777" s="414"/>
      <c r="G777" s="364"/>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74" t="str">
        <f>_xlfn.CONCAT(_xlfn.XLOOKUP("[S05_DefaultValues][576][InstallationCategory]",Submission!$O:$O,Submission!$H:$N,""))</f>
        <v/>
      </c>
      <c r="D778" s="414"/>
      <c r="E778" s="414"/>
      <c r="F778" s="414"/>
      <c r="G778" s="364"/>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74" t="str">
        <f>_xlfn.CONCAT(_xlfn.XLOOKUP("[S05_DefaultValues][577][InstallationCategory]",Submission!$O:$O,Submission!$H:$N,""))</f>
        <v/>
      </c>
      <c r="D779" s="414"/>
      <c r="E779" s="414"/>
      <c r="F779" s="414"/>
      <c r="G779" s="364"/>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74" t="str">
        <f>_xlfn.CONCAT(_xlfn.XLOOKUP("[S05_DefaultValues][578][InstallationCategory]",Submission!$O:$O,Submission!$H:$N,""))</f>
        <v/>
      </c>
      <c r="D780" s="414"/>
      <c r="E780" s="414"/>
      <c r="F780" s="414"/>
      <c r="G780" s="364"/>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74" t="str">
        <f>_xlfn.CONCAT(_xlfn.XLOOKUP("[S05_DefaultValues][579][InstallationCategory]",Submission!$O:$O,Submission!$H:$N,""))</f>
        <v/>
      </c>
      <c r="D781" s="414"/>
      <c r="E781" s="414"/>
      <c r="F781" s="414"/>
      <c r="G781" s="364"/>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74" t="str">
        <f>_xlfn.CONCAT(_xlfn.XLOOKUP("[S05_DefaultValues][580][InstallationCategory]",Submission!$O:$O,Submission!$H:$N,""))</f>
        <v/>
      </c>
      <c r="D782" s="414"/>
      <c r="E782" s="414"/>
      <c r="F782" s="414"/>
      <c r="G782" s="364"/>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74" t="str">
        <f>_xlfn.CONCAT(_xlfn.XLOOKUP("[S05_DefaultValues][581][InstallationCategory]",Submission!$O:$O,Submission!$H:$N,""))</f>
        <v/>
      </c>
      <c r="D783" s="414"/>
      <c r="E783" s="414"/>
      <c r="F783" s="414"/>
      <c r="G783" s="364"/>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74" t="str">
        <f>_xlfn.CONCAT(_xlfn.XLOOKUP("[S05_DefaultValues][582][InstallationCategory]",Submission!$O:$O,Submission!$H:$N,""))</f>
        <v/>
      </c>
      <c r="D784" s="414"/>
      <c r="E784" s="414"/>
      <c r="F784" s="414"/>
      <c r="G784" s="364"/>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74" t="str">
        <f>_xlfn.CONCAT(_xlfn.XLOOKUP("[S05_DefaultValues][583][InstallationCategory]",Submission!$O:$O,Submission!$H:$N,""))</f>
        <v/>
      </c>
      <c r="D785" s="414"/>
      <c r="E785" s="414"/>
      <c r="F785" s="414"/>
      <c r="G785" s="364"/>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74" t="str">
        <f>_xlfn.CONCAT(_xlfn.XLOOKUP("[S05_DefaultValues][584][InstallationCategory]",Submission!$O:$O,Submission!$H:$N,""))</f>
        <v/>
      </c>
      <c r="D786" s="414"/>
      <c r="E786" s="414"/>
      <c r="F786" s="414"/>
      <c r="G786" s="364"/>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74" t="str">
        <f>_xlfn.CONCAT(_xlfn.XLOOKUP("[S05_DefaultValues][585][InstallationCategory]",Submission!$O:$O,Submission!$H:$N,""))</f>
        <v/>
      </c>
      <c r="D787" s="414"/>
      <c r="E787" s="414"/>
      <c r="F787" s="414"/>
      <c r="G787" s="364"/>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74" t="str">
        <f>_xlfn.CONCAT(_xlfn.XLOOKUP("[S05_DefaultValues][586][InstallationCategory]",Submission!$O:$O,Submission!$H:$N,""))</f>
        <v/>
      </c>
      <c r="D788" s="414"/>
      <c r="E788" s="414"/>
      <c r="F788" s="414"/>
      <c r="G788" s="364"/>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74" t="str">
        <f>_xlfn.CONCAT(_xlfn.XLOOKUP("[S05_DefaultValues][587][InstallationCategory]",Submission!$O:$O,Submission!$H:$N,""))</f>
        <v/>
      </c>
      <c r="D789" s="414"/>
      <c r="E789" s="414"/>
      <c r="F789" s="414"/>
      <c r="G789" s="364"/>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74" t="str">
        <f>_xlfn.CONCAT(_xlfn.XLOOKUP("[S05_DefaultValues][588][InstallationCategory]",Submission!$O:$O,Submission!$H:$N,""))</f>
        <v/>
      </c>
      <c r="D790" s="414"/>
      <c r="E790" s="414"/>
      <c r="F790" s="414"/>
      <c r="G790" s="364"/>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74" t="str">
        <f>_xlfn.CONCAT(_xlfn.XLOOKUP("[S05_DefaultValues][589][InstallationCategory]",Submission!$O:$O,Submission!$H:$N,""))</f>
        <v/>
      </c>
      <c r="D791" s="414"/>
      <c r="E791" s="414"/>
      <c r="F791" s="414"/>
      <c r="G791" s="364"/>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74" t="str">
        <f>_xlfn.CONCAT(_xlfn.XLOOKUP("[S05_DefaultValues][590][InstallationCategory]",Submission!$O:$O,Submission!$H:$N,""))</f>
        <v/>
      </c>
      <c r="D792" s="414"/>
      <c r="E792" s="414"/>
      <c r="F792" s="414"/>
      <c r="G792" s="364"/>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74" t="str">
        <f>_xlfn.CONCAT(_xlfn.XLOOKUP("[S05_DefaultValues][591][InstallationCategory]",Submission!$O:$O,Submission!$H:$N,""))</f>
        <v/>
      </c>
      <c r="D793" s="414"/>
      <c r="E793" s="414"/>
      <c r="F793" s="414"/>
      <c r="G793" s="364"/>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74" t="str">
        <f>_xlfn.CONCAT(_xlfn.XLOOKUP("[S05_DefaultValues][592][InstallationCategory]",Submission!$O:$O,Submission!$H:$N,""))</f>
        <v/>
      </c>
      <c r="D794" s="414"/>
      <c r="E794" s="414"/>
      <c r="F794" s="414"/>
      <c r="G794" s="364"/>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74" t="str">
        <f>_xlfn.CONCAT(_xlfn.XLOOKUP("[S05_DefaultValues][593][InstallationCategory]",Submission!$O:$O,Submission!$H:$N,""))</f>
        <v/>
      </c>
      <c r="D795" s="414"/>
      <c r="E795" s="414"/>
      <c r="F795" s="414"/>
      <c r="G795" s="364"/>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74" t="str">
        <f>_xlfn.CONCAT(_xlfn.XLOOKUP("[S05_DefaultValues][594][InstallationCategory]",Submission!$O:$O,Submission!$H:$N,""))</f>
        <v/>
      </c>
      <c r="D796" s="414"/>
      <c r="E796" s="414"/>
      <c r="F796" s="414"/>
      <c r="G796" s="364"/>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74" t="str">
        <f>_xlfn.CONCAT(_xlfn.XLOOKUP("[S05_DefaultValues][595][InstallationCategory]",Submission!$O:$O,Submission!$H:$N,""))</f>
        <v/>
      </c>
      <c r="D797" s="414"/>
      <c r="E797" s="414"/>
      <c r="F797" s="414"/>
      <c r="G797" s="364"/>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74" t="str">
        <f>_xlfn.CONCAT(_xlfn.XLOOKUP("[S05_DefaultValues][596][InstallationCategory]",Submission!$O:$O,Submission!$H:$N,""))</f>
        <v/>
      </c>
      <c r="D798" s="414"/>
      <c r="E798" s="414"/>
      <c r="F798" s="414"/>
      <c r="G798" s="364"/>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74" t="str">
        <f>_xlfn.CONCAT(_xlfn.XLOOKUP("[S05_DefaultValues][597][InstallationCategory]",Submission!$O:$O,Submission!$H:$N,""))</f>
        <v/>
      </c>
      <c r="D799" s="414"/>
      <c r="E799" s="414"/>
      <c r="F799" s="414"/>
      <c r="G799" s="364"/>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74" t="str">
        <f>_xlfn.CONCAT(_xlfn.XLOOKUP("[S05_DefaultValues][598][InstallationCategory]",Submission!$O:$O,Submission!$H:$N,""))</f>
        <v/>
      </c>
      <c r="D800" s="414"/>
      <c r="E800" s="414"/>
      <c r="F800" s="414"/>
      <c r="G800" s="364"/>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74" t="str">
        <f>_xlfn.CONCAT(_xlfn.XLOOKUP("[S05_DefaultValues][599][InstallationCategory]",Submission!$O:$O,Submission!$H:$N,""))</f>
        <v/>
      </c>
      <c r="D801" s="414"/>
      <c r="E801" s="414"/>
      <c r="F801" s="414"/>
      <c r="G801" s="364"/>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74" t="str">
        <f>_xlfn.CONCAT(_xlfn.XLOOKUP("[S05_DefaultValues][600][InstallationCategory]",Submission!$O:$O,Submission!$H:$N,""))</f>
        <v/>
      </c>
      <c r="D802" s="414"/>
      <c r="E802" s="414"/>
      <c r="F802" s="414"/>
      <c r="G802" s="364"/>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74" t="str">
        <f>_xlfn.CONCAT(_xlfn.XLOOKUP("[S05_DefaultValues][601][InstallationCategory]",Submission!$O:$O,Submission!$H:$N,""))</f>
        <v/>
      </c>
      <c r="D803" s="414"/>
      <c r="E803" s="414"/>
      <c r="F803" s="414"/>
      <c r="G803" s="364"/>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74" t="str">
        <f>_xlfn.CONCAT(_xlfn.XLOOKUP("[S05_DefaultValues][602][InstallationCategory]",Submission!$O:$O,Submission!$H:$N,""))</f>
        <v/>
      </c>
      <c r="D804" s="414"/>
      <c r="E804" s="414"/>
      <c r="F804" s="414"/>
      <c r="G804" s="364"/>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74" t="str">
        <f>_xlfn.CONCAT(_xlfn.XLOOKUP("[S05_DefaultValues][603][InstallationCategory]",Submission!$O:$O,Submission!$H:$N,""))</f>
        <v/>
      </c>
      <c r="D805" s="414"/>
      <c r="E805" s="414"/>
      <c r="F805" s="414"/>
      <c r="G805" s="364"/>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74" t="str">
        <f>_xlfn.CONCAT(_xlfn.XLOOKUP("[S05_DefaultValues][604][InstallationCategory]",Submission!$O:$O,Submission!$H:$N,""))</f>
        <v/>
      </c>
      <c r="D806" s="414"/>
      <c r="E806" s="414"/>
      <c r="F806" s="414"/>
      <c r="G806" s="364"/>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74" t="str">
        <f>_xlfn.CONCAT(_xlfn.XLOOKUP("[S05_DefaultValues][605][InstallationCategory]",Submission!$O:$O,Submission!$H:$N,""))</f>
        <v/>
      </c>
      <c r="D807" s="414"/>
      <c r="E807" s="414"/>
      <c r="F807" s="414"/>
      <c r="G807" s="364"/>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74" t="str">
        <f>_xlfn.CONCAT(_xlfn.XLOOKUP("[S05_DefaultValues][606][InstallationCategory]",Submission!$O:$O,Submission!$H:$N,""))</f>
        <v/>
      </c>
      <c r="D808" s="414"/>
      <c r="E808" s="414"/>
      <c r="F808" s="414"/>
      <c r="G808" s="364"/>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74" t="str">
        <f>_xlfn.CONCAT(_xlfn.XLOOKUP("[S05_DefaultValues][607][InstallationCategory]",Submission!$O:$O,Submission!$H:$N,""))</f>
        <v/>
      </c>
      <c r="D809" s="414"/>
      <c r="E809" s="414"/>
      <c r="F809" s="414"/>
      <c r="G809" s="364"/>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74" t="str">
        <f>_xlfn.CONCAT(_xlfn.XLOOKUP("[S05_DefaultValues][608][InstallationCategory]",Submission!$O:$O,Submission!$H:$N,""))</f>
        <v/>
      </c>
      <c r="D810" s="414"/>
      <c r="E810" s="414"/>
      <c r="F810" s="414"/>
      <c r="G810" s="364"/>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74" t="str">
        <f>_xlfn.CONCAT(_xlfn.XLOOKUP("[S05_DefaultValues][609][InstallationCategory]",Submission!$O:$O,Submission!$H:$N,""))</f>
        <v/>
      </c>
      <c r="D811" s="414"/>
      <c r="E811" s="414"/>
      <c r="F811" s="414"/>
      <c r="G811" s="364"/>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74" t="str">
        <f>_xlfn.CONCAT(_xlfn.XLOOKUP("[S05_DefaultValues][610][InstallationCategory]",Submission!$O:$O,Submission!$H:$N,""))</f>
        <v/>
      </c>
      <c r="D812" s="414"/>
      <c r="E812" s="414"/>
      <c r="F812" s="414"/>
      <c r="G812" s="364"/>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74" t="str">
        <f>_xlfn.CONCAT(_xlfn.XLOOKUP("[S05_DefaultValues][611][InstallationCategory]",Submission!$O:$O,Submission!$H:$N,""))</f>
        <v/>
      </c>
      <c r="D813" s="414"/>
      <c r="E813" s="414"/>
      <c r="F813" s="414"/>
      <c r="G813" s="364"/>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74" t="str">
        <f>_xlfn.CONCAT(_xlfn.XLOOKUP("[S05_DefaultValues][612][InstallationCategory]",Submission!$O:$O,Submission!$H:$N,""))</f>
        <v/>
      </c>
      <c r="D814" s="414"/>
      <c r="E814" s="414"/>
      <c r="F814" s="414"/>
      <c r="G814" s="364"/>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74" t="str">
        <f>_xlfn.CONCAT(_xlfn.XLOOKUP("[S05_DefaultValues][613][InstallationCategory]",Submission!$O:$O,Submission!$H:$N,""))</f>
        <v/>
      </c>
      <c r="D815" s="414"/>
      <c r="E815" s="414"/>
      <c r="F815" s="414"/>
      <c r="G815" s="364"/>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74" t="str">
        <f>_xlfn.CONCAT(_xlfn.XLOOKUP("[S05_DefaultValues][614][InstallationCategory]",Submission!$O:$O,Submission!$H:$N,""))</f>
        <v/>
      </c>
      <c r="D816" s="414"/>
      <c r="E816" s="414"/>
      <c r="F816" s="414"/>
      <c r="G816" s="364"/>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74" t="str">
        <f>_xlfn.CONCAT(_xlfn.XLOOKUP("[S05_DefaultValues][615][InstallationCategory]",Submission!$O:$O,Submission!$H:$N,""))</f>
        <v/>
      </c>
      <c r="D817" s="414"/>
      <c r="E817" s="414"/>
      <c r="F817" s="414"/>
      <c r="G817" s="364"/>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74" t="str">
        <f>_xlfn.CONCAT(_xlfn.XLOOKUP("[S05_DefaultValues][616][InstallationCategory]",Submission!$O:$O,Submission!$H:$N,""))</f>
        <v/>
      </c>
      <c r="D818" s="414"/>
      <c r="E818" s="414"/>
      <c r="F818" s="414"/>
      <c r="G818" s="364"/>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74" t="str">
        <f>_xlfn.CONCAT(_xlfn.XLOOKUP("[S05_DefaultValues][617][InstallationCategory]",Submission!$O:$O,Submission!$H:$N,""))</f>
        <v/>
      </c>
      <c r="D819" s="414"/>
      <c r="E819" s="414"/>
      <c r="F819" s="414"/>
      <c r="G819" s="364"/>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74" t="str">
        <f>_xlfn.CONCAT(_xlfn.XLOOKUP("[S05_DefaultValues][618][InstallationCategory]",Submission!$O:$O,Submission!$H:$N,""))</f>
        <v/>
      </c>
      <c r="D820" s="414"/>
      <c r="E820" s="414"/>
      <c r="F820" s="414"/>
      <c r="G820" s="364"/>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74" t="str">
        <f>_xlfn.CONCAT(_xlfn.XLOOKUP("[S05_DefaultValues][619][InstallationCategory]",Submission!$O:$O,Submission!$H:$N,""))</f>
        <v/>
      </c>
      <c r="D821" s="414"/>
      <c r="E821" s="414"/>
      <c r="F821" s="414"/>
      <c r="G821" s="364"/>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74" t="str">
        <f>_xlfn.CONCAT(_xlfn.XLOOKUP("[S05_DefaultValues][620][InstallationCategory]",Submission!$O:$O,Submission!$H:$N,""))</f>
        <v/>
      </c>
      <c r="D822" s="414"/>
      <c r="E822" s="414"/>
      <c r="F822" s="414"/>
      <c r="G822" s="364"/>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74" t="str">
        <f>_xlfn.CONCAT(_xlfn.XLOOKUP("[S05_DefaultValues][621][InstallationCategory]",Submission!$O:$O,Submission!$H:$N,""))</f>
        <v/>
      </c>
      <c r="D823" s="414"/>
      <c r="E823" s="414"/>
      <c r="F823" s="414"/>
      <c r="G823" s="364"/>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74" t="str">
        <f>_xlfn.CONCAT(_xlfn.XLOOKUP("[S05_DefaultValues][622][InstallationCategory]",Submission!$O:$O,Submission!$H:$N,""))</f>
        <v/>
      </c>
      <c r="D824" s="414"/>
      <c r="E824" s="414"/>
      <c r="F824" s="414"/>
      <c r="G824" s="364"/>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74" t="str">
        <f>_xlfn.CONCAT(_xlfn.XLOOKUP("[S05_DefaultValues][623][InstallationCategory]",Submission!$O:$O,Submission!$H:$N,""))</f>
        <v/>
      </c>
      <c r="D825" s="414"/>
      <c r="E825" s="414"/>
      <c r="F825" s="414"/>
      <c r="G825" s="364"/>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74" t="str">
        <f>_xlfn.CONCAT(_xlfn.XLOOKUP("[S05_DefaultValues][624][InstallationCategory]",Submission!$O:$O,Submission!$H:$N,""))</f>
        <v/>
      </c>
      <c r="D826" s="414"/>
      <c r="E826" s="414"/>
      <c r="F826" s="414"/>
      <c r="G826" s="364"/>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74" t="str">
        <f>_xlfn.CONCAT(_xlfn.XLOOKUP("[S05_DefaultValues][625][InstallationCategory]",Submission!$O:$O,Submission!$H:$N,""))</f>
        <v/>
      </c>
      <c r="D827" s="414"/>
      <c r="E827" s="414"/>
      <c r="F827" s="414"/>
      <c r="G827" s="364"/>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74" t="str">
        <f>_xlfn.CONCAT(_xlfn.XLOOKUP("[S05_DefaultValues][626][InstallationCategory]",Submission!$O:$O,Submission!$H:$N,""))</f>
        <v/>
      </c>
      <c r="D828" s="414"/>
      <c r="E828" s="414"/>
      <c r="F828" s="414"/>
      <c r="G828" s="364"/>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74" t="str">
        <f>_xlfn.CONCAT(_xlfn.XLOOKUP("[S05_DefaultValues][627][InstallationCategory]",Submission!$O:$O,Submission!$H:$N,""))</f>
        <v/>
      </c>
      <c r="D829" s="414"/>
      <c r="E829" s="414"/>
      <c r="F829" s="414"/>
      <c r="G829" s="364"/>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74" t="str">
        <f>_xlfn.CONCAT(_xlfn.XLOOKUP("[S05_DefaultValues][628][InstallationCategory]",Submission!$O:$O,Submission!$H:$N,""))</f>
        <v/>
      </c>
      <c r="D830" s="414"/>
      <c r="E830" s="414"/>
      <c r="F830" s="414"/>
      <c r="G830" s="364"/>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74" t="str">
        <f>_xlfn.CONCAT(_xlfn.XLOOKUP("[S05_DefaultValues][629][InstallationCategory]",Submission!$O:$O,Submission!$H:$N,""))</f>
        <v/>
      </c>
      <c r="D831" s="414"/>
      <c r="E831" s="414"/>
      <c r="F831" s="414"/>
      <c r="G831" s="364"/>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74" t="str">
        <f>_xlfn.CONCAT(_xlfn.XLOOKUP("[S05_DefaultValues][630][InstallationCategory]",Submission!$O:$O,Submission!$H:$N,""))</f>
        <v/>
      </c>
      <c r="D832" s="414"/>
      <c r="E832" s="414"/>
      <c r="F832" s="414"/>
      <c r="G832" s="364"/>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74" t="str">
        <f>_xlfn.CONCAT(_xlfn.XLOOKUP("[S05_DefaultValues][631][InstallationCategory]",Submission!$O:$O,Submission!$H:$N,""))</f>
        <v/>
      </c>
      <c r="D833" s="414"/>
      <c r="E833" s="414"/>
      <c r="F833" s="414"/>
      <c r="G833" s="364"/>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74" t="str">
        <f>_xlfn.CONCAT(_xlfn.XLOOKUP("[S05_DefaultValues][632][InstallationCategory]",Submission!$O:$O,Submission!$H:$N,""))</f>
        <v/>
      </c>
      <c r="D834" s="414"/>
      <c r="E834" s="414"/>
      <c r="F834" s="414"/>
      <c r="G834" s="364"/>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74" t="str">
        <f>_xlfn.CONCAT(_xlfn.XLOOKUP("[S05_DefaultValues][633][InstallationCategory]",Submission!$O:$O,Submission!$H:$N,""))</f>
        <v/>
      </c>
      <c r="D835" s="414"/>
      <c r="E835" s="414"/>
      <c r="F835" s="414"/>
      <c r="G835" s="364"/>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74" t="str">
        <f>_xlfn.CONCAT(_xlfn.XLOOKUP("[S05_DefaultValues][634][InstallationCategory]",Submission!$O:$O,Submission!$H:$N,""))</f>
        <v/>
      </c>
      <c r="D836" s="414"/>
      <c r="E836" s="414"/>
      <c r="F836" s="414"/>
      <c r="G836" s="364"/>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74" t="str">
        <f>_xlfn.CONCAT(_xlfn.XLOOKUP("[S05_DefaultValues][635][InstallationCategory]",Submission!$O:$O,Submission!$H:$N,""))</f>
        <v/>
      </c>
      <c r="D837" s="414"/>
      <c r="E837" s="414"/>
      <c r="F837" s="414"/>
      <c r="G837" s="364"/>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74" t="str">
        <f>_xlfn.CONCAT(_xlfn.XLOOKUP("[S05_DefaultValues][636][InstallationCategory]",Submission!$O:$O,Submission!$H:$N,""))</f>
        <v/>
      </c>
      <c r="D838" s="414"/>
      <c r="E838" s="414"/>
      <c r="F838" s="414"/>
      <c r="G838" s="364"/>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74" t="str">
        <f>_xlfn.CONCAT(_xlfn.XLOOKUP("[S05_DefaultValues][637][InstallationCategory]",Submission!$O:$O,Submission!$H:$N,""))</f>
        <v/>
      </c>
      <c r="D839" s="414"/>
      <c r="E839" s="414"/>
      <c r="F839" s="414"/>
      <c r="G839" s="364"/>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74" t="str">
        <f>_xlfn.CONCAT(_xlfn.XLOOKUP("[S05_DefaultValues][638][InstallationCategory]",Submission!$O:$O,Submission!$H:$N,""))</f>
        <v/>
      </c>
      <c r="D840" s="414"/>
      <c r="E840" s="414"/>
      <c r="F840" s="414"/>
      <c r="G840" s="364"/>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74" t="str">
        <f>_xlfn.CONCAT(_xlfn.XLOOKUP("[S05_DefaultValues][639][InstallationCategory]",Submission!$O:$O,Submission!$H:$N,""))</f>
        <v/>
      </c>
      <c r="D841" s="414"/>
      <c r="E841" s="414"/>
      <c r="F841" s="414"/>
      <c r="G841" s="364"/>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74" t="str">
        <f>_xlfn.CONCAT(_xlfn.XLOOKUP("[S05_DefaultValues][640][InstallationCategory]",Submission!$O:$O,Submission!$H:$N,""))</f>
        <v/>
      </c>
      <c r="D842" s="414"/>
      <c r="E842" s="414"/>
      <c r="F842" s="414"/>
      <c r="G842" s="364"/>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74" t="str">
        <f>_xlfn.CONCAT(_xlfn.XLOOKUP("[S05_DefaultValues][641][InstallationCategory]",Submission!$O:$O,Submission!$H:$N,""))</f>
        <v/>
      </c>
      <c r="D843" s="414"/>
      <c r="E843" s="414"/>
      <c r="F843" s="414"/>
      <c r="G843" s="364"/>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74" t="str">
        <f>_xlfn.CONCAT(_xlfn.XLOOKUP("[S05_DefaultValues][642][InstallationCategory]",Submission!$O:$O,Submission!$H:$N,""))</f>
        <v/>
      </c>
      <c r="D844" s="414"/>
      <c r="E844" s="414"/>
      <c r="F844" s="414"/>
      <c r="G844" s="364"/>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74" t="str">
        <f>_xlfn.CONCAT(_xlfn.XLOOKUP("[S05_DefaultValues][643][InstallationCategory]",Submission!$O:$O,Submission!$H:$N,""))</f>
        <v/>
      </c>
      <c r="D845" s="414"/>
      <c r="E845" s="414"/>
      <c r="F845" s="414"/>
      <c r="G845" s="364"/>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74" t="str">
        <f>_xlfn.CONCAT(_xlfn.XLOOKUP("[S05_DefaultValues][644][InstallationCategory]",Submission!$O:$O,Submission!$H:$N,""))</f>
        <v/>
      </c>
      <c r="D846" s="414"/>
      <c r="E846" s="414"/>
      <c r="F846" s="414"/>
      <c r="G846" s="364"/>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74" t="str">
        <f>_xlfn.CONCAT(_xlfn.XLOOKUP("[S05_DefaultValues][645][InstallationCategory]",Submission!$O:$O,Submission!$H:$N,""))</f>
        <v/>
      </c>
      <c r="D847" s="414"/>
      <c r="E847" s="414"/>
      <c r="F847" s="414"/>
      <c r="G847" s="364"/>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74" t="str">
        <f>_xlfn.CONCAT(_xlfn.XLOOKUP("[S05_DefaultValues][646][InstallationCategory]",Submission!$O:$O,Submission!$H:$N,""))</f>
        <v/>
      </c>
      <c r="D848" s="414"/>
      <c r="E848" s="414"/>
      <c r="F848" s="414"/>
      <c r="G848" s="364"/>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74" t="str">
        <f>_xlfn.CONCAT(_xlfn.XLOOKUP("[S05_DefaultValues][647][InstallationCategory]",Submission!$O:$O,Submission!$H:$N,""))</f>
        <v/>
      </c>
      <c r="D849" s="414"/>
      <c r="E849" s="414"/>
      <c r="F849" s="414"/>
      <c r="G849" s="364"/>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74" t="str">
        <f>_xlfn.CONCAT(_xlfn.XLOOKUP("[S05_DefaultValues][648][InstallationCategory]",Submission!$O:$O,Submission!$H:$N,""))</f>
        <v/>
      </c>
      <c r="D850" s="414"/>
      <c r="E850" s="414"/>
      <c r="F850" s="414"/>
      <c r="G850" s="364"/>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74" t="str">
        <f>_xlfn.CONCAT(_xlfn.XLOOKUP("[S05_DefaultValues][649][InstallationCategory]",Submission!$O:$O,Submission!$H:$N,""))</f>
        <v/>
      </c>
      <c r="D851" s="414"/>
      <c r="E851" s="414"/>
      <c r="F851" s="414"/>
      <c r="G851" s="364"/>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74" t="str">
        <f>_xlfn.CONCAT(_xlfn.XLOOKUP("[S05_DefaultValues][650][InstallationCategory]",Submission!$O:$O,Submission!$H:$N,""))</f>
        <v/>
      </c>
      <c r="D852" s="414"/>
      <c r="E852" s="414"/>
      <c r="F852" s="414"/>
      <c r="G852" s="364"/>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74" t="str">
        <f>_xlfn.CONCAT(_xlfn.XLOOKUP("[S05_DefaultValues][651][InstallationCategory]",Submission!$O:$O,Submission!$H:$N,""))</f>
        <v/>
      </c>
      <c r="D853" s="414"/>
      <c r="E853" s="414"/>
      <c r="F853" s="414"/>
      <c r="G853" s="364"/>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74" t="str">
        <f>_xlfn.CONCAT(_xlfn.XLOOKUP("[S05_DefaultValues][652][InstallationCategory]",Submission!$O:$O,Submission!$H:$N,""))</f>
        <v/>
      </c>
      <c r="D854" s="414"/>
      <c r="E854" s="414"/>
      <c r="F854" s="414"/>
      <c r="G854" s="364"/>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74" t="str">
        <f>_xlfn.CONCAT(_xlfn.XLOOKUP("[S05_DefaultValues][653][InstallationCategory]",Submission!$O:$O,Submission!$H:$N,""))</f>
        <v/>
      </c>
      <c r="D855" s="414"/>
      <c r="E855" s="414"/>
      <c r="F855" s="414"/>
      <c r="G855" s="364"/>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74" t="str">
        <f>_xlfn.CONCAT(_xlfn.XLOOKUP("[S05_DefaultValues][654][InstallationCategory]",Submission!$O:$O,Submission!$H:$N,""))</f>
        <v/>
      </c>
      <c r="D856" s="414"/>
      <c r="E856" s="414"/>
      <c r="F856" s="414"/>
      <c r="G856" s="364"/>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74" t="str">
        <f>_xlfn.CONCAT(_xlfn.XLOOKUP("[S05_DefaultValues][655][InstallationCategory]",Submission!$O:$O,Submission!$H:$N,""))</f>
        <v/>
      </c>
      <c r="D857" s="414"/>
      <c r="E857" s="414"/>
      <c r="F857" s="414"/>
      <c r="G857" s="364"/>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74" t="str">
        <f>_xlfn.CONCAT(_xlfn.XLOOKUP("[S05_DefaultValues][656][InstallationCategory]",Submission!$O:$O,Submission!$H:$N,""))</f>
        <v/>
      </c>
      <c r="D858" s="414"/>
      <c r="E858" s="414"/>
      <c r="F858" s="414"/>
      <c r="G858" s="364"/>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74" t="str">
        <f>_xlfn.CONCAT(_xlfn.XLOOKUP("[S05_DefaultValues][657][InstallationCategory]",Submission!$O:$O,Submission!$H:$N,""))</f>
        <v/>
      </c>
      <c r="D859" s="414"/>
      <c r="E859" s="414"/>
      <c r="F859" s="414"/>
      <c r="G859" s="364"/>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74" t="str">
        <f>_xlfn.CONCAT(_xlfn.XLOOKUP("[S05_DefaultValues][658][InstallationCategory]",Submission!$O:$O,Submission!$H:$N,""))</f>
        <v/>
      </c>
      <c r="D860" s="414"/>
      <c r="E860" s="414"/>
      <c r="F860" s="414"/>
      <c r="G860" s="364"/>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74" t="str">
        <f>_xlfn.CONCAT(_xlfn.XLOOKUP("[S05_DefaultValues][659][InstallationCategory]",Submission!$O:$O,Submission!$H:$N,""))</f>
        <v/>
      </c>
      <c r="D861" s="414"/>
      <c r="E861" s="414"/>
      <c r="F861" s="414"/>
      <c r="G861" s="364"/>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74" t="str">
        <f>_xlfn.CONCAT(_xlfn.XLOOKUP("[S05_DefaultValues][660][InstallationCategory]",Submission!$O:$O,Submission!$H:$N,""))</f>
        <v/>
      </c>
      <c r="D862" s="414"/>
      <c r="E862" s="414"/>
      <c r="F862" s="414"/>
      <c r="G862" s="364"/>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74" t="str">
        <f>_xlfn.CONCAT(_xlfn.XLOOKUP("[S05_DefaultValues][661][InstallationCategory]",Submission!$O:$O,Submission!$H:$N,""))</f>
        <v/>
      </c>
      <c r="D863" s="414"/>
      <c r="E863" s="414"/>
      <c r="F863" s="414"/>
      <c r="G863" s="364"/>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74" t="str">
        <f>_xlfn.CONCAT(_xlfn.XLOOKUP("[S05_DefaultValues][662][InstallationCategory]",Submission!$O:$O,Submission!$H:$N,""))</f>
        <v/>
      </c>
      <c r="D864" s="414"/>
      <c r="E864" s="414"/>
      <c r="F864" s="414"/>
      <c r="G864" s="364"/>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74" t="str">
        <f>_xlfn.CONCAT(_xlfn.XLOOKUP("[S05_DefaultValues][663][InstallationCategory]",Submission!$O:$O,Submission!$H:$N,""))</f>
        <v/>
      </c>
      <c r="D865" s="414"/>
      <c r="E865" s="414"/>
      <c r="F865" s="414"/>
      <c r="G865" s="364"/>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74" t="str">
        <f>_xlfn.CONCAT(_xlfn.XLOOKUP("[S05_DefaultValues][664][InstallationCategory]",Submission!$O:$O,Submission!$H:$N,""))</f>
        <v/>
      </c>
      <c r="D866" s="414"/>
      <c r="E866" s="414"/>
      <c r="F866" s="414"/>
      <c r="G866" s="364"/>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74" t="str">
        <f>_xlfn.CONCAT(_xlfn.XLOOKUP("[S05_DefaultValues][665][InstallationCategory]",Submission!$O:$O,Submission!$H:$N,""))</f>
        <v/>
      </c>
      <c r="D867" s="414"/>
      <c r="E867" s="414"/>
      <c r="F867" s="414"/>
      <c r="G867" s="364"/>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74" t="str">
        <f>_xlfn.CONCAT(_xlfn.XLOOKUP("[S05_DefaultValues][666][InstallationCategory]",Submission!$O:$O,Submission!$H:$N,""))</f>
        <v/>
      </c>
      <c r="D868" s="414"/>
      <c r="E868" s="414"/>
      <c r="F868" s="414"/>
      <c r="G868" s="364"/>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74" t="str">
        <f>_xlfn.CONCAT(_xlfn.XLOOKUP("[S05_DefaultValues][667][InstallationCategory]",Submission!$O:$O,Submission!$H:$N,""))</f>
        <v/>
      </c>
      <c r="D869" s="414"/>
      <c r="E869" s="414"/>
      <c r="F869" s="414"/>
      <c r="G869" s="364"/>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74" t="str">
        <f>_xlfn.CONCAT(_xlfn.XLOOKUP("[S05_DefaultValues][668][InstallationCategory]",Submission!$O:$O,Submission!$H:$N,""))</f>
        <v/>
      </c>
      <c r="D870" s="414"/>
      <c r="E870" s="414"/>
      <c r="F870" s="414"/>
      <c r="G870" s="364"/>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74" t="str">
        <f>_xlfn.CONCAT(_xlfn.XLOOKUP("[S05_DefaultValues][669][InstallationCategory]",Submission!$O:$O,Submission!$H:$N,""))</f>
        <v/>
      </c>
      <c r="D871" s="414"/>
      <c r="E871" s="414"/>
      <c r="F871" s="414"/>
      <c r="G871" s="364"/>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74" t="str">
        <f>_xlfn.CONCAT(_xlfn.XLOOKUP("[S05_DefaultValues][670][InstallationCategory]",Submission!$O:$O,Submission!$H:$N,""))</f>
        <v/>
      </c>
      <c r="D872" s="414"/>
      <c r="E872" s="414"/>
      <c r="F872" s="414"/>
      <c r="G872" s="364"/>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74" t="str">
        <f>_xlfn.CONCAT(_xlfn.XLOOKUP("[S05_DefaultValues][671][InstallationCategory]",Submission!$O:$O,Submission!$H:$N,""))</f>
        <v/>
      </c>
      <c r="D873" s="414"/>
      <c r="E873" s="414"/>
      <c r="F873" s="414"/>
      <c r="G873" s="364"/>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74" t="str">
        <f>_xlfn.CONCAT(_xlfn.XLOOKUP("[S05_DefaultValues][672][InstallationCategory]",Submission!$O:$O,Submission!$H:$N,""))</f>
        <v/>
      </c>
      <c r="D874" s="414"/>
      <c r="E874" s="414"/>
      <c r="F874" s="414"/>
      <c r="G874" s="364"/>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74" t="str">
        <f>_xlfn.CONCAT(_xlfn.XLOOKUP("[S05_DefaultValues][673][InstallationCategory]",Submission!$O:$O,Submission!$H:$N,""))</f>
        <v/>
      </c>
      <c r="D875" s="414"/>
      <c r="E875" s="414"/>
      <c r="F875" s="414"/>
      <c r="G875" s="364"/>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74" t="str">
        <f>_xlfn.CONCAT(_xlfn.XLOOKUP("[S05_DefaultValues][674][InstallationCategory]",Submission!$O:$O,Submission!$H:$N,""))</f>
        <v/>
      </c>
      <c r="D876" s="414"/>
      <c r="E876" s="414"/>
      <c r="F876" s="414"/>
      <c r="G876" s="364"/>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74" t="str">
        <f>_xlfn.CONCAT(_xlfn.XLOOKUP("[S05_DefaultValues][675][InstallationCategory]",Submission!$O:$O,Submission!$H:$N,""))</f>
        <v/>
      </c>
      <c r="D877" s="414"/>
      <c r="E877" s="414"/>
      <c r="F877" s="414"/>
      <c r="G877" s="364"/>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74" t="str">
        <f>_xlfn.CONCAT(_xlfn.XLOOKUP("[S05_DefaultValues][676][InstallationCategory]",Submission!$O:$O,Submission!$H:$N,""))</f>
        <v/>
      </c>
      <c r="D878" s="414"/>
      <c r="E878" s="414"/>
      <c r="F878" s="414"/>
      <c r="G878" s="364"/>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74" t="str">
        <f>_xlfn.CONCAT(_xlfn.XLOOKUP("[S05_DefaultValues][677][InstallationCategory]",Submission!$O:$O,Submission!$H:$N,""))</f>
        <v/>
      </c>
      <c r="D879" s="414"/>
      <c r="E879" s="414"/>
      <c r="F879" s="414"/>
      <c r="G879" s="364"/>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74" t="str">
        <f>_xlfn.CONCAT(_xlfn.XLOOKUP("[S05_DefaultValues][678][InstallationCategory]",Submission!$O:$O,Submission!$H:$N,""))</f>
        <v/>
      </c>
      <c r="D880" s="414"/>
      <c r="E880" s="414"/>
      <c r="F880" s="414"/>
      <c r="G880" s="364"/>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74" t="str">
        <f>_xlfn.CONCAT(_xlfn.XLOOKUP("[S05_DefaultValues][679][InstallationCategory]",Submission!$O:$O,Submission!$H:$N,""))</f>
        <v/>
      </c>
      <c r="D881" s="414"/>
      <c r="E881" s="414"/>
      <c r="F881" s="414"/>
      <c r="G881" s="364"/>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74" t="str">
        <f>_xlfn.CONCAT(_xlfn.XLOOKUP("[S05_DefaultValues][680][InstallationCategory]",Submission!$O:$O,Submission!$H:$N,""))</f>
        <v/>
      </c>
      <c r="D882" s="414"/>
      <c r="E882" s="414"/>
      <c r="F882" s="414"/>
      <c r="G882" s="364"/>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74" t="str">
        <f>_xlfn.CONCAT(_xlfn.XLOOKUP("[S05_DefaultValues][681][InstallationCategory]",Submission!$O:$O,Submission!$H:$N,""))</f>
        <v/>
      </c>
      <c r="D883" s="414"/>
      <c r="E883" s="414"/>
      <c r="F883" s="414"/>
      <c r="G883" s="364"/>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74" t="str">
        <f>_xlfn.CONCAT(_xlfn.XLOOKUP("[S05_DefaultValues][682][InstallationCategory]",Submission!$O:$O,Submission!$H:$N,""))</f>
        <v/>
      </c>
      <c r="D884" s="414"/>
      <c r="E884" s="414"/>
      <c r="F884" s="414"/>
      <c r="G884" s="364"/>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74" t="str">
        <f>_xlfn.CONCAT(_xlfn.XLOOKUP("[S05_DefaultValues][683][InstallationCategory]",Submission!$O:$O,Submission!$H:$N,""))</f>
        <v/>
      </c>
      <c r="D885" s="414"/>
      <c r="E885" s="414"/>
      <c r="F885" s="414"/>
      <c r="G885" s="364"/>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74" t="str">
        <f>_xlfn.CONCAT(_xlfn.XLOOKUP("[S05_DefaultValues][684][InstallationCategory]",Submission!$O:$O,Submission!$H:$N,""))</f>
        <v/>
      </c>
      <c r="D886" s="414"/>
      <c r="E886" s="414"/>
      <c r="F886" s="414"/>
      <c r="G886" s="364"/>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74" t="str">
        <f>_xlfn.CONCAT(_xlfn.XLOOKUP("[S05_DefaultValues][685][InstallationCategory]",Submission!$O:$O,Submission!$H:$N,""))</f>
        <v/>
      </c>
      <c r="D887" s="414"/>
      <c r="E887" s="414"/>
      <c r="F887" s="414"/>
      <c r="G887" s="364"/>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74" t="str">
        <f>_xlfn.CONCAT(_xlfn.XLOOKUP("[S05_DefaultValues][686][InstallationCategory]",Submission!$O:$O,Submission!$H:$N,""))</f>
        <v/>
      </c>
      <c r="D888" s="414"/>
      <c r="E888" s="414"/>
      <c r="F888" s="414"/>
      <c r="G888" s="364"/>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74" t="str">
        <f>_xlfn.CONCAT(_xlfn.XLOOKUP("[S05_DefaultValues][687][InstallationCategory]",Submission!$O:$O,Submission!$H:$N,""))</f>
        <v/>
      </c>
      <c r="D889" s="414"/>
      <c r="E889" s="414"/>
      <c r="F889" s="414"/>
      <c r="G889" s="364"/>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74" t="str">
        <f>_xlfn.CONCAT(_xlfn.XLOOKUP("[S05_DefaultValues][688][InstallationCategory]",Submission!$O:$O,Submission!$H:$N,""))</f>
        <v/>
      </c>
      <c r="D890" s="414"/>
      <c r="E890" s="414"/>
      <c r="F890" s="414"/>
      <c r="G890" s="364"/>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74" t="str">
        <f>_xlfn.CONCAT(_xlfn.XLOOKUP("[S05_DefaultValues][689][InstallationCategory]",Submission!$O:$O,Submission!$H:$N,""))</f>
        <v/>
      </c>
      <c r="D891" s="414"/>
      <c r="E891" s="414"/>
      <c r="F891" s="414"/>
      <c r="G891" s="364"/>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74" t="str">
        <f>_xlfn.CONCAT(_xlfn.XLOOKUP("[S05_DefaultValues][690][InstallationCategory]",Submission!$O:$O,Submission!$H:$N,""))</f>
        <v/>
      </c>
      <c r="D892" s="414"/>
      <c r="E892" s="414"/>
      <c r="F892" s="414"/>
      <c r="G892" s="364"/>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74" t="str">
        <f>_xlfn.CONCAT(_xlfn.XLOOKUP("[S05_DefaultValues][691][InstallationCategory]",Submission!$O:$O,Submission!$H:$N,""))</f>
        <v/>
      </c>
      <c r="D893" s="414"/>
      <c r="E893" s="414"/>
      <c r="F893" s="414"/>
      <c r="G893" s="364"/>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74" t="str">
        <f>_xlfn.CONCAT(_xlfn.XLOOKUP("[S05_DefaultValues][692][InstallationCategory]",Submission!$O:$O,Submission!$H:$N,""))</f>
        <v/>
      </c>
      <c r="D894" s="414"/>
      <c r="E894" s="414"/>
      <c r="F894" s="414"/>
      <c r="G894" s="364"/>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74" t="str">
        <f>_xlfn.CONCAT(_xlfn.XLOOKUP("[S05_DefaultValues][693][InstallationCategory]",Submission!$O:$O,Submission!$H:$N,""))</f>
        <v/>
      </c>
      <c r="D895" s="414"/>
      <c r="E895" s="414"/>
      <c r="F895" s="414"/>
      <c r="G895" s="364"/>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74" t="str">
        <f>_xlfn.CONCAT(_xlfn.XLOOKUP("[S05_DefaultValues][694][InstallationCategory]",Submission!$O:$O,Submission!$H:$N,""))</f>
        <v/>
      </c>
      <c r="D896" s="414"/>
      <c r="E896" s="414"/>
      <c r="F896" s="414"/>
      <c r="G896" s="364"/>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74" t="str">
        <f>_xlfn.CONCAT(_xlfn.XLOOKUP("[S05_DefaultValues][695][InstallationCategory]",Submission!$O:$O,Submission!$H:$N,""))</f>
        <v/>
      </c>
      <c r="D897" s="414"/>
      <c r="E897" s="414"/>
      <c r="F897" s="414"/>
      <c r="G897" s="364"/>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74" t="str">
        <f>_xlfn.CONCAT(_xlfn.XLOOKUP("[S05_DefaultValues][696][InstallationCategory]",Submission!$O:$O,Submission!$H:$N,""))</f>
        <v/>
      </c>
      <c r="D898" s="414"/>
      <c r="E898" s="414"/>
      <c r="F898" s="414"/>
      <c r="G898" s="364"/>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74" t="str">
        <f>_xlfn.CONCAT(_xlfn.XLOOKUP("[S05_DefaultValues][697][InstallationCategory]",Submission!$O:$O,Submission!$H:$N,""))</f>
        <v/>
      </c>
      <c r="D899" s="414"/>
      <c r="E899" s="414"/>
      <c r="F899" s="414"/>
      <c r="G899" s="364"/>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74" t="str">
        <f>_xlfn.CONCAT(_xlfn.XLOOKUP("[S05_DefaultValues][698][InstallationCategory]",Submission!$O:$O,Submission!$H:$N,""))</f>
        <v/>
      </c>
      <c r="D900" s="414"/>
      <c r="E900" s="414"/>
      <c r="F900" s="414"/>
      <c r="G900" s="364"/>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74" t="str">
        <f>_xlfn.CONCAT(_xlfn.XLOOKUP("[S05_DefaultValues][699][InstallationCategory]",Submission!$O:$O,Submission!$H:$N,""))</f>
        <v/>
      </c>
      <c r="D901" s="414"/>
      <c r="E901" s="414"/>
      <c r="F901" s="414"/>
      <c r="G901" s="364"/>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74" t="str">
        <f>_xlfn.CONCAT(_xlfn.XLOOKUP("[S05_DefaultValues][700][InstallationCategory]",Submission!$O:$O,Submission!$H:$N,""))</f>
        <v/>
      </c>
      <c r="D902" s="414"/>
      <c r="E902" s="414"/>
      <c r="F902" s="414"/>
      <c r="G902" s="364"/>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74" t="str">
        <f>_xlfn.CONCAT(_xlfn.XLOOKUP("[S05_DefaultValues][701][InstallationCategory]",Submission!$O:$O,Submission!$H:$N,""))</f>
        <v/>
      </c>
      <c r="D903" s="414"/>
      <c r="E903" s="414"/>
      <c r="F903" s="414"/>
      <c r="G903" s="364"/>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74" t="str">
        <f>_xlfn.CONCAT(_xlfn.XLOOKUP("[S05_DefaultValues][702][InstallationCategory]",Submission!$O:$O,Submission!$H:$N,""))</f>
        <v/>
      </c>
      <c r="D904" s="414"/>
      <c r="E904" s="414"/>
      <c r="F904" s="414"/>
      <c r="G904" s="364"/>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74" t="str">
        <f>_xlfn.CONCAT(_xlfn.XLOOKUP("[S05_DefaultValues][703][InstallationCategory]",Submission!$O:$O,Submission!$H:$N,""))</f>
        <v/>
      </c>
      <c r="D905" s="414"/>
      <c r="E905" s="414"/>
      <c r="F905" s="414"/>
      <c r="G905" s="364"/>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74" t="str">
        <f>_xlfn.CONCAT(_xlfn.XLOOKUP("[S05_DefaultValues][704][InstallationCategory]",Submission!$O:$O,Submission!$H:$N,""))</f>
        <v/>
      </c>
      <c r="D906" s="414"/>
      <c r="E906" s="414"/>
      <c r="F906" s="414"/>
      <c r="G906" s="364"/>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74" t="str">
        <f>_xlfn.CONCAT(_xlfn.XLOOKUP("[S05_DefaultValues][705][InstallationCategory]",Submission!$O:$O,Submission!$H:$N,""))</f>
        <v/>
      </c>
      <c r="D907" s="414"/>
      <c r="E907" s="414"/>
      <c r="F907" s="414"/>
      <c r="G907" s="364"/>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74" t="str">
        <f>_xlfn.CONCAT(_xlfn.XLOOKUP("[S05_DefaultValues][706][InstallationCategory]",Submission!$O:$O,Submission!$H:$N,""))</f>
        <v/>
      </c>
      <c r="D908" s="414"/>
      <c r="E908" s="414"/>
      <c r="F908" s="414"/>
      <c r="G908" s="364"/>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74" t="str">
        <f>_xlfn.CONCAT(_xlfn.XLOOKUP("[S05_DefaultValues][707][InstallationCategory]",Submission!$O:$O,Submission!$H:$N,""))</f>
        <v/>
      </c>
      <c r="D909" s="414"/>
      <c r="E909" s="414"/>
      <c r="F909" s="414"/>
      <c r="G909" s="364"/>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74" t="str">
        <f>_xlfn.CONCAT(_xlfn.XLOOKUP("[S05_DefaultValues][708][InstallationCategory]",Submission!$O:$O,Submission!$H:$N,""))</f>
        <v/>
      </c>
      <c r="D910" s="414"/>
      <c r="E910" s="414"/>
      <c r="F910" s="414"/>
      <c r="G910" s="364"/>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74" t="str">
        <f>_xlfn.CONCAT(_xlfn.XLOOKUP("[S05_DefaultValues][709][InstallationCategory]",Submission!$O:$O,Submission!$H:$N,""))</f>
        <v/>
      </c>
      <c r="D911" s="414"/>
      <c r="E911" s="414"/>
      <c r="F911" s="414"/>
      <c r="G911" s="364"/>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74" t="str">
        <f>_xlfn.CONCAT(_xlfn.XLOOKUP("[S05_DefaultValues][710][InstallationCategory]",Submission!$O:$O,Submission!$H:$N,""))</f>
        <v/>
      </c>
      <c r="D912" s="414"/>
      <c r="E912" s="414"/>
      <c r="F912" s="414"/>
      <c r="G912" s="364"/>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74" t="str">
        <f>_xlfn.CONCAT(_xlfn.XLOOKUP("[S05_DefaultValues][711][InstallationCategory]",Submission!$O:$O,Submission!$H:$N,""))</f>
        <v/>
      </c>
      <c r="D913" s="414"/>
      <c r="E913" s="414"/>
      <c r="F913" s="414"/>
      <c r="G913" s="364"/>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74" t="str">
        <f>_xlfn.CONCAT(_xlfn.XLOOKUP("[S05_DefaultValues][712][InstallationCategory]",Submission!$O:$O,Submission!$H:$N,""))</f>
        <v/>
      </c>
      <c r="D914" s="414"/>
      <c r="E914" s="414"/>
      <c r="F914" s="414"/>
      <c r="G914" s="364"/>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74" t="str">
        <f>_xlfn.CONCAT(_xlfn.XLOOKUP("[S05_DefaultValues][713][InstallationCategory]",Submission!$O:$O,Submission!$H:$N,""))</f>
        <v/>
      </c>
      <c r="D915" s="414"/>
      <c r="E915" s="414"/>
      <c r="F915" s="414"/>
      <c r="G915" s="364"/>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74" t="str">
        <f>_xlfn.CONCAT(_xlfn.XLOOKUP("[S05_DefaultValues][714][InstallationCategory]",Submission!$O:$O,Submission!$H:$N,""))</f>
        <v/>
      </c>
      <c r="D916" s="414"/>
      <c r="E916" s="414"/>
      <c r="F916" s="414"/>
      <c r="G916" s="364"/>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74" t="str">
        <f>_xlfn.CONCAT(_xlfn.XLOOKUP("[S05_DefaultValues][715][InstallationCategory]",Submission!$O:$O,Submission!$H:$N,""))</f>
        <v/>
      </c>
      <c r="D917" s="414"/>
      <c r="E917" s="414"/>
      <c r="F917" s="414"/>
      <c r="G917" s="364"/>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74" t="str">
        <f>_xlfn.CONCAT(_xlfn.XLOOKUP("[S05_DefaultValues][716][InstallationCategory]",Submission!$O:$O,Submission!$H:$N,""))</f>
        <v/>
      </c>
      <c r="D918" s="414"/>
      <c r="E918" s="414"/>
      <c r="F918" s="414"/>
      <c r="G918" s="364"/>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74" t="str">
        <f>_xlfn.CONCAT(_xlfn.XLOOKUP("[S05_DefaultValues][717][InstallationCategory]",Submission!$O:$O,Submission!$H:$N,""))</f>
        <v/>
      </c>
      <c r="D919" s="414"/>
      <c r="E919" s="414"/>
      <c r="F919" s="414"/>
      <c r="G919" s="364"/>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74" t="str">
        <f>_xlfn.CONCAT(_xlfn.XLOOKUP("[S05_DefaultValues][718][InstallationCategory]",Submission!$O:$O,Submission!$H:$N,""))</f>
        <v/>
      </c>
      <c r="D920" s="414"/>
      <c r="E920" s="414"/>
      <c r="F920" s="414"/>
      <c r="G920" s="364"/>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74" t="str">
        <f>_xlfn.CONCAT(_xlfn.XLOOKUP("[S05_DefaultValues][719][InstallationCategory]",Submission!$O:$O,Submission!$H:$N,""))</f>
        <v/>
      </c>
      <c r="D921" s="414"/>
      <c r="E921" s="414"/>
      <c r="F921" s="414"/>
      <c r="G921" s="364"/>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74" t="str">
        <f>_xlfn.CONCAT(_xlfn.XLOOKUP("[S05_DefaultValues][720][InstallationCategory]",Submission!$O:$O,Submission!$H:$N,""))</f>
        <v/>
      </c>
      <c r="D922" s="414"/>
      <c r="E922" s="414"/>
      <c r="F922" s="414"/>
      <c r="G922" s="364"/>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74" t="str">
        <f>_xlfn.CONCAT(_xlfn.XLOOKUP("[S05_DefaultValues][721][InstallationCategory]",Submission!$O:$O,Submission!$H:$N,""))</f>
        <v/>
      </c>
      <c r="D923" s="414"/>
      <c r="E923" s="414"/>
      <c r="F923" s="414"/>
      <c r="G923" s="364"/>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74" t="str">
        <f>_xlfn.CONCAT(_xlfn.XLOOKUP("[S05_DefaultValues][722][InstallationCategory]",Submission!$O:$O,Submission!$H:$N,""))</f>
        <v/>
      </c>
      <c r="D924" s="414"/>
      <c r="E924" s="414"/>
      <c r="F924" s="414"/>
      <c r="G924" s="364"/>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74" t="str">
        <f>_xlfn.CONCAT(_xlfn.XLOOKUP("[S05_DefaultValues][723][InstallationCategory]",Submission!$O:$O,Submission!$H:$N,""))</f>
        <v/>
      </c>
      <c r="D925" s="414"/>
      <c r="E925" s="414"/>
      <c r="F925" s="414"/>
      <c r="G925" s="364"/>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74" t="str">
        <f>_xlfn.CONCAT(_xlfn.XLOOKUP("[S05_DefaultValues][724][InstallationCategory]",Submission!$O:$O,Submission!$H:$N,""))</f>
        <v/>
      </c>
      <c r="D926" s="414"/>
      <c r="E926" s="414"/>
      <c r="F926" s="414"/>
      <c r="G926" s="364"/>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74" t="str">
        <f>_xlfn.CONCAT(_xlfn.XLOOKUP("[S05_DefaultValues][725][InstallationCategory]",Submission!$O:$O,Submission!$H:$N,""))</f>
        <v/>
      </c>
      <c r="D927" s="414"/>
      <c r="E927" s="414"/>
      <c r="F927" s="414"/>
      <c r="G927" s="364"/>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74" t="str">
        <f>_xlfn.CONCAT(_xlfn.XLOOKUP("[S05_DefaultValues][726][InstallationCategory]",Submission!$O:$O,Submission!$H:$N,""))</f>
        <v/>
      </c>
      <c r="D928" s="414"/>
      <c r="E928" s="414"/>
      <c r="F928" s="414"/>
      <c r="G928" s="364"/>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74" t="str">
        <f>_xlfn.CONCAT(_xlfn.XLOOKUP("[S05_DefaultValues][727][InstallationCategory]",Submission!$O:$O,Submission!$H:$N,""))</f>
        <v/>
      </c>
      <c r="D929" s="414"/>
      <c r="E929" s="414"/>
      <c r="F929" s="414"/>
      <c r="G929" s="364"/>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74" t="str">
        <f>_xlfn.CONCAT(_xlfn.XLOOKUP("[S05_DefaultValues][728][InstallationCategory]",Submission!$O:$O,Submission!$H:$N,""))</f>
        <v/>
      </c>
      <c r="D930" s="414"/>
      <c r="E930" s="414"/>
      <c r="F930" s="414"/>
      <c r="G930" s="364"/>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74" t="str">
        <f>_xlfn.CONCAT(_xlfn.XLOOKUP("[S05_DefaultValues][729][InstallationCategory]",Submission!$O:$O,Submission!$H:$N,""))</f>
        <v/>
      </c>
      <c r="D931" s="414"/>
      <c r="E931" s="414"/>
      <c r="F931" s="414"/>
      <c r="G931" s="364"/>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74" t="str">
        <f>_xlfn.CONCAT(_xlfn.XLOOKUP("[S05_DefaultValues][730][InstallationCategory]",Submission!$O:$O,Submission!$H:$N,""))</f>
        <v/>
      </c>
      <c r="D932" s="414"/>
      <c r="E932" s="414"/>
      <c r="F932" s="414"/>
      <c r="G932" s="364"/>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74" t="str">
        <f>_xlfn.CONCAT(_xlfn.XLOOKUP("[S05_DefaultValues][731][InstallationCategory]",Submission!$O:$O,Submission!$H:$N,""))</f>
        <v/>
      </c>
      <c r="D933" s="414"/>
      <c r="E933" s="414"/>
      <c r="F933" s="414"/>
      <c r="G933" s="364"/>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74" t="str">
        <f>_xlfn.CONCAT(_xlfn.XLOOKUP("[S05_DefaultValues][732][InstallationCategory]",Submission!$O:$O,Submission!$H:$N,""))</f>
        <v/>
      </c>
      <c r="D934" s="414"/>
      <c r="E934" s="414"/>
      <c r="F934" s="414"/>
      <c r="G934" s="364"/>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74" t="str">
        <f>_xlfn.CONCAT(_xlfn.XLOOKUP("[S05_DefaultValues][733][InstallationCategory]",Submission!$O:$O,Submission!$H:$N,""))</f>
        <v/>
      </c>
      <c r="D935" s="414"/>
      <c r="E935" s="414"/>
      <c r="F935" s="414"/>
      <c r="G935" s="364"/>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74" t="str">
        <f>_xlfn.CONCAT(_xlfn.XLOOKUP("[S05_DefaultValues][734][InstallationCategory]",Submission!$O:$O,Submission!$H:$N,""))</f>
        <v/>
      </c>
      <c r="D936" s="414"/>
      <c r="E936" s="414"/>
      <c r="F936" s="414"/>
      <c r="G936" s="364"/>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74" t="str">
        <f>_xlfn.CONCAT(_xlfn.XLOOKUP("[S05_DefaultValues][735][InstallationCategory]",Submission!$O:$O,Submission!$H:$N,""))</f>
        <v/>
      </c>
      <c r="D937" s="414"/>
      <c r="E937" s="414"/>
      <c r="F937" s="414"/>
      <c r="G937" s="364"/>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74" t="str">
        <f>_xlfn.CONCAT(_xlfn.XLOOKUP("[S05_DefaultValues][736][InstallationCategory]",Submission!$O:$O,Submission!$H:$N,""))</f>
        <v/>
      </c>
      <c r="D938" s="414"/>
      <c r="E938" s="414"/>
      <c r="F938" s="414"/>
      <c r="G938" s="364"/>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74" t="str">
        <f>_xlfn.CONCAT(_xlfn.XLOOKUP("[S05_DefaultValues][737][InstallationCategory]",Submission!$O:$O,Submission!$H:$N,""))</f>
        <v/>
      </c>
      <c r="D939" s="414"/>
      <c r="E939" s="414"/>
      <c r="F939" s="414"/>
      <c r="G939" s="364"/>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74" t="str">
        <f>_xlfn.CONCAT(_xlfn.XLOOKUP("[S05_DefaultValues][738][InstallationCategory]",Submission!$O:$O,Submission!$H:$N,""))</f>
        <v/>
      </c>
      <c r="D940" s="414"/>
      <c r="E940" s="414"/>
      <c r="F940" s="414"/>
      <c r="G940" s="364"/>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74" t="str">
        <f>_xlfn.CONCAT(_xlfn.XLOOKUP("[S05_DefaultValues][739][InstallationCategory]",Submission!$O:$O,Submission!$H:$N,""))</f>
        <v/>
      </c>
      <c r="D941" s="414"/>
      <c r="E941" s="414"/>
      <c r="F941" s="414"/>
      <c r="G941" s="364"/>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74" t="str">
        <f>_xlfn.CONCAT(_xlfn.XLOOKUP("[S05_DefaultValues][740][InstallationCategory]",Submission!$O:$O,Submission!$H:$N,""))</f>
        <v/>
      </c>
      <c r="D942" s="414"/>
      <c r="E942" s="414"/>
      <c r="F942" s="414"/>
      <c r="G942" s="364"/>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74" t="str">
        <f>_xlfn.CONCAT(_xlfn.XLOOKUP("[S05_DefaultValues][741][InstallationCategory]",Submission!$O:$O,Submission!$H:$N,""))</f>
        <v/>
      </c>
      <c r="D943" s="414"/>
      <c r="E943" s="414"/>
      <c r="F943" s="414"/>
      <c r="G943" s="364"/>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74" t="str">
        <f>_xlfn.CONCAT(_xlfn.XLOOKUP("[S05_DefaultValues][742][InstallationCategory]",Submission!$O:$O,Submission!$H:$N,""))</f>
        <v/>
      </c>
      <c r="D944" s="414"/>
      <c r="E944" s="414"/>
      <c r="F944" s="414"/>
      <c r="G944" s="364"/>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74" t="str">
        <f>_xlfn.CONCAT(_xlfn.XLOOKUP("[S05_DefaultValues][743][InstallationCategory]",Submission!$O:$O,Submission!$H:$N,""))</f>
        <v/>
      </c>
      <c r="D945" s="414"/>
      <c r="E945" s="414"/>
      <c r="F945" s="414"/>
      <c r="G945" s="364"/>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74" t="str">
        <f>_xlfn.CONCAT(_xlfn.XLOOKUP("[S05_DefaultValues][744][InstallationCategory]",Submission!$O:$O,Submission!$H:$N,""))</f>
        <v/>
      </c>
      <c r="D946" s="414"/>
      <c r="E946" s="414"/>
      <c r="F946" s="414"/>
      <c r="G946" s="364"/>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74" t="str">
        <f>_xlfn.CONCAT(_xlfn.XLOOKUP("[S05_DefaultValues][745][InstallationCategory]",Submission!$O:$O,Submission!$H:$N,""))</f>
        <v/>
      </c>
      <c r="D947" s="414"/>
      <c r="E947" s="414"/>
      <c r="F947" s="414"/>
      <c r="G947" s="364"/>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74" t="str">
        <f>_xlfn.CONCAT(_xlfn.XLOOKUP("[S05_DefaultValues][746][InstallationCategory]",Submission!$O:$O,Submission!$H:$N,""))</f>
        <v/>
      </c>
      <c r="D948" s="414"/>
      <c r="E948" s="414"/>
      <c r="F948" s="414"/>
      <c r="G948" s="364"/>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74" t="str">
        <f>_xlfn.CONCAT(_xlfn.XLOOKUP("[S05_DefaultValues][747][InstallationCategory]",Submission!$O:$O,Submission!$H:$N,""))</f>
        <v/>
      </c>
      <c r="D949" s="414"/>
      <c r="E949" s="414"/>
      <c r="F949" s="414"/>
      <c r="G949" s="364"/>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74" t="str">
        <f>_xlfn.CONCAT(_xlfn.XLOOKUP("[S05_DefaultValues][748][InstallationCategory]",Submission!$O:$O,Submission!$H:$N,""))</f>
        <v/>
      </c>
      <c r="D950" s="414"/>
      <c r="E950" s="414"/>
      <c r="F950" s="414"/>
      <c r="G950" s="364"/>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74" t="str">
        <f>_xlfn.CONCAT(_xlfn.XLOOKUP("[S05_DefaultValues][749][InstallationCategory]",Submission!$O:$O,Submission!$H:$N,""))</f>
        <v/>
      </c>
      <c r="D951" s="414"/>
      <c r="E951" s="414"/>
      <c r="F951" s="414"/>
      <c r="G951" s="364"/>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74" t="str">
        <f>_xlfn.CONCAT(_xlfn.XLOOKUP("[S05_DefaultValues][750][InstallationCategory]",Submission!$O:$O,Submission!$H:$N,""))</f>
        <v/>
      </c>
      <c r="D952" s="414"/>
      <c r="E952" s="414"/>
      <c r="F952" s="414"/>
      <c r="G952" s="364"/>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74" t="str">
        <f>_xlfn.CONCAT(_xlfn.XLOOKUP("[S05_DefaultValues][751][InstallationCategory]",Submission!$O:$O,Submission!$H:$N,""))</f>
        <v/>
      </c>
      <c r="D953" s="414"/>
      <c r="E953" s="414"/>
      <c r="F953" s="414"/>
      <c r="G953" s="364"/>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74" t="str">
        <f>_xlfn.CONCAT(_xlfn.XLOOKUP("[S05_DefaultValues][752][InstallationCategory]",Submission!$O:$O,Submission!$H:$N,""))</f>
        <v/>
      </c>
      <c r="D954" s="414"/>
      <c r="E954" s="414"/>
      <c r="F954" s="414"/>
      <c r="G954" s="364"/>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74" t="str">
        <f>_xlfn.CONCAT(_xlfn.XLOOKUP("[S05_DefaultValues][753][InstallationCategory]",Submission!$O:$O,Submission!$H:$N,""))</f>
        <v/>
      </c>
      <c r="D955" s="414"/>
      <c r="E955" s="414"/>
      <c r="F955" s="414"/>
      <c r="G955" s="364"/>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74" t="str">
        <f>_xlfn.CONCAT(_xlfn.XLOOKUP("[S05_DefaultValues][754][InstallationCategory]",Submission!$O:$O,Submission!$H:$N,""))</f>
        <v/>
      </c>
      <c r="D956" s="414"/>
      <c r="E956" s="414"/>
      <c r="F956" s="414"/>
      <c r="G956" s="364"/>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74" t="str">
        <f>_xlfn.CONCAT(_xlfn.XLOOKUP("[S05_DefaultValues][755][InstallationCategory]",Submission!$O:$O,Submission!$H:$N,""))</f>
        <v/>
      </c>
      <c r="D957" s="414"/>
      <c r="E957" s="414"/>
      <c r="F957" s="414"/>
      <c r="G957" s="364"/>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74" t="str">
        <f>_xlfn.CONCAT(_xlfn.XLOOKUP("[S05_DefaultValues][756][InstallationCategory]",Submission!$O:$O,Submission!$H:$N,""))</f>
        <v/>
      </c>
      <c r="D958" s="414"/>
      <c r="E958" s="414"/>
      <c r="F958" s="414"/>
      <c r="G958" s="364"/>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74" t="str">
        <f>_xlfn.CONCAT(_xlfn.XLOOKUP("[S05_DefaultValues][757][InstallationCategory]",Submission!$O:$O,Submission!$H:$N,""))</f>
        <v/>
      </c>
      <c r="D959" s="414"/>
      <c r="E959" s="414"/>
      <c r="F959" s="414"/>
      <c r="G959" s="364"/>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74" t="str">
        <f>_xlfn.CONCAT(_xlfn.XLOOKUP("[S05_DefaultValues][758][InstallationCategory]",Submission!$O:$O,Submission!$H:$N,""))</f>
        <v/>
      </c>
      <c r="D960" s="414"/>
      <c r="E960" s="414"/>
      <c r="F960" s="414"/>
      <c r="G960" s="364"/>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74" t="str">
        <f>_xlfn.CONCAT(_xlfn.XLOOKUP("[S05_DefaultValues][759][InstallationCategory]",Submission!$O:$O,Submission!$H:$N,""))</f>
        <v/>
      </c>
      <c r="D961" s="414"/>
      <c r="E961" s="414"/>
      <c r="F961" s="414"/>
      <c r="G961" s="364"/>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74" t="str">
        <f>_xlfn.CONCAT(_xlfn.XLOOKUP("[S05_DefaultValues][760][InstallationCategory]",Submission!$O:$O,Submission!$H:$N,""))</f>
        <v/>
      </c>
      <c r="D962" s="414"/>
      <c r="E962" s="414"/>
      <c r="F962" s="414"/>
      <c r="G962" s="364"/>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74" t="str">
        <f>_xlfn.CONCAT(_xlfn.XLOOKUP("[S05_DefaultValues][761][InstallationCategory]",Submission!$O:$O,Submission!$H:$N,""))</f>
        <v/>
      </c>
      <c r="D963" s="414"/>
      <c r="E963" s="414"/>
      <c r="F963" s="414"/>
      <c r="G963" s="364"/>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74" t="str">
        <f>_xlfn.CONCAT(_xlfn.XLOOKUP("[S05_DefaultValues][762][InstallationCategory]",Submission!$O:$O,Submission!$H:$N,""))</f>
        <v/>
      </c>
      <c r="D964" s="414"/>
      <c r="E964" s="414"/>
      <c r="F964" s="414"/>
      <c r="G964" s="364"/>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74" t="str">
        <f>_xlfn.CONCAT(_xlfn.XLOOKUP("[S05_DefaultValues][763][InstallationCategory]",Submission!$O:$O,Submission!$H:$N,""))</f>
        <v/>
      </c>
      <c r="D965" s="414"/>
      <c r="E965" s="414"/>
      <c r="F965" s="414"/>
      <c r="G965" s="364"/>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74" t="str">
        <f>_xlfn.CONCAT(_xlfn.XLOOKUP("[S05_DefaultValues][764][InstallationCategory]",Submission!$O:$O,Submission!$H:$N,""))</f>
        <v/>
      </c>
      <c r="D966" s="414"/>
      <c r="E966" s="414"/>
      <c r="F966" s="414"/>
      <c r="G966" s="364"/>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74" t="str">
        <f>_xlfn.CONCAT(_xlfn.XLOOKUP("[S05_DefaultValues][765][InstallationCategory]",Submission!$O:$O,Submission!$H:$N,""))</f>
        <v/>
      </c>
      <c r="D967" s="414"/>
      <c r="E967" s="414"/>
      <c r="F967" s="414"/>
      <c r="G967" s="364"/>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74" t="str">
        <f>_xlfn.CONCAT(_xlfn.XLOOKUP("[S05_DefaultValues][766][InstallationCategory]",Submission!$O:$O,Submission!$H:$N,""))</f>
        <v/>
      </c>
      <c r="D968" s="414"/>
      <c r="E968" s="414"/>
      <c r="F968" s="414"/>
      <c r="G968" s="364"/>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74" t="str">
        <f>_xlfn.CONCAT(_xlfn.XLOOKUP("[S05_DefaultValues][767][InstallationCategory]",Submission!$O:$O,Submission!$H:$N,""))</f>
        <v/>
      </c>
      <c r="D969" s="414"/>
      <c r="E969" s="414"/>
      <c r="F969" s="414"/>
      <c r="G969" s="364"/>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74" t="str">
        <f>_xlfn.CONCAT(_xlfn.XLOOKUP("[S05_DefaultValues][768][InstallationCategory]",Submission!$O:$O,Submission!$H:$N,""))</f>
        <v/>
      </c>
      <c r="D970" s="414"/>
      <c r="E970" s="414"/>
      <c r="F970" s="414"/>
      <c r="G970" s="364"/>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74" t="str">
        <f>_xlfn.CONCAT(_xlfn.XLOOKUP("[S05_DefaultValues][769][InstallationCategory]",Submission!$O:$O,Submission!$H:$N,""))</f>
        <v/>
      </c>
      <c r="D971" s="414"/>
      <c r="E971" s="414"/>
      <c r="F971" s="414"/>
      <c r="G971" s="364"/>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74" t="str">
        <f>_xlfn.CONCAT(_xlfn.XLOOKUP("[S05_DefaultValues][770][InstallationCategory]",Submission!$O:$O,Submission!$H:$N,""))</f>
        <v/>
      </c>
      <c r="D972" s="414"/>
      <c r="E972" s="414"/>
      <c r="F972" s="414"/>
      <c r="G972" s="364"/>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74" t="str">
        <f>_xlfn.CONCAT(_xlfn.XLOOKUP("[S05_DefaultValues][771][InstallationCategory]",Submission!$O:$O,Submission!$H:$N,""))</f>
        <v/>
      </c>
      <c r="D973" s="414"/>
      <c r="E973" s="414"/>
      <c r="F973" s="414"/>
      <c r="G973" s="364"/>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74" t="str">
        <f>_xlfn.CONCAT(_xlfn.XLOOKUP("[S05_DefaultValues][772][InstallationCategory]",Submission!$O:$O,Submission!$H:$N,""))</f>
        <v/>
      </c>
      <c r="D974" s="414"/>
      <c r="E974" s="414"/>
      <c r="F974" s="414"/>
      <c r="G974" s="364"/>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74" t="str">
        <f>_xlfn.CONCAT(_xlfn.XLOOKUP("[S05_DefaultValues][773][InstallationCategory]",Submission!$O:$O,Submission!$H:$N,""))</f>
        <v/>
      </c>
      <c r="D975" s="414"/>
      <c r="E975" s="414"/>
      <c r="F975" s="414"/>
      <c r="G975" s="364"/>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74" t="str">
        <f>_xlfn.CONCAT(_xlfn.XLOOKUP("[S05_DefaultValues][774][InstallationCategory]",Submission!$O:$O,Submission!$H:$N,""))</f>
        <v/>
      </c>
      <c r="D976" s="414"/>
      <c r="E976" s="414"/>
      <c r="F976" s="414"/>
      <c r="G976" s="364"/>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74" t="str">
        <f>_xlfn.CONCAT(_xlfn.XLOOKUP("[S05_DefaultValues][775][InstallationCategory]",Submission!$O:$O,Submission!$H:$N,""))</f>
        <v/>
      </c>
      <c r="D977" s="414"/>
      <c r="E977" s="414"/>
      <c r="F977" s="414"/>
      <c r="G977" s="364"/>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74" t="str">
        <f>_xlfn.CONCAT(_xlfn.XLOOKUP("[S05_DefaultValues][776][InstallationCategory]",Submission!$O:$O,Submission!$H:$N,""))</f>
        <v/>
      </c>
      <c r="D978" s="414"/>
      <c r="E978" s="414"/>
      <c r="F978" s="414"/>
      <c r="G978" s="364"/>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74" t="str">
        <f>_xlfn.CONCAT(_xlfn.XLOOKUP("[S05_DefaultValues][777][InstallationCategory]",Submission!$O:$O,Submission!$H:$N,""))</f>
        <v/>
      </c>
      <c r="D979" s="414"/>
      <c r="E979" s="414"/>
      <c r="F979" s="414"/>
      <c r="G979" s="364"/>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74" t="str">
        <f>_xlfn.CONCAT(_xlfn.XLOOKUP("[S05_DefaultValues][778][InstallationCategory]",Submission!$O:$O,Submission!$H:$N,""))</f>
        <v/>
      </c>
      <c r="D980" s="414"/>
      <c r="E980" s="414"/>
      <c r="F980" s="414"/>
      <c r="G980" s="364"/>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74" t="str">
        <f>_xlfn.CONCAT(_xlfn.XLOOKUP("[S05_DefaultValues][779][InstallationCategory]",Submission!$O:$O,Submission!$H:$N,""))</f>
        <v/>
      </c>
      <c r="D981" s="414"/>
      <c r="E981" s="414"/>
      <c r="F981" s="414"/>
      <c r="G981" s="364"/>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74" t="str">
        <f>_xlfn.CONCAT(_xlfn.XLOOKUP("[S05_DefaultValues][780][InstallationCategory]",Submission!$O:$O,Submission!$H:$N,""))</f>
        <v/>
      </c>
      <c r="D982" s="414"/>
      <c r="E982" s="414"/>
      <c r="F982" s="414"/>
      <c r="G982" s="364"/>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74" t="str">
        <f>_xlfn.CONCAT(_xlfn.XLOOKUP("[S05_DefaultValues][781][InstallationCategory]",Submission!$O:$O,Submission!$H:$N,""))</f>
        <v/>
      </c>
      <c r="D983" s="414"/>
      <c r="E983" s="414"/>
      <c r="F983" s="414"/>
      <c r="G983" s="364"/>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74" t="str">
        <f>_xlfn.CONCAT(_xlfn.XLOOKUP("[S05_DefaultValues][782][InstallationCategory]",Submission!$O:$O,Submission!$H:$N,""))</f>
        <v/>
      </c>
      <c r="D984" s="414"/>
      <c r="E984" s="414"/>
      <c r="F984" s="414"/>
      <c r="G984" s="364"/>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74" t="str">
        <f>_xlfn.CONCAT(_xlfn.XLOOKUP("[S05_DefaultValues][783][InstallationCategory]",Submission!$O:$O,Submission!$H:$N,""))</f>
        <v/>
      </c>
      <c r="D985" s="414"/>
      <c r="E985" s="414"/>
      <c r="F985" s="414"/>
      <c r="G985" s="364"/>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74" t="str">
        <f>_xlfn.CONCAT(_xlfn.XLOOKUP("[S05_DefaultValues][784][InstallationCategory]",Submission!$O:$O,Submission!$H:$N,""))</f>
        <v/>
      </c>
      <c r="D986" s="414"/>
      <c r="E986" s="414"/>
      <c r="F986" s="414"/>
      <c r="G986" s="364"/>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74" t="str">
        <f>_xlfn.CONCAT(_xlfn.XLOOKUP("[S05_DefaultValues][785][InstallationCategory]",Submission!$O:$O,Submission!$H:$N,""))</f>
        <v/>
      </c>
      <c r="D987" s="414"/>
      <c r="E987" s="414"/>
      <c r="F987" s="414"/>
      <c r="G987" s="364"/>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74" t="str">
        <f>_xlfn.CONCAT(_xlfn.XLOOKUP("[S05_DefaultValues][786][InstallationCategory]",Submission!$O:$O,Submission!$H:$N,""))</f>
        <v/>
      </c>
      <c r="D988" s="414"/>
      <c r="E988" s="414"/>
      <c r="F988" s="414"/>
      <c r="G988" s="364"/>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74" t="str">
        <f>_xlfn.CONCAT(_xlfn.XLOOKUP("[S05_DefaultValues][787][InstallationCategory]",Submission!$O:$O,Submission!$H:$N,""))</f>
        <v/>
      </c>
      <c r="D989" s="414"/>
      <c r="E989" s="414"/>
      <c r="F989" s="414"/>
      <c r="G989" s="364"/>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74" t="str">
        <f>_xlfn.CONCAT(_xlfn.XLOOKUP("[S05_DefaultValues][788][InstallationCategory]",Submission!$O:$O,Submission!$H:$N,""))</f>
        <v/>
      </c>
      <c r="D990" s="414"/>
      <c r="E990" s="414"/>
      <c r="F990" s="414"/>
      <c r="G990" s="364"/>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74" t="str">
        <f>_xlfn.CONCAT(_xlfn.XLOOKUP("[S05_DefaultValues][789][InstallationCategory]",Submission!$O:$O,Submission!$H:$N,""))</f>
        <v/>
      </c>
      <c r="D991" s="414"/>
      <c r="E991" s="414"/>
      <c r="F991" s="414"/>
      <c r="G991" s="364"/>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74" t="str">
        <f>_xlfn.CONCAT(_xlfn.XLOOKUP("[S05_DefaultValues][790][InstallationCategory]",Submission!$O:$O,Submission!$H:$N,""))</f>
        <v/>
      </c>
      <c r="D992" s="414"/>
      <c r="E992" s="414"/>
      <c r="F992" s="414"/>
      <c r="G992" s="364"/>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74" t="str">
        <f>_xlfn.CONCAT(_xlfn.XLOOKUP("[S05_DefaultValues][791][InstallationCategory]",Submission!$O:$O,Submission!$H:$N,""))</f>
        <v/>
      </c>
      <c r="D993" s="414"/>
      <c r="E993" s="414"/>
      <c r="F993" s="414"/>
      <c r="G993" s="364"/>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74" t="str">
        <f>_xlfn.CONCAT(_xlfn.XLOOKUP("[S05_DefaultValues][792][InstallationCategory]",Submission!$O:$O,Submission!$H:$N,""))</f>
        <v/>
      </c>
      <c r="D994" s="414"/>
      <c r="E994" s="414"/>
      <c r="F994" s="414"/>
      <c r="G994" s="364"/>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74" t="str">
        <f>_xlfn.CONCAT(_xlfn.XLOOKUP("[S05_DefaultValues][793][InstallationCategory]",Submission!$O:$O,Submission!$H:$N,""))</f>
        <v/>
      </c>
      <c r="D995" s="414"/>
      <c r="E995" s="414"/>
      <c r="F995" s="414"/>
      <c r="G995" s="364"/>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74" t="str">
        <f>_xlfn.CONCAT(_xlfn.XLOOKUP("[S05_DefaultValues][794][InstallationCategory]",Submission!$O:$O,Submission!$H:$N,""))</f>
        <v/>
      </c>
      <c r="D996" s="414"/>
      <c r="E996" s="414"/>
      <c r="F996" s="414"/>
      <c r="G996" s="364"/>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74" t="str">
        <f>_xlfn.CONCAT(_xlfn.XLOOKUP("[S05_DefaultValues][795][InstallationCategory]",Submission!$O:$O,Submission!$H:$N,""))</f>
        <v/>
      </c>
      <c r="D997" s="414"/>
      <c r="E997" s="414"/>
      <c r="F997" s="414"/>
      <c r="G997" s="364"/>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74" t="str">
        <f>_xlfn.CONCAT(_xlfn.XLOOKUP("[S05_DefaultValues][796][InstallationCategory]",Submission!$O:$O,Submission!$H:$N,""))</f>
        <v/>
      </c>
      <c r="D998" s="414"/>
      <c r="E998" s="414"/>
      <c r="F998" s="414"/>
      <c r="G998" s="364"/>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74" t="str">
        <f>_xlfn.CONCAT(_xlfn.XLOOKUP("[S05_DefaultValues][797][InstallationCategory]",Submission!$O:$O,Submission!$H:$N,""))</f>
        <v/>
      </c>
      <c r="D999" s="414"/>
      <c r="E999" s="414"/>
      <c r="F999" s="414"/>
      <c r="G999" s="364"/>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74" t="str">
        <f>_xlfn.CONCAT(_xlfn.XLOOKUP("[S05_DefaultValues][798][InstallationCategory]",Submission!$O:$O,Submission!$H:$N,""))</f>
        <v/>
      </c>
      <c r="D1000" s="414"/>
      <c r="E1000" s="414"/>
      <c r="F1000" s="414"/>
      <c r="G1000" s="364"/>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74" t="str">
        <f>_xlfn.CONCAT(_xlfn.XLOOKUP("[S05_DefaultValues][799][InstallationCategory]",Submission!$O:$O,Submission!$H:$N,""))</f>
        <v/>
      </c>
      <c r="D1001" s="414"/>
      <c r="E1001" s="414"/>
      <c r="F1001" s="414"/>
      <c r="G1001" s="364"/>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74" t="str">
        <f>_xlfn.CONCAT(_xlfn.XLOOKUP("[S05_DefaultValues][800][InstallationCategory]",Submission!$O:$O,Submission!$H:$N,""))</f>
        <v/>
      </c>
      <c r="D1002" s="414"/>
      <c r="E1002" s="414"/>
      <c r="F1002" s="414"/>
      <c r="G1002" s="364"/>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58" t="s">
        <v>862</v>
      </c>
      <c r="D1004" s="358"/>
      <c r="E1004" s="358"/>
      <c r="F1004" s="358"/>
      <c r="G1004" s="358"/>
      <c r="H1004" s="358"/>
      <c r="I1004" s="358"/>
    </row>
    <row r="1005" spans="1:9" ht="15.9" customHeight="1" x14ac:dyDescent="0.3">
      <c r="B1005" s="34"/>
      <c r="C1005" s="33"/>
      <c r="D1005" s="31"/>
      <c r="E1005" s="33"/>
      <c r="F1005" s="33"/>
      <c r="G1005" s="35"/>
      <c r="H1005" s="35"/>
      <c r="I1005" s="35"/>
    </row>
    <row r="1006" spans="1:9" ht="34.950000000000003" customHeight="1" x14ac:dyDescent="0.3">
      <c r="A1006" s="12" t="s">
        <v>241</v>
      </c>
      <c r="B1006" s="338" t="s">
        <v>863</v>
      </c>
      <c r="C1006" s="308"/>
      <c r="D1006" s="308"/>
      <c r="E1006" s="308"/>
      <c r="F1006" s="308"/>
      <c r="G1006" s="308"/>
      <c r="H1006" s="308"/>
      <c r="I1006" s="308"/>
    </row>
    <row r="1007" spans="1:9" ht="69" customHeight="1" x14ac:dyDescent="0.3">
      <c r="B1007" s="34"/>
      <c r="C1007" s="314" t="s">
        <v>864</v>
      </c>
      <c r="D1007" s="316"/>
      <c r="E1007" s="42" t="s">
        <v>865</v>
      </c>
      <c r="F1007" s="42" t="s">
        <v>866</v>
      </c>
      <c r="G1007" s="314" t="s">
        <v>867</v>
      </c>
      <c r="H1007" s="315"/>
      <c r="I1007" s="316"/>
    </row>
    <row r="1008" spans="1:9" ht="15.9" customHeight="1" x14ac:dyDescent="0.3">
      <c r="A1008" s="13"/>
      <c r="B1008" s="34"/>
      <c r="C1008" s="258" t="str">
        <f>_xlfn.CONCAT(_xlfn.XLOOKUP("[S05_InstallationDifferentSamplingFrequency][1][SamplingFuelMaterial]",Submission!$O:$O,Submission!$H:$N,""))</f>
        <v/>
      </c>
      <c r="D1008" s="260"/>
      <c r="E1008" s="105" t="str">
        <f>_xlfn.CONCAT(_xlfn.XLOOKUP("[S05_InstallationDifferentSamplingFrequency][1][CountInstallationsDiffFrequency]",Submission!$O:$O,Submission!$H:$N,""))</f>
        <v/>
      </c>
      <c r="F1008" s="105" t="str">
        <f>_xlfn.CONCAT(_xlfn.XLOOKUP("[S05_InstallationDifferentSamplingFrequency][1][MajorSourceStreams]",Submission!$O:$O,Submission!$H:$N,""))</f>
        <v/>
      </c>
      <c r="G1008" s="47" t="str">
        <f>_xlfn.CONCAT(_xlfn.XLOOKUP("[S05_InstallationDifferentSamplingFrequency][1][SamplingPlanDocumented]",Submission!$O:$O,Submission!$H:$N,""))</f>
        <v/>
      </c>
      <c r="H1008" s="243" t="str">
        <f>_xlfn.CONCAT(_xlfn.XLOOKUP("[S05_InstallationDifferentSamplingFrequency][1][SamplingPlanNotDocumentedReason]",Submission!$O:$O,Submission!$H:$N,""))</f>
        <v/>
      </c>
      <c r="I1008" s="245"/>
    </row>
    <row r="1009" spans="1:9" ht="15.9" customHeight="1" x14ac:dyDescent="0.3">
      <c r="A1009" s="13"/>
      <c r="B1009" s="34"/>
      <c r="C1009" s="258" t="str">
        <f>_xlfn.CONCAT(_xlfn.XLOOKUP("[S05_InstallationDifferentSamplingFrequency][2][SamplingFuelMaterial]",Submission!$O:$O,Submission!$H:$N,""))</f>
        <v/>
      </c>
      <c r="D1009" s="260"/>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3" t="str">
        <f>_xlfn.CONCAT(_xlfn.XLOOKUP("[S05_InstallationDifferentSamplingFrequency][2][SamplingPlanNotDocumentedReason]",Submission!$O:$O,Submission!$H:$N,""))</f>
        <v/>
      </c>
      <c r="I1009" s="245"/>
    </row>
    <row r="1010" spans="1:9" ht="15.9" customHeight="1" x14ac:dyDescent="0.3">
      <c r="A1010" s="13"/>
      <c r="B1010" s="34"/>
      <c r="C1010" s="258" t="str">
        <f>_xlfn.CONCAT(_xlfn.XLOOKUP("[S05_InstallationDifferentSamplingFrequency][3][SamplingFuelMaterial]",Submission!$O:$O,Submission!$H:$N,""))</f>
        <v/>
      </c>
      <c r="D1010" s="260"/>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3" t="str">
        <f>_xlfn.CONCAT(_xlfn.XLOOKUP("[S05_InstallationDifferentSamplingFrequency][3][SamplingPlanNotDocumentedReason]",Submission!$O:$O,Submission!$H:$N,""))</f>
        <v/>
      </c>
      <c r="I1010" s="245"/>
    </row>
    <row r="1011" spans="1:9" ht="15.9" customHeight="1" x14ac:dyDescent="0.3">
      <c r="A1011" s="13"/>
      <c r="B1011" s="34"/>
      <c r="C1011" s="258" t="str">
        <f>_xlfn.CONCAT(_xlfn.XLOOKUP("[S05_InstallationDifferentSamplingFrequency][4][SamplingFuelMaterial]",Submission!$O:$O,Submission!$H:$N,""))</f>
        <v/>
      </c>
      <c r="D1011" s="260"/>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3" t="str">
        <f>_xlfn.CONCAT(_xlfn.XLOOKUP("[S05_InstallationDifferentSamplingFrequency][4][SamplingPlanNotDocumentedReason]",Submission!$O:$O,Submission!$H:$N,""))</f>
        <v/>
      </c>
      <c r="I1011" s="245"/>
    </row>
    <row r="1012" spans="1:9" ht="15.9" customHeight="1" x14ac:dyDescent="0.3">
      <c r="A1012" s="13"/>
      <c r="B1012" s="34"/>
      <c r="C1012" s="258" t="str">
        <f>_xlfn.CONCAT(_xlfn.XLOOKUP("[S05_InstallationDifferentSamplingFrequency][5][SamplingFuelMaterial]",Submission!$O:$O,Submission!$H:$N,""))</f>
        <v/>
      </c>
      <c r="D1012" s="260"/>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3" t="str">
        <f>_xlfn.CONCAT(_xlfn.XLOOKUP("[S05_InstallationDifferentSamplingFrequency][5][SamplingPlanNotDocumentedReason]",Submission!$O:$O,Submission!$H:$N,""))</f>
        <v/>
      </c>
      <c r="I1012" s="245"/>
    </row>
    <row r="1013" spans="1:9" ht="15.9" hidden="1" customHeight="1" outlineLevel="1" x14ac:dyDescent="0.3">
      <c r="A1013" s="13"/>
      <c r="B1013" s="34"/>
      <c r="C1013" s="258" t="str">
        <f>_xlfn.CONCAT(_xlfn.XLOOKUP("[S05_InstallationDifferentSamplingFrequency][6][SamplingFuelMaterial]",Submission!$O:$O,Submission!$H:$N,""))</f>
        <v/>
      </c>
      <c r="D1013" s="260"/>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3" t="str">
        <f>_xlfn.CONCAT(_xlfn.XLOOKUP("[S05_InstallationDifferentSamplingFrequency][6][SamplingPlanNotDocumentedReason]",Submission!$O:$O,Submission!$H:$N,""))</f>
        <v/>
      </c>
      <c r="I1013" s="245"/>
    </row>
    <row r="1014" spans="1:9" ht="15.9" hidden="1" customHeight="1" outlineLevel="1" x14ac:dyDescent="0.3">
      <c r="A1014" s="13"/>
      <c r="B1014" s="34"/>
      <c r="C1014" s="258" t="str">
        <f>_xlfn.CONCAT(_xlfn.XLOOKUP("[S05_InstallationDifferentSamplingFrequency][7][SamplingFuelMaterial]",Submission!$O:$O,Submission!$H:$N,""))</f>
        <v/>
      </c>
      <c r="D1014" s="260"/>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3" t="str">
        <f>_xlfn.CONCAT(_xlfn.XLOOKUP("[S05_InstallationDifferentSamplingFrequency][7][SamplingPlanNotDocumentedReason]",Submission!$O:$O,Submission!$H:$N,""))</f>
        <v/>
      </c>
      <c r="I1014" s="245"/>
    </row>
    <row r="1015" spans="1:9" ht="15.9" hidden="1" customHeight="1" outlineLevel="1" x14ac:dyDescent="0.3">
      <c r="A1015" s="13"/>
      <c r="B1015" s="34"/>
      <c r="C1015" s="258" t="str">
        <f>_xlfn.CONCAT(_xlfn.XLOOKUP("[S05_InstallationDifferentSamplingFrequency][8][SamplingFuelMaterial]",Submission!$O:$O,Submission!$H:$N,""))</f>
        <v/>
      </c>
      <c r="D1015" s="260"/>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3" t="str">
        <f>_xlfn.CONCAT(_xlfn.XLOOKUP("[S05_InstallationDifferentSamplingFrequency][8][SamplingPlanNotDocumentedReason]",Submission!$O:$O,Submission!$H:$N,""))</f>
        <v/>
      </c>
      <c r="I1015" s="245"/>
    </row>
    <row r="1016" spans="1:9" ht="15.9" hidden="1" customHeight="1" outlineLevel="1" x14ac:dyDescent="0.3">
      <c r="A1016" s="13"/>
      <c r="B1016" s="34"/>
      <c r="C1016" s="258" t="str">
        <f>_xlfn.CONCAT(_xlfn.XLOOKUP("[S05_InstallationDifferentSamplingFrequency][9][SamplingFuelMaterial]",Submission!$O:$O,Submission!$H:$N,""))</f>
        <v/>
      </c>
      <c r="D1016" s="260"/>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3" t="str">
        <f>_xlfn.CONCAT(_xlfn.XLOOKUP("[S05_InstallationDifferentSamplingFrequency][9][SamplingPlanNotDocumentedReason]",Submission!$O:$O,Submission!$H:$N,""))</f>
        <v/>
      </c>
      <c r="I1016" s="245"/>
    </row>
    <row r="1017" spans="1:9" ht="15.9" hidden="1" customHeight="1" outlineLevel="1" x14ac:dyDescent="0.3">
      <c r="A1017" s="13"/>
      <c r="B1017" s="34"/>
      <c r="C1017" s="258" t="str">
        <f>_xlfn.CONCAT(_xlfn.XLOOKUP("[S05_InstallationDifferentSamplingFrequency][10][SamplingFuelMaterial]",Submission!$O:$O,Submission!$H:$N,""))</f>
        <v/>
      </c>
      <c r="D1017" s="260"/>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3" t="str">
        <f>_xlfn.CONCAT(_xlfn.XLOOKUP("[S05_InstallationDifferentSamplingFrequency][10][SamplingPlanNotDocumentedReason]",Submission!$O:$O,Submission!$H:$N,""))</f>
        <v/>
      </c>
      <c r="I1017" s="245"/>
    </row>
    <row r="1018" spans="1:9" ht="15.9" hidden="1" customHeight="1" outlineLevel="1" x14ac:dyDescent="0.3">
      <c r="A1018" s="13"/>
      <c r="B1018" s="34"/>
      <c r="C1018" s="258" t="str">
        <f>_xlfn.CONCAT(_xlfn.XLOOKUP("[S05_InstallationDifferentSamplingFrequency][11][SamplingFuelMaterial]",Submission!$O:$O,Submission!$H:$N,""))</f>
        <v/>
      </c>
      <c r="D1018" s="260"/>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3" t="str">
        <f>_xlfn.CONCAT(_xlfn.XLOOKUP("[S05_InstallationDifferentSamplingFrequency][11][SamplingPlanNotDocumentedReason]",Submission!$O:$O,Submission!$H:$N,""))</f>
        <v/>
      </c>
      <c r="I1018" s="245"/>
    </row>
    <row r="1019" spans="1:9" ht="15.9" hidden="1" customHeight="1" outlineLevel="1" x14ac:dyDescent="0.3">
      <c r="A1019" s="13"/>
      <c r="B1019" s="34"/>
      <c r="C1019" s="258" t="str">
        <f>_xlfn.CONCAT(_xlfn.XLOOKUP("[S05_InstallationDifferentSamplingFrequency][12][SamplingFuelMaterial]",Submission!$O:$O,Submission!$H:$N,""))</f>
        <v/>
      </c>
      <c r="D1019" s="260"/>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3" t="str">
        <f>_xlfn.CONCAT(_xlfn.XLOOKUP("[S05_InstallationDifferentSamplingFrequency][12][SamplingPlanNotDocumentedReason]",Submission!$O:$O,Submission!$H:$N,""))</f>
        <v/>
      </c>
      <c r="I1019" s="245"/>
    </row>
    <row r="1020" spans="1:9" ht="15.9" hidden="1" customHeight="1" outlineLevel="1" x14ac:dyDescent="0.3">
      <c r="A1020" s="13"/>
      <c r="B1020" s="34"/>
      <c r="C1020" s="258" t="str">
        <f>_xlfn.CONCAT(_xlfn.XLOOKUP("[S05_InstallationDifferentSamplingFrequency][13][SamplingFuelMaterial]",Submission!$O:$O,Submission!$H:$N,""))</f>
        <v/>
      </c>
      <c r="D1020" s="260"/>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3" t="str">
        <f>_xlfn.CONCAT(_xlfn.XLOOKUP("[S05_InstallationDifferentSamplingFrequency][13][SamplingPlanNotDocumentedReason]",Submission!$O:$O,Submission!$H:$N,""))</f>
        <v/>
      </c>
      <c r="I1020" s="245"/>
    </row>
    <row r="1021" spans="1:9" ht="15.9" hidden="1" customHeight="1" outlineLevel="1" x14ac:dyDescent="0.3">
      <c r="A1021" s="13"/>
      <c r="B1021" s="34"/>
      <c r="C1021" s="258" t="str">
        <f>_xlfn.CONCAT(_xlfn.XLOOKUP("[S05_InstallationDifferentSamplingFrequency][14][SamplingFuelMaterial]",Submission!$O:$O,Submission!$H:$N,""))</f>
        <v/>
      </c>
      <c r="D1021" s="260"/>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3" t="str">
        <f>_xlfn.CONCAT(_xlfn.XLOOKUP("[S05_InstallationDifferentSamplingFrequency][14][SamplingPlanNotDocumentedReason]",Submission!$O:$O,Submission!$H:$N,""))</f>
        <v/>
      </c>
      <c r="I1021" s="245"/>
    </row>
    <row r="1022" spans="1:9" ht="15.9" hidden="1" customHeight="1" outlineLevel="1" x14ac:dyDescent="0.3">
      <c r="A1022" s="13"/>
      <c r="B1022" s="34"/>
      <c r="C1022" s="258" t="str">
        <f>_xlfn.CONCAT(_xlfn.XLOOKUP("[S05_InstallationDifferentSamplingFrequency][15][SamplingFuelMaterial]",Submission!$O:$O,Submission!$H:$N,""))</f>
        <v/>
      </c>
      <c r="D1022" s="260"/>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3" t="str">
        <f>_xlfn.CONCAT(_xlfn.XLOOKUP("[S05_InstallationDifferentSamplingFrequency][15][SamplingPlanNotDocumentedReason]",Submission!$O:$O,Submission!$H:$N,""))</f>
        <v/>
      </c>
      <c r="I1022" s="245"/>
    </row>
    <row r="1023" spans="1:9" ht="15.9" hidden="1" customHeight="1" outlineLevel="1" x14ac:dyDescent="0.3">
      <c r="A1023" s="13"/>
      <c r="B1023" s="34"/>
      <c r="C1023" s="258" t="str">
        <f>_xlfn.CONCAT(_xlfn.XLOOKUP("[S05_InstallationDifferentSamplingFrequency][16][SamplingFuelMaterial]",Submission!$O:$O,Submission!$H:$N,""))</f>
        <v/>
      </c>
      <c r="D1023" s="260"/>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3" t="str">
        <f>_xlfn.CONCAT(_xlfn.XLOOKUP("[S05_InstallationDifferentSamplingFrequency][16][SamplingPlanNotDocumentedReason]",Submission!$O:$O,Submission!$H:$N,""))</f>
        <v/>
      </c>
      <c r="I1023" s="245"/>
    </row>
    <row r="1024" spans="1:9" ht="15.9" hidden="1" customHeight="1" outlineLevel="1" x14ac:dyDescent="0.3">
      <c r="A1024" s="13"/>
      <c r="B1024" s="34"/>
      <c r="C1024" s="258" t="str">
        <f>_xlfn.CONCAT(_xlfn.XLOOKUP("[S05_InstallationDifferentSamplingFrequency][17][SamplingFuelMaterial]",Submission!$O:$O,Submission!$H:$N,""))</f>
        <v/>
      </c>
      <c r="D1024" s="260"/>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3" t="str">
        <f>_xlfn.CONCAT(_xlfn.XLOOKUP("[S05_InstallationDifferentSamplingFrequency][17][SamplingPlanNotDocumentedReason]",Submission!$O:$O,Submission!$H:$N,""))</f>
        <v/>
      </c>
      <c r="I1024" s="245"/>
    </row>
    <row r="1025" spans="1:9" ht="15.9" hidden="1" customHeight="1" outlineLevel="1" x14ac:dyDescent="0.3">
      <c r="A1025" s="13"/>
      <c r="B1025" s="34"/>
      <c r="C1025" s="258" t="str">
        <f>_xlfn.CONCAT(_xlfn.XLOOKUP("[S05_InstallationDifferentSamplingFrequency][18][SamplingFuelMaterial]",Submission!$O:$O,Submission!$H:$N,""))</f>
        <v/>
      </c>
      <c r="D1025" s="260"/>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3" t="str">
        <f>_xlfn.CONCAT(_xlfn.XLOOKUP("[S05_InstallationDifferentSamplingFrequency][18][SamplingPlanNotDocumentedReason]",Submission!$O:$O,Submission!$H:$N,""))</f>
        <v/>
      </c>
      <c r="I1025" s="245"/>
    </row>
    <row r="1026" spans="1:9" ht="15.9" hidden="1" customHeight="1" outlineLevel="1" x14ac:dyDescent="0.3">
      <c r="A1026" s="13"/>
      <c r="B1026" s="34"/>
      <c r="C1026" s="258" t="str">
        <f>_xlfn.CONCAT(_xlfn.XLOOKUP("[S05_InstallationDifferentSamplingFrequency][19][SamplingFuelMaterial]",Submission!$O:$O,Submission!$H:$N,""))</f>
        <v/>
      </c>
      <c r="D1026" s="260"/>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3" t="str">
        <f>_xlfn.CONCAT(_xlfn.XLOOKUP("[S05_InstallationDifferentSamplingFrequency][19][SamplingPlanNotDocumentedReason]",Submission!$O:$O,Submission!$H:$N,""))</f>
        <v/>
      </c>
      <c r="I1026" s="245"/>
    </row>
    <row r="1027" spans="1:9" ht="15.9" hidden="1" customHeight="1" outlineLevel="1" x14ac:dyDescent="0.3">
      <c r="A1027" s="13"/>
      <c r="B1027" s="34"/>
      <c r="C1027" s="258" t="str">
        <f>_xlfn.CONCAT(_xlfn.XLOOKUP("[S05_InstallationDifferentSamplingFrequency][20][SamplingFuelMaterial]",Submission!$O:$O,Submission!$H:$N,""))</f>
        <v/>
      </c>
      <c r="D1027" s="260"/>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3" t="str">
        <f>_xlfn.CONCAT(_xlfn.XLOOKUP("[S05_InstallationDifferentSamplingFrequency][20][SamplingPlanNotDocumentedReason]",Submission!$O:$O,Submission!$H:$N,""))</f>
        <v/>
      </c>
      <c r="I1027" s="245"/>
    </row>
    <row r="1028" spans="1:9" ht="15.9" hidden="1" customHeight="1" outlineLevel="1" x14ac:dyDescent="0.3">
      <c r="A1028" s="13"/>
      <c r="B1028" s="34"/>
      <c r="C1028" s="258" t="str">
        <f>_xlfn.CONCAT(_xlfn.XLOOKUP("[S05_InstallationDifferentSamplingFrequency][21][SamplingFuelMaterial]",Submission!$O:$O,Submission!$H:$N,""))</f>
        <v/>
      </c>
      <c r="D1028" s="260"/>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3" t="str">
        <f>_xlfn.CONCAT(_xlfn.XLOOKUP("[S05_InstallationDifferentSamplingFrequency][21][SamplingPlanNotDocumentedReason]",Submission!$O:$O,Submission!$H:$N,""))</f>
        <v/>
      </c>
      <c r="I1028" s="245"/>
    </row>
    <row r="1029" spans="1:9" ht="15.9" hidden="1" customHeight="1" outlineLevel="1" x14ac:dyDescent="0.3">
      <c r="A1029" s="13"/>
      <c r="B1029" s="34"/>
      <c r="C1029" s="258" t="str">
        <f>_xlfn.CONCAT(_xlfn.XLOOKUP("[S05_InstallationDifferentSamplingFrequency][22][SamplingFuelMaterial]",Submission!$O:$O,Submission!$H:$N,""))</f>
        <v/>
      </c>
      <c r="D1029" s="260"/>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3" t="str">
        <f>_xlfn.CONCAT(_xlfn.XLOOKUP("[S05_InstallationDifferentSamplingFrequency][22][SamplingPlanNotDocumentedReason]",Submission!$O:$O,Submission!$H:$N,""))</f>
        <v/>
      </c>
      <c r="I1029" s="245"/>
    </row>
    <row r="1030" spans="1:9" ht="15.9" hidden="1" customHeight="1" outlineLevel="1" x14ac:dyDescent="0.3">
      <c r="A1030" s="13"/>
      <c r="B1030" s="34"/>
      <c r="C1030" s="258" t="str">
        <f>_xlfn.CONCAT(_xlfn.XLOOKUP("[S05_InstallationDifferentSamplingFrequency][23][SamplingFuelMaterial]",Submission!$O:$O,Submission!$H:$N,""))</f>
        <v/>
      </c>
      <c r="D1030" s="260"/>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3" t="str">
        <f>_xlfn.CONCAT(_xlfn.XLOOKUP("[S05_InstallationDifferentSamplingFrequency][23][SamplingPlanNotDocumentedReason]",Submission!$O:$O,Submission!$H:$N,""))</f>
        <v/>
      </c>
      <c r="I1030" s="245"/>
    </row>
    <row r="1031" spans="1:9" ht="15.9" hidden="1" customHeight="1" outlineLevel="1" x14ac:dyDescent="0.3">
      <c r="A1031" s="13"/>
      <c r="B1031" s="34"/>
      <c r="C1031" s="258" t="str">
        <f>_xlfn.CONCAT(_xlfn.XLOOKUP("[S05_InstallationDifferentSamplingFrequency][24][SamplingFuelMaterial]",Submission!$O:$O,Submission!$H:$N,""))</f>
        <v/>
      </c>
      <c r="D1031" s="260"/>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3" t="str">
        <f>_xlfn.CONCAT(_xlfn.XLOOKUP("[S05_InstallationDifferentSamplingFrequency][24][SamplingPlanNotDocumentedReason]",Submission!$O:$O,Submission!$H:$N,""))</f>
        <v/>
      </c>
      <c r="I1031" s="245"/>
    </row>
    <row r="1032" spans="1:9" ht="15.9" hidden="1" customHeight="1" outlineLevel="1" x14ac:dyDescent="0.3">
      <c r="A1032" s="13"/>
      <c r="B1032" s="34"/>
      <c r="C1032" s="258" t="str">
        <f>_xlfn.CONCAT(_xlfn.XLOOKUP("[S05_InstallationDifferentSamplingFrequency][25][SamplingFuelMaterial]",Submission!$O:$O,Submission!$H:$N,""))</f>
        <v/>
      </c>
      <c r="D1032" s="260"/>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3" t="str">
        <f>_xlfn.CONCAT(_xlfn.XLOOKUP("[S05_InstallationDifferentSamplingFrequency][25][SamplingPlanNotDocumentedReason]",Submission!$O:$O,Submission!$H:$N,""))</f>
        <v/>
      </c>
      <c r="I1032" s="245"/>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338" t="s">
        <v>868</v>
      </c>
      <c r="C1035" s="308"/>
      <c r="D1035" s="308"/>
      <c r="E1035" s="308"/>
      <c r="F1035" s="308"/>
      <c r="G1035" s="308"/>
      <c r="H1035" s="308"/>
      <c r="I1035" s="308"/>
    </row>
    <row r="1036" spans="1:9" ht="45" customHeight="1" x14ac:dyDescent="0.3">
      <c r="B1036" s="34"/>
      <c r="C1036" s="46" t="s">
        <v>869</v>
      </c>
      <c r="D1036" s="46" t="s">
        <v>870</v>
      </c>
      <c r="E1036" s="46" t="s">
        <v>871</v>
      </c>
      <c r="F1036" s="46" t="s">
        <v>872</v>
      </c>
      <c r="G1036" s="46" t="s">
        <v>873</v>
      </c>
      <c r="H1036" s="317" t="s">
        <v>874</v>
      </c>
      <c r="I1036" s="318"/>
    </row>
    <row r="1037" spans="1:9" ht="24.6" customHeight="1" x14ac:dyDescent="0.3">
      <c r="B1037" s="34"/>
      <c r="C1037" s="72" t="str">
        <f>_xlfn.CONCAT(_xlfn.XLOOKUP("[S05_CategoryCHighestTierNotApplied][1][InstallationID]",Submission!$O:$O,Submission!$H:$N,""))</f>
        <v/>
      </c>
      <c r="D1037" s="72" t="str">
        <f>_xlfn.CONCAT(_xlfn.XLOOKUP("[S05_CategoryCHighestTierNotApplied][1][SourceStreamAffected]",Submission!$O:$O,Submission!$H:$N,""))</f>
        <v/>
      </c>
      <c r="E1037" s="72" t="str">
        <f>_xlfn.CONCAT(_xlfn.XLOOKUP("[S05_CategoryCHighestTierNotApplied][1][EmissionSourceAffected]",Submission!$O:$O,Submission!$H:$N,""))</f>
        <v/>
      </c>
      <c r="F1037" s="72" t="str">
        <f>_xlfn.CONCAT(_xlfn.XLOOKUP("[S05_CategoryCHighestTierNotApplied][1][MonitoringParameterAffected]",Submission!$O:$O,Submission!$H:$N,""))</f>
        <v/>
      </c>
      <c r="G1037" s="89" t="str">
        <f>_xlfn.CONCAT(_xlfn.XLOOKUP("[S05_CategoryCHighestTierNotApplied][1][HighestTierRequired]",Submission!$O:$O,Submission!$H:$N,""))</f>
        <v/>
      </c>
      <c r="H1037" s="243" t="str">
        <f>_xlfn.CONCAT(_xlfn.XLOOKUP("[S05_CategoryCHighestTierNotApplied][1][TierInPractice]",Submission!$O:$O,Submission!$H:$N,""))</f>
        <v/>
      </c>
      <c r="I1037" s="245"/>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3" t="str">
        <f>_xlfn.CONCAT(_xlfn.XLOOKUP("[S05_CategoryCHighestTierNotApplied][2][TierInPractice]",Submission!$O:$O,Submission!$H:$N,""))</f>
        <v/>
      </c>
      <c r="I1038" s="245"/>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3" t="str">
        <f>_xlfn.CONCAT(_xlfn.XLOOKUP("[S05_CategoryCHighestTierNotApplied][3][TierInPractice]",Submission!$O:$O,Submission!$H:$N,""))</f>
        <v/>
      </c>
      <c r="I1039" s="245"/>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3" t="str">
        <f>_xlfn.CONCAT(_xlfn.XLOOKUP("[S05_CategoryCHighestTierNotApplied][4][TierInPractice]",Submission!$O:$O,Submission!$H:$N,""))</f>
        <v/>
      </c>
      <c r="I1040" s="245"/>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3" t="str">
        <f>_xlfn.CONCAT(_xlfn.XLOOKUP("[S05_CategoryCHighestTierNotApplied][5][TierInPractice]",Submission!$O:$O,Submission!$H:$N,""))</f>
        <v/>
      </c>
      <c r="I1041" s="245"/>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3" t="str">
        <f>_xlfn.CONCAT(_xlfn.XLOOKUP("[S05_CategoryCHighestTierNotApplied][6][TierInPractice]",Submission!$O:$O,Submission!$H:$N,""))</f>
        <v/>
      </c>
      <c r="I1042" s="245"/>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3" t="str">
        <f>_xlfn.CONCAT(_xlfn.XLOOKUP("[S05_CategoryCHighestTierNotApplied][7][TierInPractice]",Submission!$O:$O,Submission!$H:$N,""))</f>
        <v/>
      </c>
      <c r="I1043" s="245"/>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3" t="str">
        <f>_xlfn.CONCAT(_xlfn.XLOOKUP("[S05_CategoryCHighestTierNotApplied][8][TierInPractice]",Submission!$O:$O,Submission!$H:$N,""))</f>
        <v/>
      </c>
      <c r="I1044" s="245"/>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3" t="str">
        <f>_xlfn.CONCAT(_xlfn.XLOOKUP("[S05_CategoryCHighestTierNotApplied][9][TierInPractice]",Submission!$O:$O,Submission!$H:$N,""))</f>
        <v/>
      </c>
      <c r="I1045" s="245"/>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3" t="str">
        <f>_xlfn.CONCAT(_xlfn.XLOOKUP("[S05_CategoryCHighestTierNotApplied][10][TierInPractice]",Submission!$O:$O,Submission!$H:$N,""))</f>
        <v/>
      </c>
      <c r="I1046" s="245"/>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3" t="str">
        <f>_xlfn.CONCAT(_xlfn.XLOOKUP("[S05_CategoryCHighestTierNotApplied][11][TierInPractice]",Submission!$O:$O,Submission!$H:$N,""))</f>
        <v/>
      </c>
      <c r="I1047" s="245"/>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3" t="str">
        <f>_xlfn.CONCAT(_xlfn.XLOOKUP("[S05_CategoryCHighestTierNotApplied][12][TierInPractice]",Submission!$O:$O,Submission!$H:$N,""))</f>
        <v/>
      </c>
      <c r="I1048" s="245"/>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3" t="str">
        <f>_xlfn.CONCAT(_xlfn.XLOOKUP("[S05_CategoryCHighestTierNotApplied][13][TierInPractice]",Submission!$O:$O,Submission!$H:$N,""))</f>
        <v/>
      </c>
      <c r="I1049" s="245"/>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3" t="str">
        <f>_xlfn.CONCAT(_xlfn.XLOOKUP("[S05_CategoryCHighestTierNotApplied][14][TierInPractice]",Submission!$O:$O,Submission!$H:$N,""))</f>
        <v/>
      </c>
      <c r="I1050" s="245"/>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3" t="str">
        <f>_xlfn.CONCAT(_xlfn.XLOOKUP("[S05_CategoryCHighestTierNotApplied][15][TierInPractice]",Submission!$O:$O,Submission!$H:$N,""))</f>
        <v/>
      </c>
      <c r="I1051" s="245"/>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3" t="str">
        <f>_xlfn.CONCAT(_xlfn.XLOOKUP("[S05_CategoryCHighestTierNotApplied][16][TierInPractice]",Submission!$O:$O,Submission!$H:$N,""))</f>
        <v/>
      </c>
      <c r="I1052" s="245"/>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3" t="str">
        <f>_xlfn.CONCAT(_xlfn.XLOOKUP("[S05_CategoryCHighestTierNotApplied][17][TierInPractice]",Submission!$O:$O,Submission!$H:$N,""))</f>
        <v/>
      </c>
      <c r="I1053" s="245"/>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3" t="str">
        <f>_xlfn.CONCAT(_xlfn.XLOOKUP("[S05_CategoryCHighestTierNotApplied][18][TierInPractice]",Submission!$O:$O,Submission!$H:$N,""))</f>
        <v/>
      </c>
      <c r="I1054" s="245"/>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3" t="str">
        <f>_xlfn.CONCAT(_xlfn.XLOOKUP("[S05_CategoryCHighestTierNotApplied][19][TierInPractice]",Submission!$O:$O,Submission!$H:$N,""))</f>
        <v/>
      </c>
      <c r="I1055" s="245"/>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3" t="str">
        <f>_xlfn.CONCAT(_xlfn.XLOOKUP("[S05_CategoryCHighestTierNotApplied][20][TierInPractice]",Submission!$O:$O,Submission!$H:$N,""))</f>
        <v/>
      </c>
      <c r="I1056" s="245"/>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3" t="str">
        <f>_xlfn.CONCAT(_xlfn.XLOOKUP("[S05_CategoryCHighestTierNotApplied][21][TierInPractice]",Submission!$O:$O,Submission!$H:$N,""))</f>
        <v/>
      </c>
      <c r="I1057" s="245"/>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3" t="str">
        <f>_xlfn.CONCAT(_xlfn.XLOOKUP("[S05_CategoryCHighestTierNotApplied][22][TierInPractice]",Submission!$O:$O,Submission!$H:$N,""))</f>
        <v/>
      </c>
      <c r="I1058" s="245"/>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3" t="str">
        <f>_xlfn.CONCAT(_xlfn.XLOOKUP("[S05_CategoryCHighestTierNotApplied][23][TierInPractice]",Submission!$O:$O,Submission!$H:$N,""))</f>
        <v/>
      </c>
      <c r="I1059" s="245"/>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3" t="str">
        <f>_xlfn.CONCAT(_xlfn.XLOOKUP("[S05_CategoryCHighestTierNotApplied][24][TierInPractice]",Submission!$O:$O,Submission!$H:$N,""))</f>
        <v/>
      </c>
      <c r="I1060" s="245"/>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3" t="str">
        <f>_xlfn.CONCAT(_xlfn.XLOOKUP("[S05_CategoryCHighestTierNotApplied][25][TierInPractice]",Submission!$O:$O,Submission!$H:$N,""))</f>
        <v/>
      </c>
      <c r="I1061" s="245"/>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3" t="str">
        <f>_xlfn.CONCAT(_xlfn.XLOOKUP("[S05_CategoryCHighestTierNotApplied][26][TierInPractice]",Submission!$O:$O,Submission!$H:$N,""))</f>
        <v/>
      </c>
      <c r="I1062" s="245"/>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3" t="str">
        <f>_xlfn.CONCAT(_xlfn.XLOOKUP("[S05_CategoryCHighestTierNotApplied][27][TierInPractice]",Submission!$O:$O,Submission!$H:$N,""))</f>
        <v/>
      </c>
      <c r="I1063" s="245"/>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3" t="str">
        <f>_xlfn.CONCAT(_xlfn.XLOOKUP("[S05_CategoryCHighestTierNotApplied][28][TierInPractice]",Submission!$O:$O,Submission!$H:$N,""))</f>
        <v/>
      </c>
      <c r="I1064" s="245"/>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3" t="str">
        <f>_xlfn.CONCAT(_xlfn.XLOOKUP("[S05_CategoryCHighestTierNotApplied][29][TierInPractice]",Submission!$O:$O,Submission!$H:$N,""))</f>
        <v/>
      </c>
      <c r="I1065" s="245"/>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3" t="str">
        <f>_xlfn.CONCAT(_xlfn.XLOOKUP("[S05_CategoryCHighestTierNotApplied][30][TierInPractice]",Submission!$O:$O,Submission!$H:$N,""))</f>
        <v/>
      </c>
      <c r="I1066" s="245"/>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3" t="str">
        <f>_xlfn.CONCAT(_xlfn.XLOOKUP("[S05_CategoryCHighestTierNotApplied][31][TierInPractice]",Submission!$O:$O,Submission!$H:$N,""))</f>
        <v/>
      </c>
      <c r="I1067" s="245"/>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3" t="str">
        <f>_xlfn.CONCAT(_xlfn.XLOOKUP("[S05_CategoryCHighestTierNotApplied][32][TierInPractice]",Submission!$O:$O,Submission!$H:$N,""))</f>
        <v/>
      </c>
      <c r="I1068" s="245"/>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3" t="str">
        <f>_xlfn.CONCAT(_xlfn.XLOOKUP("[S05_CategoryCHighestTierNotApplied][33][TierInPractice]",Submission!$O:$O,Submission!$H:$N,""))</f>
        <v/>
      </c>
      <c r="I1069" s="245"/>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3" t="str">
        <f>_xlfn.CONCAT(_xlfn.XLOOKUP("[S05_CategoryCHighestTierNotApplied][34][TierInPractice]",Submission!$O:$O,Submission!$H:$N,""))</f>
        <v/>
      </c>
      <c r="I1070" s="245"/>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3" t="str">
        <f>_xlfn.CONCAT(_xlfn.XLOOKUP("[S05_CategoryCHighestTierNotApplied][35][TierInPractice]",Submission!$O:$O,Submission!$H:$N,""))</f>
        <v/>
      </c>
      <c r="I1071" s="245"/>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3" t="str">
        <f>_xlfn.CONCAT(_xlfn.XLOOKUP("[S05_CategoryCHighestTierNotApplied][36][TierInPractice]",Submission!$O:$O,Submission!$H:$N,""))</f>
        <v/>
      </c>
      <c r="I1072" s="245"/>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3" t="str">
        <f>_xlfn.CONCAT(_xlfn.XLOOKUP("[S05_CategoryCHighestTierNotApplied][37][TierInPractice]",Submission!$O:$O,Submission!$H:$N,""))</f>
        <v/>
      </c>
      <c r="I1073" s="245"/>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3" t="str">
        <f>_xlfn.CONCAT(_xlfn.XLOOKUP("[S05_CategoryCHighestTierNotApplied][38][TierInPractice]",Submission!$O:$O,Submission!$H:$N,""))</f>
        <v/>
      </c>
      <c r="I1074" s="245"/>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3" t="str">
        <f>_xlfn.CONCAT(_xlfn.XLOOKUP("[S05_CategoryCHighestTierNotApplied][39][TierInPractice]",Submission!$O:$O,Submission!$H:$N,""))</f>
        <v/>
      </c>
      <c r="I1075" s="245"/>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3" t="str">
        <f>_xlfn.CONCAT(_xlfn.XLOOKUP("[S05_CategoryCHighestTierNotApplied][40][TierInPractice]",Submission!$O:$O,Submission!$H:$N,""))</f>
        <v/>
      </c>
      <c r="I1076" s="245"/>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3" t="str">
        <f>_xlfn.CONCAT(_xlfn.XLOOKUP("[S05_CategoryCHighestTierNotApplied][41][TierInPractice]",Submission!$O:$O,Submission!$H:$N,""))</f>
        <v/>
      </c>
      <c r="I1077" s="245"/>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3" t="str">
        <f>_xlfn.CONCAT(_xlfn.XLOOKUP("[S05_CategoryCHighestTierNotApplied][42][TierInPractice]",Submission!$O:$O,Submission!$H:$N,""))</f>
        <v/>
      </c>
      <c r="I1078" s="245"/>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3" t="str">
        <f>_xlfn.CONCAT(_xlfn.XLOOKUP("[S05_CategoryCHighestTierNotApplied][43][TierInPractice]",Submission!$O:$O,Submission!$H:$N,""))</f>
        <v/>
      </c>
      <c r="I1079" s="245"/>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3" t="str">
        <f>_xlfn.CONCAT(_xlfn.XLOOKUP("[S05_CategoryCHighestTierNotApplied][44][TierInPractice]",Submission!$O:$O,Submission!$H:$N,""))</f>
        <v/>
      </c>
      <c r="I1080" s="245"/>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3" t="str">
        <f>_xlfn.CONCAT(_xlfn.XLOOKUP("[S05_CategoryCHighestTierNotApplied][45][TierInPractice]",Submission!$O:$O,Submission!$H:$N,""))</f>
        <v/>
      </c>
      <c r="I1081" s="245"/>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3" t="str">
        <f>_xlfn.CONCAT(_xlfn.XLOOKUP("[S05_CategoryCHighestTierNotApplied][46][TierInPractice]",Submission!$O:$O,Submission!$H:$N,""))</f>
        <v/>
      </c>
      <c r="I1082" s="245"/>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3" t="str">
        <f>_xlfn.CONCAT(_xlfn.XLOOKUP("[S05_CategoryCHighestTierNotApplied][47][TierInPractice]",Submission!$O:$O,Submission!$H:$N,""))</f>
        <v/>
      </c>
      <c r="I1083" s="245"/>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3" t="str">
        <f>_xlfn.CONCAT(_xlfn.XLOOKUP("[S05_CategoryCHighestTierNotApplied][48][TierInPractice]",Submission!$O:$O,Submission!$H:$N,""))</f>
        <v/>
      </c>
      <c r="I1084" s="245"/>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3" t="str">
        <f>_xlfn.CONCAT(_xlfn.XLOOKUP("[S05_CategoryCHighestTierNotApplied][49][TierInPractice]",Submission!$O:$O,Submission!$H:$N,""))</f>
        <v/>
      </c>
      <c r="I1085" s="245"/>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3" t="str">
        <f>_xlfn.CONCAT(_xlfn.XLOOKUP("[S05_CategoryCHighestTierNotApplied][50][TierInPractice]",Submission!$O:$O,Submission!$H:$N,""))</f>
        <v/>
      </c>
      <c r="I1086" s="245"/>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3" t="str">
        <f>_xlfn.CONCAT(_xlfn.XLOOKUP("[S05_CategoryCHighestTierNotApplied][51][TierInPractice]",Submission!$O:$O,Submission!$H:$N,""))</f>
        <v/>
      </c>
      <c r="I1087" s="245"/>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3" t="str">
        <f>_xlfn.CONCAT(_xlfn.XLOOKUP("[S05_CategoryCHighestTierNotApplied][52][TierInPractice]",Submission!$O:$O,Submission!$H:$N,""))</f>
        <v/>
      </c>
      <c r="I1088" s="245"/>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3" t="str">
        <f>_xlfn.CONCAT(_xlfn.XLOOKUP("[S05_CategoryCHighestTierNotApplied][53][TierInPractice]",Submission!$O:$O,Submission!$H:$N,""))</f>
        <v/>
      </c>
      <c r="I1089" s="245"/>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3" t="str">
        <f>_xlfn.CONCAT(_xlfn.XLOOKUP("[S05_CategoryCHighestTierNotApplied][54][TierInPractice]",Submission!$O:$O,Submission!$H:$N,""))</f>
        <v/>
      </c>
      <c r="I1090" s="245"/>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3" t="str">
        <f>_xlfn.CONCAT(_xlfn.XLOOKUP("[S05_CategoryCHighestTierNotApplied][55][TierInPractice]",Submission!$O:$O,Submission!$H:$N,""))</f>
        <v/>
      </c>
      <c r="I1091" s="245"/>
    </row>
    <row r="1092" spans="1:9" ht="15.9" customHeight="1" collapsed="1" x14ac:dyDescent="0.3">
      <c r="A1092" s="13"/>
      <c r="B1092" s="26" t="s">
        <v>2</v>
      </c>
      <c r="C1092" s="19"/>
      <c r="D1092" s="20"/>
      <c r="E1092" s="20"/>
      <c r="F1092" s="20"/>
      <c r="G1092" s="20"/>
      <c r="H1092" s="20"/>
      <c r="I1092" s="20"/>
    </row>
    <row r="1093" spans="1:9" ht="26.1" customHeight="1" x14ac:dyDescent="0.3">
      <c r="C1093" s="358" t="s">
        <v>875</v>
      </c>
      <c r="D1093" s="359"/>
      <c r="E1093" s="359"/>
      <c r="F1093" s="359"/>
      <c r="G1093" s="359"/>
      <c r="H1093" s="359"/>
      <c r="I1093" s="359"/>
    </row>
    <row r="1094" spans="1:9" ht="26.1" customHeight="1" x14ac:dyDescent="0.3">
      <c r="C1094" s="358" t="s">
        <v>876</v>
      </c>
      <c r="D1094" s="358"/>
      <c r="E1094" s="358"/>
      <c r="F1094" s="358"/>
      <c r="G1094" s="358"/>
      <c r="H1094" s="358"/>
      <c r="I1094" s="358"/>
    </row>
    <row r="1095" spans="1:9" ht="15.9" customHeight="1" x14ac:dyDescent="0.3">
      <c r="B1095" s="34"/>
      <c r="C1095" s="20"/>
      <c r="D1095" s="20"/>
      <c r="E1095" s="20"/>
      <c r="F1095" s="20"/>
      <c r="G1095" s="20"/>
      <c r="H1095" s="20"/>
      <c r="I1095" s="20"/>
    </row>
    <row r="1096" spans="1:9" ht="34.200000000000003" customHeight="1" x14ac:dyDescent="0.3">
      <c r="A1096" s="12" t="s">
        <v>254</v>
      </c>
      <c r="B1096" s="338" t="s">
        <v>877</v>
      </c>
      <c r="C1096" s="308"/>
      <c r="D1096" s="308"/>
      <c r="E1096" s="308"/>
      <c r="F1096" s="308"/>
      <c r="G1096" s="308"/>
      <c r="H1096" s="308"/>
      <c r="I1096" s="308"/>
    </row>
    <row r="1097" spans="1:9" ht="15.9" customHeight="1" x14ac:dyDescent="0.3">
      <c r="B1097" s="34"/>
      <c r="C1097" s="317" t="s">
        <v>878</v>
      </c>
      <c r="D1097" s="318"/>
      <c r="E1097" s="317" t="s">
        <v>879</v>
      </c>
      <c r="F1097" s="370"/>
      <c r="G1097" s="318"/>
      <c r="H1097" s="317" t="s">
        <v>880</v>
      </c>
      <c r="I1097" s="318"/>
    </row>
    <row r="1098" spans="1:9" ht="25.95" customHeight="1" x14ac:dyDescent="0.3">
      <c r="B1098" s="34"/>
      <c r="C1098" s="258" t="str">
        <f>_xlfn.CONCAT(_xlfn.XLOOKUP("[S05_CategoryBHighestTierNotApplied][1][MonitoringMethodology]",Submission!$O:$O,Submission!$H:$N,""))</f>
        <v/>
      </c>
      <c r="D1098" s="260"/>
      <c r="E1098" s="274" t="str">
        <f>_xlfn.CONCAT(_xlfn.XLOOKUP("[S05_CategoryBHighestTierNotApplied][1][CategoryBMainActivity]",Submission!$O:$O,Submission!$H:$N,""))</f>
        <v/>
      </c>
      <c r="F1098" s="369"/>
      <c r="G1098" s="259"/>
      <c r="H1098" s="351" t="str">
        <f>_xlfn.CONCAT(_xlfn.XLOOKUP("[S05_CategoryBHighestTierNotApplied][1][CategoryBInstallationsAffected]",Submission!$O:$O,Submission!$H:$N,""))</f>
        <v/>
      </c>
      <c r="I1098" s="352"/>
    </row>
    <row r="1099" spans="1:9" ht="25.95" customHeight="1" x14ac:dyDescent="0.3">
      <c r="B1099" s="34"/>
      <c r="C1099" s="258" t="str">
        <f>_xlfn.CONCAT(_xlfn.XLOOKUP("[S05_CategoryBHighestTierNotApplied][2][MonitoringMethodology]",Submission!$O:$O,Submission!$H:$N,""))</f>
        <v/>
      </c>
      <c r="D1099" s="260"/>
      <c r="E1099" s="274" t="str">
        <f>_xlfn.CONCAT(_xlfn.XLOOKUP("[S05_CategoryBHighestTierNotApplied][2][CategoryBMainActivity]",Submission!$O:$O,Submission!$H:$N,""))</f>
        <v/>
      </c>
      <c r="F1099" s="369"/>
      <c r="G1099" s="259"/>
      <c r="H1099" s="351" t="str">
        <f>_xlfn.CONCAT(_xlfn.XLOOKUP("[S05_CategoryBHighestTierNotApplied][2][CategoryBInstallationsAffected]",Submission!$O:$O,Submission!$H:$N,""))</f>
        <v/>
      </c>
      <c r="I1099" s="352"/>
    </row>
    <row r="1100" spans="1:9" ht="25.95" customHeight="1" x14ac:dyDescent="0.3">
      <c r="B1100" s="34"/>
      <c r="C1100" s="258" t="str">
        <f>_xlfn.CONCAT(_xlfn.XLOOKUP("[S05_CategoryBHighestTierNotApplied][3][MonitoringMethodology]",Submission!$O:$O,Submission!$H:$N,""))</f>
        <v/>
      </c>
      <c r="D1100" s="260"/>
      <c r="E1100" s="274" t="str">
        <f>_xlfn.CONCAT(_xlfn.XLOOKUP("[S05_CategoryBHighestTierNotApplied][3][CategoryBMainActivity]",Submission!$O:$O,Submission!$H:$N,""))</f>
        <v/>
      </c>
      <c r="F1100" s="369"/>
      <c r="G1100" s="259"/>
      <c r="H1100" s="351" t="str">
        <f>_xlfn.CONCAT(_xlfn.XLOOKUP("[S05_CategoryBHighestTierNotApplied][3][CategoryBInstallationsAffected]",Submission!$O:$O,Submission!$H:$N,""))</f>
        <v/>
      </c>
      <c r="I1100" s="352"/>
    </row>
    <row r="1101" spans="1:9" ht="25.95" customHeight="1" x14ac:dyDescent="0.3">
      <c r="B1101" s="34"/>
      <c r="C1101" s="258" t="str">
        <f>_xlfn.CONCAT(_xlfn.XLOOKUP("[S05_CategoryBHighestTierNotApplied][4][MonitoringMethodology]",Submission!$O:$O,Submission!$H:$N,""))</f>
        <v/>
      </c>
      <c r="D1101" s="260"/>
      <c r="E1101" s="274" t="str">
        <f>_xlfn.CONCAT(_xlfn.XLOOKUP("[S05_CategoryBHighestTierNotApplied][4][CategoryBMainActivity]",Submission!$O:$O,Submission!$H:$N,""))</f>
        <v/>
      </c>
      <c r="F1101" s="369"/>
      <c r="G1101" s="259"/>
      <c r="H1101" s="351" t="str">
        <f>_xlfn.CONCAT(_xlfn.XLOOKUP("[S05_CategoryBHighestTierNotApplied][4][CategoryBInstallationsAffected]",Submission!$O:$O,Submission!$H:$N,""))</f>
        <v/>
      </c>
      <c r="I1101" s="352"/>
    </row>
    <row r="1102" spans="1:9" ht="25.95" customHeight="1" x14ac:dyDescent="0.3">
      <c r="B1102" s="34"/>
      <c r="C1102" s="258" t="str">
        <f>_xlfn.CONCAT(_xlfn.XLOOKUP("[S05_CategoryBHighestTierNotApplied][5][MonitoringMethodology]",Submission!$O:$O,Submission!$H:$N,""))</f>
        <v/>
      </c>
      <c r="D1102" s="260"/>
      <c r="E1102" s="274" t="str">
        <f>_xlfn.CONCAT(_xlfn.XLOOKUP("[S05_CategoryBHighestTierNotApplied][5][CategoryBMainActivity]",Submission!$O:$O,Submission!$H:$N,""))</f>
        <v/>
      </c>
      <c r="F1102" s="369"/>
      <c r="G1102" s="259"/>
      <c r="H1102" s="351" t="str">
        <f>_xlfn.CONCAT(_xlfn.XLOOKUP("[S05_CategoryBHighestTierNotApplied][5][CategoryBInstallationsAffected]",Submission!$O:$O,Submission!$H:$N,""))</f>
        <v/>
      </c>
      <c r="I1102" s="352"/>
    </row>
    <row r="1103" spans="1:9" ht="25.95" customHeight="1" x14ac:dyDescent="0.3">
      <c r="B1103" s="34"/>
      <c r="C1103" s="258" t="str">
        <f>_xlfn.CONCAT(_xlfn.XLOOKUP("[S05_CategoryBHighestTierNotApplied][6][MonitoringMethodology]",Submission!$O:$O,Submission!$H:$N,""))</f>
        <v/>
      </c>
      <c r="D1103" s="260"/>
      <c r="E1103" s="274" t="str">
        <f>_xlfn.CONCAT(_xlfn.XLOOKUP("[S05_CategoryBHighestTierNotApplied][6][CategoryBMainActivity]",Submission!$O:$O,Submission!$H:$N,""))</f>
        <v/>
      </c>
      <c r="F1103" s="369"/>
      <c r="G1103" s="259"/>
      <c r="H1103" s="351" t="str">
        <f>_xlfn.CONCAT(_xlfn.XLOOKUP("[S05_CategoryBHighestTierNotApplied][6][CategoryBInstallationsAffected]",Submission!$O:$O,Submission!$H:$N,""))</f>
        <v/>
      </c>
      <c r="I1103" s="352"/>
    </row>
    <row r="1104" spans="1:9" ht="25.95" customHeight="1" x14ac:dyDescent="0.3">
      <c r="B1104" s="34"/>
      <c r="C1104" s="258" t="str">
        <f>_xlfn.CONCAT(_xlfn.XLOOKUP("[S05_CategoryBHighestTierNotApplied][7][MonitoringMethodology]",Submission!$O:$O,Submission!$H:$N,""))</f>
        <v/>
      </c>
      <c r="D1104" s="260"/>
      <c r="E1104" s="274" t="str">
        <f>_xlfn.CONCAT(_xlfn.XLOOKUP("[S05_CategoryBHighestTierNotApplied][7][CategoryBMainActivity]",Submission!$O:$O,Submission!$H:$N,""))</f>
        <v/>
      </c>
      <c r="F1104" s="369"/>
      <c r="G1104" s="259"/>
      <c r="H1104" s="351" t="str">
        <f>_xlfn.CONCAT(_xlfn.XLOOKUP("[S05_CategoryBHighestTierNotApplied][7][CategoryBInstallationsAffected]",Submission!$O:$O,Submission!$H:$N,""))</f>
        <v/>
      </c>
      <c r="I1104" s="352"/>
    </row>
    <row r="1105" spans="1:9" ht="25.95" hidden="1" customHeight="1" outlineLevel="1" x14ac:dyDescent="0.3">
      <c r="B1105" s="34"/>
      <c r="C1105" s="258" t="str">
        <f>_xlfn.CONCAT(_xlfn.XLOOKUP("[S05_CategoryBHighestTierNotApplied][8][MonitoringMethodology]",Submission!$O:$O,Submission!$H:$N,""))</f>
        <v/>
      </c>
      <c r="D1105" s="260"/>
      <c r="E1105" s="274" t="str">
        <f>_xlfn.CONCAT(_xlfn.XLOOKUP("[S05_CategoryBHighestTierNotApplied][8][CategoryBMainActivity]",Submission!$O:$O,Submission!$H:$N,""))</f>
        <v/>
      </c>
      <c r="F1105" s="369"/>
      <c r="G1105" s="259"/>
      <c r="H1105" s="351" t="str">
        <f>_xlfn.CONCAT(_xlfn.XLOOKUP("[S05_CategoryBHighestTierNotApplied][8][CategoryBInstallationsAffected]",Submission!$O:$O,Submission!$H:$N,""))</f>
        <v/>
      </c>
      <c r="I1105" s="352"/>
    </row>
    <row r="1106" spans="1:9" ht="25.95" hidden="1" customHeight="1" outlineLevel="1" x14ac:dyDescent="0.3">
      <c r="B1106" s="34"/>
      <c r="C1106" s="258" t="str">
        <f>_xlfn.CONCAT(_xlfn.XLOOKUP("[S05_CategoryBHighestTierNotApplied][9][MonitoringMethodology]",Submission!$O:$O,Submission!$H:$N,""))</f>
        <v/>
      </c>
      <c r="D1106" s="260"/>
      <c r="E1106" s="274" t="str">
        <f>_xlfn.CONCAT(_xlfn.XLOOKUP("[S05_CategoryBHighestTierNotApplied][9][CategoryBMainActivity]",Submission!$O:$O,Submission!$H:$N,""))</f>
        <v/>
      </c>
      <c r="F1106" s="369"/>
      <c r="G1106" s="259"/>
      <c r="H1106" s="351" t="str">
        <f>_xlfn.CONCAT(_xlfn.XLOOKUP("[S05_CategoryBHighestTierNotApplied][9][CategoryBInstallationsAffected]",Submission!$O:$O,Submission!$H:$N,""))</f>
        <v/>
      </c>
      <c r="I1106" s="352"/>
    </row>
    <row r="1107" spans="1:9" ht="25.95" hidden="1" customHeight="1" outlineLevel="1" x14ac:dyDescent="0.3">
      <c r="B1107" s="34"/>
      <c r="C1107" s="258" t="str">
        <f>_xlfn.CONCAT(_xlfn.XLOOKUP("[S05_CategoryBHighestTierNotApplied][10][MonitoringMethodology]",Submission!$O:$O,Submission!$H:$N,""))</f>
        <v/>
      </c>
      <c r="D1107" s="260"/>
      <c r="E1107" s="274" t="str">
        <f>_xlfn.CONCAT(_xlfn.XLOOKUP("[S05_CategoryBHighestTierNotApplied][10][CategoryBMainActivity]",Submission!$O:$O,Submission!$H:$N,""))</f>
        <v/>
      </c>
      <c r="F1107" s="369"/>
      <c r="G1107" s="259"/>
      <c r="H1107" s="351" t="str">
        <f>_xlfn.CONCAT(_xlfn.XLOOKUP("[S05_CategoryBHighestTierNotApplied][10][CategoryBInstallationsAffected]",Submission!$O:$O,Submission!$H:$N,""))</f>
        <v/>
      </c>
      <c r="I1107" s="352"/>
    </row>
    <row r="1108" spans="1:9" ht="25.95" hidden="1" customHeight="1" outlineLevel="1" x14ac:dyDescent="0.3">
      <c r="B1108" s="34"/>
      <c r="C1108" s="258" t="str">
        <f>_xlfn.CONCAT(_xlfn.XLOOKUP("[S05_CategoryBHighestTierNotApplied][11][MonitoringMethodology]",Submission!$O:$O,Submission!$H:$N,""))</f>
        <v/>
      </c>
      <c r="D1108" s="260"/>
      <c r="E1108" s="274" t="str">
        <f>_xlfn.CONCAT(_xlfn.XLOOKUP("[S05_CategoryBHighestTierNotApplied][11][CategoryBMainActivity]",Submission!$O:$O,Submission!$H:$N,""))</f>
        <v/>
      </c>
      <c r="F1108" s="369"/>
      <c r="G1108" s="259"/>
      <c r="H1108" s="351" t="str">
        <f>_xlfn.CONCAT(_xlfn.XLOOKUP("[S05_CategoryBHighestTierNotApplied][11][CategoryBInstallationsAffected]",Submission!$O:$O,Submission!$H:$N,""))</f>
        <v/>
      </c>
      <c r="I1108" s="352"/>
    </row>
    <row r="1109" spans="1:9" ht="25.95" hidden="1" customHeight="1" outlineLevel="1" x14ac:dyDescent="0.3">
      <c r="B1109" s="34"/>
      <c r="C1109" s="258" t="str">
        <f>_xlfn.CONCAT(_xlfn.XLOOKUP("[S05_CategoryBHighestTierNotApplied][12][MonitoringMethodology]",Submission!$O:$O,Submission!$H:$N,""))</f>
        <v/>
      </c>
      <c r="D1109" s="260"/>
      <c r="E1109" s="274" t="str">
        <f>_xlfn.CONCAT(_xlfn.XLOOKUP("[S05_CategoryBHighestTierNotApplied][12][CategoryBMainActivity]",Submission!$O:$O,Submission!$H:$N,""))</f>
        <v/>
      </c>
      <c r="F1109" s="369"/>
      <c r="G1109" s="259"/>
      <c r="H1109" s="351" t="str">
        <f>_xlfn.CONCAT(_xlfn.XLOOKUP("[S05_CategoryBHighestTierNotApplied][12][CategoryBInstallationsAffected]",Submission!$O:$O,Submission!$H:$N,""))</f>
        <v/>
      </c>
      <c r="I1109" s="352"/>
    </row>
    <row r="1110" spans="1:9" ht="25.95" hidden="1" customHeight="1" outlineLevel="1" x14ac:dyDescent="0.3">
      <c r="B1110" s="34"/>
      <c r="C1110" s="258" t="str">
        <f>_xlfn.CONCAT(_xlfn.XLOOKUP("[S05_CategoryBHighestTierNotApplied][13][MonitoringMethodology]",Submission!$O:$O,Submission!$H:$N,""))</f>
        <v/>
      </c>
      <c r="D1110" s="260"/>
      <c r="E1110" s="274" t="str">
        <f>_xlfn.CONCAT(_xlfn.XLOOKUP("[S05_CategoryBHighestTierNotApplied][13][CategoryBMainActivity]",Submission!$O:$O,Submission!$H:$N,""))</f>
        <v/>
      </c>
      <c r="F1110" s="369"/>
      <c r="G1110" s="259"/>
      <c r="H1110" s="351" t="str">
        <f>_xlfn.CONCAT(_xlfn.XLOOKUP("[S05_CategoryBHighestTierNotApplied][13][CategoryBInstallationsAffected]",Submission!$O:$O,Submission!$H:$N,""))</f>
        <v/>
      </c>
      <c r="I1110" s="352"/>
    </row>
    <row r="1111" spans="1:9" ht="25.95" hidden="1" customHeight="1" outlineLevel="1" x14ac:dyDescent="0.3">
      <c r="B1111" s="34"/>
      <c r="C1111" s="258" t="str">
        <f>_xlfn.CONCAT(_xlfn.XLOOKUP("[S05_CategoryBHighestTierNotApplied][14][MonitoringMethodology]",Submission!$O:$O,Submission!$H:$N,""))</f>
        <v/>
      </c>
      <c r="D1111" s="260"/>
      <c r="E1111" s="274" t="str">
        <f>_xlfn.CONCAT(_xlfn.XLOOKUP("[S05_CategoryBHighestTierNotApplied][14][CategoryBMainActivity]",Submission!$O:$O,Submission!$H:$N,""))</f>
        <v/>
      </c>
      <c r="F1111" s="369"/>
      <c r="G1111" s="259"/>
      <c r="H1111" s="351" t="str">
        <f>_xlfn.CONCAT(_xlfn.XLOOKUP("[S05_CategoryBHighestTierNotApplied][14][CategoryBInstallationsAffected]",Submission!$O:$O,Submission!$H:$N,""))</f>
        <v/>
      </c>
      <c r="I1111" s="352"/>
    </row>
    <row r="1112" spans="1:9" ht="25.95" hidden="1" customHeight="1" outlineLevel="1" x14ac:dyDescent="0.3">
      <c r="B1112" s="34"/>
      <c r="C1112" s="258" t="str">
        <f>_xlfn.CONCAT(_xlfn.XLOOKUP("[S05_CategoryBHighestTierNotApplied][15][MonitoringMethodology]",Submission!$O:$O,Submission!$H:$N,""))</f>
        <v/>
      </c>
      <c r="D1112" s="260"/>
      <c r="E1112" s="274" t="str">
        <f>_xlfn.CONCAT(_xlfn.XLOOKUP("[S05_CategoryBHighestTierNotApplied][15][CategoryBMainActivity]",Submission!$O:$O,Submission!$H:$N,""))</f>
        <v/>
      </c>
      <c r="F1112" s="369"/>
      <c r="G1112" s="259"/>
      <c r="H1112" s="351" t="str">
        <f>_xlfn.CONCAT(_xlfn.XLOOKUP("[S05_CategoryBHighestTierNotApplied][15][CategoryBInstallationsAffected]",Submission!$O:$O,Submission!$H:$N,""))</f>
        <v/>
      </c>
      <c r="I1112" s="352"/>
    </row>
    <row r="1113" spans="1:9" ht="25.95" hidden="1" customHeight="1" outlineLevel="1" x14ac:dyDescent="0.3">
      <c r="B1113" s="34"/>
      <c r="C1113" s="258" t="str">
        <f>_xlfn.CONCAT(_xlfn.XLOOKUP("[S05_CategoryBHighestTierNotApplied][16][MonitoringMethodology]",Submission!$O:$O,Submission!$H:$N,""))</f>
        <v/>
      </c>
      <c r="D1113" s="260"/>
      <c r="E1113" s="274" t="str">
        <f>_xlfn.CONCAT(_xlfn.XLOOKUP("[S05_CategoryBHighestTierNotApplied][16][CategoryBMainActivity]",Submission!$O:$O,Submission!$H:$N,""))</f>
        <v/>
      </c>
      <c r="F1113" s="369"/>
      <c r="G1113" s="259"/>
      <c r="H1113" s="351" t="str">
        <f>_xlfn.CONCAT(_xlfn.XLOOKUP("[S05_CategoryBHighestTierNotApplied][16][CategoryBInstallationsAffected]",Submission!$O:$O,Submission!$H:$N,""))</f>
        <v/>
      </c>
      <c r="I1113" s="352"/>
    </row>
    <row r="1114" spans="1:9" ht="25.95" hidden="1" customHeight="1" outlineLevel="1" x14ac:dyDescent="0.3">
      <c r="B1114" s="34"/>
      <c r="C1114" s="258" t="str">
        <f>_xlfn.CONCAT(_xlfn.XLOOKUP("[S05_CategoryBHighestTierNotApplied][17][MonitoringMethodology]",Submission!$O:$O,Submission!$H:$N,""))</f>
        <v/>
      </c>
      <c r="D1114" s="260"/>
      <c r="E1114" s="274" t="str">
        <f>_xlfn.CONCAT(_xlfn.XLOOKUP("[S05_CategoryBHighestTierNotApplied][17][CategoryBMainActivity]",Submission!$O:$O,Submission!$H:$N,""))</f>
        <v/>
      </c>
      <c r="F1114" s="369"/>
      <c r="G1114" s="259"/>
      <c r="H1114" s="351" t="str">
        <f>_xlfn.CONCAT(_xlfn.XLOOKUP("[S05_CategoryBHighestTierNotApplied][17][CategoryBInstallationsAffected]",Submission!$O:$O,Submission!$H:$N,""))</f>
        <v/>
      </c>
      <c r="I1114" s="352"/>
    </row>
    <row r="1115" spans="1:9" ht="25.95" hidden="1" customHeight="1" outlineLevel="1" x14ac:dyDescent="0.3">
      <c r="B1115" s="34"/>
      <c r="C1115" s="258" t="str">
        <f>_xlfn.CONCAT(_xlfn.XLOOKUP("[S05_CategoryBHighestTierNotApplied][18][MonitoringMethodology]",Submission!$O:$O,Submission!$H:$N,""))</f>
        <v/>
      </c>
      <c r="D1115" s="260"/>
      <c r="E1115" s="274" t="str">
        <f>_xlfn.CONCAT(_xlfn.XLOOKUP("[S05_CategoryBHighestTierNotApplied][18][CategoryBMainActivity]",Submission!$O:$O,Submission!$H:$N,""))</f>
        <v/>
      </c>
      <c r="F1115" s="369"/>
      <c r="G1115" s="259"/>
      <c r="H1115" s="351" t="str">
        <f>_xlfn.CONCAT(_xlfn.XLOOKUP("[S05_CategoryBHighestTierNotApplied][18][CategoryBInstallationsAffected]",Submission!$O:$O,Submission!$H:$N,""))</f>
        <v/>
      </c>
      <c r="I1115" s="352"/>
    </row>
    <row r="1116" spans="1:9" ht="25.95" hidden="1" customHeight="1" outlineLevel="1" x14ac:dyDescent="0.3">
      <c r="B1116" s="34"/>
      <c r="C1116" s="258" t="str">
        <f>_xlfn.CONCAT(_xlfn.XLOOKUP("[S05_CategoryBHighestTierNotApplied][19][MonitoringMethodology]",Submission!$O:$O,Submission!$H:$N,""))</f>
        <v/>
      </c>
      <c r="D1116" s="260"/>
      <c r="E1116" s="274" t="str">
        <f>_xlfn.CONCAT(_xlfn.XLOOKUP("[S05_CategoryBHighestTierNotApplied][19][CategoryBMainActivity]",Submission!$O:$O,Submission!$H:$N,""))</f>
        <v/>
      </c>
      <c r="F1116" s="369"/>
      <c r="G1116" s="259"/>
      <c r="H1116" s="351" t="str">
        <f>_xlfn.CONCAT(_xlfn.XLOOKUP("[S05_CategoryBHighestTierNotApplied][19][CategoryBInstallationsAffected]",Submission!$O:$O,Submission!$H:$N,""))</f>
        <v/>
      </c>
      <c r="I1116" s="352"/>
    </row>
    <row r="1117" spans="1:9" ht="25.95" hidden="1" customHeight="1" outlineLevel="1" x14ac:dyDescent="0.3">
      <c r="B1117" s="34"/>
      <c r="C1117" s="258" t="str">
        <f>_xlfn.CONCAT(_xlfn.XLOOKUP("[S05_CategoryBHighestTierNotApplied][20][MonitoringMethodology]",Submission!$O:$O,Submission!$H:$N,""))</f>
        <v/>
      </c>
      <c r="D1117" s="260"/>
      <c r="E1117" s="274" t="str">
        <f>_xlfn.CONCAT(_xlfn.XLOOKUP("[S05_CategoryBHighestTierNotApplied][20][CategoryBMainActivity]",Submission!$O:$O,Submission!$H:$N,""))</f>
        <v/>
      </c>
      <c r="F1117" s="369"/>
      <c r="G1117" s="259"/>
      <c r="H1117" s="351" t="str">
        <f>_xlfn.CONCAT(_xlfn.XLOOKUP("[S05_CategoryBHighestTierNotApplied][20][CategoryBInstallationsAffected]",Submission!$O:$O,Submission!$H:$N,""))</f>
        <v/>
      </c>
      <c r="I1117" s="352"/>
    </row>
    <row r="1118" spans="1:9" ht="25.95" hidden="1" customHeight="1" outlineLevel="1" x14ac:dyDescent="0.3">
      <c r="B1118" s="34"/>
      <c r="C1118" s="258" t="str">
        <f>_xlfn.CONCAT(_xlfn.XLOOKUP("[S05_CategoryBHighestTierNotApplied][21][MonitoringMethodology]",Submission!$O:$O,Submission!$H:$N,""))</f>
        <v/>
      </c>
      <c r="D1118" s="260"/>
      <c r="E1118" s="274" t="str">
        <f>_xlfn.CONCAT(_xlfn.XLOOKUP("[S05_CategoryBHighestTierNotApplied][21][CategoryBMainActivity]",Submission!$O:$O,Submission!$H:$N,""))</f>
        <v/>
      </c>
      <c r="F1118" s="369"/>
      <c r="G1118" s="259"/>
      <c r="H1118" s="351" t="str">
        <f>_xlfn.CONCAT(_xlfn.XLOOKUP("[S05_CategoryBHighestTierNotApplied][21][CategoryBInstallationsAffected]",Submission!$O:$O,Submission!$H:$N,""))</f>
        <v/>
      </c>
      <c r="I1118" s="352"/>
    </row>
    <row r="1119" spans="1:9" ht="25.95" hidden="1" customHeight="1" outlineLevel="1" x14ac:dyDescent="0.3">
      <c r="B1119" s="34"/>
      <c r="C1119" s="258" t="str">
        <f>_xlfn.CONCAT(_xlfn.XLOOKUP("[S05_CategoryBHighestTierNotApplied][22][MonitoringMethodology]",Submission!$O:$O,Submission!$H:$N,""))</f>
        <v/>
      </c>
      <c r="D1119" s="260"/>
      <c r="E1119" s="274" t="str">
        <f>_xlfn.CONCAT(_xlfn.XLOOKUP("[S05_CategoryBHighestTierNotApplied][22][CategoryBMainActivity]",Submission!$O:$O,Submission!$H:$N,""))</f>
        <v/>
      </c>
      <c r="F1119" s="369"/>
      <c r="G1119" s="259"/>
      <c r="H1119" s="351" t="str">
        <f>_xlfn.CONCAT(_xlfn.XLOOKUP("[S05_CategoryBHighestTierNotApplied][22][CategoryBInstallationsAffected]",Submission!$O:$O,Submission!$H:$N,""))</f>
        <v/>
      </c>
      <c r="I1119" s="35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79" t="s">
        <v>881</v>
      </c>
      <c r="D1121" s="279"/>
      <c r="E1121" s="279"/>
      <c r="F1121" s="279"/>
      <c r="G1121" s="279"/>
      <c r="H1121" s="279"/>
      <c r="I1121" s="279"/>
    </row>
    <row r="1122" spans="1:9" ht="16.95" customHeight="1" x14ac:dyDescent="0.3">
      <c r="A1122" s="13"/>
      <c r="C1122" s="279" t="s">
        <v>882</v>
      </c>
      <c r="D1122" s="279"/>
      <c r="E1122" s="279"/>
      <c r="F1122" s="279"/>
      <c r="G1122" s="279"/>
      <c r="H1122" s="279"/>
      <c r="I1122" s="279"/>
    </row>
    <row r="1123" spans="1:9" ht="16.95" customHeight="1" x14ac:dyDescent="0.3">
      <c r="A1123" s="13"/>
      <c r="C1123" s="99"/>
      <c r="D1123" s="99"/>
      <c r="E1123" s="99"/>
      <c r="F1123" s="99"/>
      <c r="G1123" s="99"/>
      <c r="H1123" s="99"/>
      <c r="I1123" s="99"/>
    </row>
    <row r="1124" spans="1:9" ht="35.25" customHeight="1" x14ac:dyDescent="0.3">
      <c r="A1124" s="12" t="s">
        <v>259</v>
      </c>
      <c r="B1124" s="338" t="s">
        <v>883</v>
      </c>
      <c r="C1124" s="308"/>
      <c r="D1124" s="308"/>
      <c r="E1124" s="308"/>
      <c r="F1124" s="308"/>
      <c r="G1124" s="308"/>
      <c r="H1124" s="345"/>
      <c r="I1124" s="41" t="str">
        <f>_xlfn.CONCAT(_xlfn.XLOOKUP("[FallBackApproachApplied][0][FallBackApproachApplied]",Submission!$O:$O,Submission!$H:$N,""))</f>
        <v>No</v>
      </c>
    </row>
    <row r="1125" spans="1:9" ht="20.399999999999999" customHeight="1" x14ac:dyDescent="0.3">
      <c r="A1125" s="12"/>
      <c r="B1125" s="275" t="s">
        <v>884</v>
      </c>
      <c r="C1125" s="276"/>
      <c r="D1125" s="276"/>
      <c r="E1125" s="276"/>
      <c r="F1125" s="276"/>
      <c r="G1125" s="276"/>
      <c r="H1125" s="276"/>
      <c r="I1125" s="276"/>
    </row>
    <row r="1126" spans="1:9" ht="32.4" customHeight="1" x14ac:dyDescent="0.3">
      <c r="A1126" s="12"/>
      <c r="B1126" s="34"/>
      <c r="C1126" s="46" t="s">
        <v>869</v>
      </c>
      <c r="D1126" s="317" t="s">
        <v>885</v>
      </c>
      <c r="E1126" s="370"/>
      <c r="F1126" s="370"/>
      <c r="G1126" s="318"/>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58" t="str">
        <f>_xlfn.CONCAT(_xlfn.XLOOKUP("[S05_FallBackApproachAppliedDetail][1][FallBackReason]",Submission!$O:$O,Submission!$H:$N,""))</f>
        <v/>
      </c>
      <c r="E1127" s="353"/>
      <c r="F1127" s="353"/>
      <c r="G1127" s="260"/>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58" t="str">
        <f>_xlfn.CONCAT(_xlfn.XLOOKUP("[S05_FallBackApproachAppliedDetail][2][FallBackReason]",Submission!$O:$O,Submission!$H:$N,""))</f>
        <v/>
      </c>
      <c r="E1128" s="353"/>
      <c r="F1128" s="353"/>
      <c r="G1128" s="260"/>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58" t="str">
        <f>_xlfn.CONCAT(_xlfn.XLOOKUP("[S05_FallBackApproachAppliedDetail][3][FallBackReason]",Submission!$O:$O,Submission!$H:$N,""))</f>
        <v/>
      </c>
      <c r="E1129" s="353"/>
      <c r="F1129" s="353"/>
      <c r="G1129" s="260"/>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58" t="str">
        <f>_xlfn.CONCAT(_xlfn.XLOOKUP("[S05_FallBackApproachAppliedDetail][4][FallBackReason]",Submission!$O:$O,Submission!$H:$N,""))</f>
        <v/>
      </c>
      <c r="E1130" s="353"/>
      <c r="F1130" s="353"/>
      <c r="G1130" s="260"/>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58" t="str">
        <f>_xlfn.CONCAT(_xlfn.XLOOKUP("[S05_FallBackApproachAppliedDetail][5][FallBackReason]",Submission!$O:$O,Submission!$H:$N,""))</f>
        <v/>
      </c>
      <c r="E1131" s="353"/>
      <c r="F1131" s="353"/>
      <c r="G1131" s="260"/>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58" t="str">
        <f>_xlfn.CONCAT(_xlfn.XLOOKUP("[S05_FallBackApproachAppliedDetail][6][FallBackReason]",Submission!$O:$O,Submission!$H:$N,""))</f>
        <v/>
      </c>
      <c r="E1132" s="353"/>
      <c r="F1132" s="353"/>
      <c r="G1132" s="260"/>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58" t="str">
        <f>_xlfn.CONCAT(_xlfn.XLOOKUP("[S05_FallBackApproachAppliedDetail][7][FallBackReason]",Submission!$O:$O,Submission!$H:$N,""))</f>
        <v/>
      </c>
      <c r="E1133" s="353"/>
      <c r="F1133" s="353"/>
      <c r="G1133" s="260"/>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58" t="str">
        <f>_xlfn.CONCAT(_xlfn.XLOOKUP("[S05_FallBackApproachAppliedDetail][8][FallBackReason]",Submission!$O:$O,Submission!$H:$N,""))</f>
        <v/>
      </c>
      <c r="E1134" s="353"/>
      <c r="F1134" s="353"/>
      <c r="G1134" s="260"/>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58" t="str">
        <f>_xlfn.CONCAT(_xlfn.XLOOKUP("[S05_FallBackApproachAppliedDetail][9][FallBackReason]",Submission!$O:$O,Submission!$H:$N,""))</f>
        <v/>
      </c>
      <c r="E1135" s="353"/>
      <c r="F1135" s="353"/>
      <c r="G1135" s="260"/>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58" t="str">
        <f>_xlfn.CONCAT(_xlfn.XLOOKUP("[S05_FallBackApproachAppliedDetail][10][FallBackReason]",Submission!$O:$O,Submission!$H:$N,""))</f>
        <v/>
      </c>
      <c r="E1136" s="353"/>
      <c r="F1136" s="353"/>
      <c r="G1136" s="260"/>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58" t="s">
        <v>888</v>
      </c>
      <c r="D1138" s="359"/>
      <c r="E1138" s="359"/>
      <c r="F1138" s="359"/>
      <c r="G1138" s="359"/>
      <c r="H1138" s="359"/>
      <c r="I1138" s="359"/>
    </row>
    <row r="1139" spans="1:9" ht="73.2" customHeight="1" x14ac:dyDescent="0.3">
      <c r="A1139" s="12"/>
      <c r="B1139" s="16"/>
      <c r="C1139" s="358" t="s">
        <v>889</v>
      </c>
      <c r="D1139" s="358"/>
      <c r="E1139" s="358"/>
      <c r="F1139" s="358"/>
      <c r="G1139" s="358"/>
      <c r="H1139" s="358"/>
      <c r="I1139" s="358"/>
    </row>
    <row r="1140" spans="1:9" ht="28.95" customHeight="1" x14ac:dyDescent="0.3">
      <c r="A1140" s="12"/>
      <c r="B1140" s="16"/>
      <c r="C1140" s="358" t="s">
        <v>2225</v>
      </c>
      <c r="D1140" s="358"/>
      <c r="E1140" s="358"/>
      <c r="F1140" s="358"/>
      <c r="G1140" s="358"/>
      <c r="H1140" s="358"/>
      <c r="I1140" s="358"/>
    </row>
    <row r="1141" spans="1:9" ht="15.9" customHeight="1" x14ac:dyDescent="0.3">
      <c r="A1141" s="12"/>
    </row>
    <row r="1142" spans="1:9" ht="35.4" customHeight="1" x14ac:dyDescent="0.3">
      <c r="A1142" s="12" t="s">
        <v>266</v>
      </c>
      <c r="B1142" s="338" t="s">
        <v>890</v>
      </c>
      <c r="C1142" s="308"/>
      <c r="D1142" s="308"/>
      <c r="E1142" s="308"/>
      <c r="F1142" s="308"/>
      <c r="G1142" s="308"/>
      <c r="H1142" s="308"/>
      <c r="I1142" s="308"/>
    </row>
    <row r="1143" spans="1:9" ht="44.4" customHeight="1" x14ac:dyDescent="0.3">
      <c r="A1143" s="12"/>
      <c r="C1143" s="42" t="s">
        <v>891</v>
      </c>
      <c r="D1143" s="314" t="s">
        <v>879</v>
      </c>
      <c r="E1143" s="316"/>
      <c r="F1143" s="314" t="s">
        <v>892</v>
      </c>
      <c r="G1143" s="316"/>
      <c r="H1143" s="42" t="s">
        <v>893</v>
      </c>
      <c r="I1143" s="42" t="s">
        <v>894</v>
      </c>
    </row>
    <row r="1144" spans="1:9" ht="27" customHeight="1" x14ac:dyDescent="0.3">
      <c r="A1144" s="12"/>
      <c r="C1144" s="47" t="str">
        <f>_xlfn.CONCAT(_xlfn.XLOOKUP("[S05_ImprovementReportArt69]["&amp;ROW(B1144)-ROW($B$1143)&amp;"][InstallationCategory]",Submission!$O:$O,Submission!$H:$N,""))</f>
        <v/>
      </c>
      <c r="D1144" s="274" t="str">
        <f>_xlfn.CONCAT(_xlfn.XLOOKUP("[S05_ImprovementReportArt69]["&amp;ROW(B1144)-ROW($B$1143)&amp;"][Annex1Activity]",Submission!$O:$O,Submission!$H:$N,""))</f>
        <v/>
      </c>
      <c r="E1144" s="364"/>
      <c r="F1144" s="258" t="str">
        <f>_xlfn.CONCAT(_xlfn.XLOOKUP("[S05_ImprovementReportArt69]["&amp;ROW(B1144)-ROW($B$1143)&amp;"][ImprovementReportType]",Submission!$O:$O,Submission!$H:$N,""))</f>
        <v/>
      </c>
      <c r="G1144" s="259"/>
      <c r="H1144" s="124" t="str">
        <f>_xlfn.CONCAT(_xlfn.XLOOKUP("[S05_ImprovementReportArt69]["&amp;ROW(B1144)-ROW($B$1143)&amp;"][ImprovementReportRequired]",Submission!$O:$O,Submission!$H:$N,""))</f>
        <v/>
      </c>
      <c r="I1144" s="124" t="str">
        <f>_xlfn.CONCAT(_xlfn.XLOOKUP("[S05_ImprovementReportArt69]["&amp;ROW(B1144)-ROW($B$1143)&amp;"][ImprovementReportSubmitted]",Submission!$O:$O,Submission!$H:$N,""))</f>
        <v/>
      </c>
    </row>
    <row r="1145" spans="1:9" ht="27" customHeight="1" x14ac:dyDescent="0.3">
      <c r="A1145" s="12"/>
      <c r="C1145" s="47" t="str">
        <f>_xlfn.CONCAT(_xlfn.XLOOKUP("[S05_ImprovementReportArt69]["&amp;ROW(B1145)-ROW($B$1143)&amp;"][InstallationCategory]",Submission!$O:$O,Submission!$H:$N,""))</f>
        <v/>
      </c>
      <c r="D1145" s="274" t="str">
        <f>_xlfn.CONCAT(_xlfn.XLOOKUP("[S05_ImprovementReportArt69]["&amp;ROW(B1145)-ROW($B$1143)&amp;"][Annex1Activity]",Submission!$O:$O,Submission!$H:$N,""))</f>
        <v/>
      </c>
      <c r="E1145" s="364"/>
      <c r="F1145" s="258" t="str">
        <f>_xlfn.CONCAT(_xlfn.XLOOKUP("[S05_ImprovementReportArt69]["&amp;ROW(B1145)-ROW($B$1143)&amp;"][ImprovementReportType]",Submission!$O:$O,Submission!$H:$N,""))</f>
        <v/>
      </c>
      <c r="G1145" s="259"/>
      <c r="H1145" s="124" t="str">
        <f>_xlfn.CONCAT(_xlfn.XLOOKUP("[S05_ImprovementReportArt69]["&amp;ROW(B1145)-ROW($B$1143)&amp;"][ImprovementReportRequired]",Submission!$O:$O,Submission!$H:$N,""))</f>
        <v/>
      </c>
      <c r="I1145" s="124" t="str">
        <f>_xlfn.CONCAT(_xlfn.XLOOKUP("[S05_ImprovementReportArt69]["&amp;ROW(B1145)-ROW($B$1143)&amp;"][ImprovementReportSubmitted]",Submission!$O:$O,Submission!$H:$N,""))</f>
        <v/>
      </c>
    </row>
    <row r="1146" spans="1:9" ht="27" customHeight="1" x14ac:dyDescent="0.3">
      <c r="A1146" s="12"/>
      <c r="C1146" s="47" t="str">
        <f>_xlfn.CONCAT(_xlfn.XLOOKUP("[S05_ImprovementReportArt69]["&amp;ROW(B1146)-ROW($B$1143)&amp;"][InstallationCategory]",Submission!$O:$O,Submission!$H:$N,""))</f>
        <v/>
      </c>
      <c r="D1146" s="274" t="str">
        <f>_xlfn.CONCAT(_xlfn.XLOOKUP("[S05_ImprovementReportArt69]["&amp;ROW(B1146)-ROW($B$1143)&amp;"][Annex1Activity]",Submission!$O:$O,Submission!$H:$N,""))</f>
        <v/>
      </c>
      <c r="E1146" s="364"/>
      <c r="F1146" s="258" t="str">
        <f>_xlfn.CONCAT(_xlfn.XLOOKUP("[S05_ImprovementReportArt69]["&amp;ROW(B1146)-ROW($B$1143)&amp;"][ImprovementReportType]",Submission!$O:$O,Submission!$H:$N,""))</f>
        <v/>
      </c>
      <c r="G1146" s="259"/>
      <c r="H1146" s="124" t="str">
        <f>_xlfn.CONCAT(_xlfn.XLOOKUP("[S05_ImprovementReportArt69]["&amp;ROW(B1146)-ROW($B$1143)&amp;"][ImprovementReportRequired]",Submission!$O:$O,Submission!$H:$N,""))</f>
        <v/>
      </c>
      <c r="I1146" s="124" t="str">
        <f>_xlfn.CONCAT(_xlfn.XLOOKUP("[S05_ImprovementReportArt69]["&amp;ROW(B1146)-ROW($B$1143)&amp;"][ImprovementReportSubmitted]",Submission!$O:$O,Submission!$H:$N,""))</f>
        <v/>
      </c>
    </row>
    <row r="1147" spans="1:9" ht="27" customHeight="1" x14ac:dyDescent="0.3">
      <c r="A1147" s="12"/>
      <c r="C1147" s="47" t="str">
        <f>_xlfn.CONCAT(_xlfn.XLOOKUP("[S05_ImprovementReportArt69]["&amp;ROW(B1147)-ROW($B$1143)&amp;"][InstallationCategory]",Submission!$O:$O,Submission!$H:$N,""))</f>
        <v/>
      </c>
      <c r="D1147" s="274" t="str">
        <f>_xlfn.CONCAT(_xlfn.XLOOKUP("[S05_ImprovementReportArt69]["&amp;ROW(B1147)-ROW($B$1143)&amp;"][Annex1Activity]",Submission!$O:$O,Submission!$H:$N,""))</f>
        <v/>
      </c>
      <c r="E1147" s="364"/>
      <c r="F1147" s="258" t="str">
        <f>_xlfn.CONCAT(_xlfn.XLOOKUP("[S05_ImprovementReportArt69]["&amp;ROW(B1147)-ROW($B$1143)&amp;"][ImprovementReportType]",Submission!$O:$O,Submission!$H:$N,""))</f>
        <v/>
      </c>
      <c r="G1147" s="259"/>
      <c r="H1147" s="124" t="str">
        <f>_xlfn.CONCAT(_xlfn.XLOOKUP("[S05_ImprovementReportArt69]["&amp;ROW(B1147)-ROW($B$1143)&amp;"][ImprovementReportRequired]",Submission!$O:$O,Submission!$H:$N,""))</f>
        <v/>
      </c>
      <c r="I1147" s="124" t="str">
        <f>_xlfn.CONCAT(_xlfn.XLOOKUP("[S05_ImprovementReportArt69]["&amp;ROW(B1147)-ROW($B$1143)&amp;"][ImprovementReportSubmitted]",Submission!$O:$O,Submission!$H:$N,""))</f>
        <v/>
      </c>
    </row>
    <row r="1148" spans="1:9" ht="27" customHeight="1" x14ac:dyDescent="0.3">
      <c r="A1148" s="12"/>
      <c r="C1148" s="47" t="str">
        <f>_xlfn.CONCAT(_xlfn.XLOOKUP("[S05_ImprovementReportArt69]["&amp;ROW(B1148)-ROW($B$1143)&amp;"][InstallationCategory]",Submission!$O:$O,Submission!$H:$N,""))</f>
        <v/>
      </c>
      <c r="D1148" s="274" t="str">
        <f>_xlfn.CONCAT(_xlfn.XLOOKUP("[S05_ImprovementReportArt69]["&amp;ROW(B1148)-ROW($B$1143)&amp;"][Annex1Activity]",Submission!$O:$O,Submission!$H:$N,""))</f>
        <v/>
      </c>
      <c r="E1148" s="364"/>
      <c r="F1148" s="258" t="str">
        <f>_xlfn.CONCAT(_xlfn.XLOOKUP("[S05_ImprovementReportArt69]["&amp;ROW(B1148)-ROW($B$1143)&amp;"][ImprovementReportType]",Submission!$O:$O,Submission!$H:$N,""))</f>
        <v/>
      </c>
      <c r="G1148" s="259"/>
      <c r="H1148" s="124" t="str">
        <f>_xlfn.CONCAT(_xlfn.XLOOKUP("[S05_ImprovementReportArt69]["&amp;ROW(B1148)-ROW($B$1143)&amp;"][ImprovementReportRequired]",Submission!$O:$O,Submission!$H:$N,""))</f>
        <v/>
      </c>
      <c r="I1148" s="124" t="str">
        <f>_xlfn.CONCAT(_xlfn.XLOOKUP("[S05_ImprovementReportArt69]["&amp;ROW(B1148)-ROW($B$1143)&amp;"][ImprovementReportSubmitted]",Submission!$O:$O,Submission!$H:$N,""))</f>
        <v/>
      </c>
    </row>
    <row r="1149" spans="1:9" ht="27" customHeight="1" x14ac:dyDescent="0.3">
      <c r="A1149" s="12"/>
      <c r="C1149" s="47" t="str">
        <f>_xlfn.CONCAT(_xlfn.XLOOKUP("[S05_ImprovementReportArt69]["&amp;ROW(B1149)-ROW($B$1143)&amp;"][InstallationCategory]",Submission!$O:$O,Submission!$H:$N,""))</f>
        <v/>
      </c>
      <c r="D1149" s="274" t="str">
        <f>_xlfn.CONCAT(_xlfn.XLOOKUP("[S05_ImprovementReportArt69]["&amp;ROW(B1149)-ROW($B$1143)&amp;"][Annex1Activity]",Submission!$O:$O,Submission!$H:$N,""))</f>
        <v/>
      </c>
      <c r="E1149" s="364"/>
      <c r="F1149" s="258" t="str">
        <f>_xlfn.CONCAT(_xlfn.XLOOKUP("[S05_ImprovementReportArt69]["&amp;ROW(B1149)-ROW($B$1143)&amp;"][ImprovementReportType]",Submission!$O:$O,Submission!$H:$N,""))</f>
        <v/>
      </c>
      <c r="G1149" s="259"/>
      <c r="H1149" s="124" t="str">
        <f>_xlfn.CONCAT(_xlfn.XLOOKUP("[S05_ImprovementReportArt69]["&amp;ROW(B1149)-ROW($B$1143)&amp;"][ImprovementReportRequired]",Submission!$O:$O,Submission!$H:$N,""))</f>
        <v/>
      </c>
      <c r="I1149" s="124" t="str">
        <f>_xlfn.CONCAT(_xlfn.XLOOKUP("[S05_ImprovementReportArt69]["&amp;ROW(B1149)-ROW($B$1143)&amp;"][ImprovementReportSubmitted]",Submission!$O:$O,Submission!$H:$N,""))</f>
        <v/>
      </c>
    </row>
    <row r="1150" spans="1:9" ht="27" customHeight="1" x14ac:dyDescent="0.3">
      <c r="A1150" s="12"/>
      <c r="C1150" s="47" t="str">
        <f>_xlfn.CONCAT(_xlfn.XLOOKUP("[S05_ImprovementReportArt69]["&amp;ROW(B1150)-ROW($B$1143)&amp;"][InstallationCategory]",Submission!$O:$O,Submission!$H:$N,""))</f>
        <v/>
      </c>
      <c r="D1150" s="274" t="str">
        <f>_xlfn.CONCAT(_xlfn.XLOOKUP("[S05_ImprovementReportArt69]["&amp;ROW(B1150)-ROW($B$1143)&amp;"][Annex1Activity]",Submission!$O:$O,Submission!$H:$N,""))</f>
        <v/>
      </c>
      <c r="E1150" s="364"/>
      <c r="F1150" s="258" t="str">
        <f>_xlfn.CONCAT(_xlfn.XLOOKUP("[S05_ImprovementReportArt69]["&amp;ROW(B1150)-ROW($B$1143)&amp;"][ImprovementReportType]",Submission!$O:$O,Submission!$H:$N,""))</f>
        <v/>
      </c>
      <c r="G1150" s="259"/>
      <c r="H1150" s="124" t="str">
        <f>_xlfn.CONCAT(_xlfn.XLOOKUP("[S05_ImprovementReportArt69]["&amp;ROW(B1150)-ROW($B$1143)&amp;"][ImprovementReportRequired]",Submission!$O:$O,Submission!$H:$N,""))</f>
        <v/>
      </c>
      <c r="I1150" s="124" t="str">
        <f>_xlfn.CONCAT(_xlfn.XLOOKUP("[S05_ImprovementReportArt69]["&amp;ROW(B1150)-ROW($B$1143)&amp;"][ImprovementReportSubmitted]",Submission!$O:$O,Submission!$H:$N,""))</f>
        <v/>
      </c>
    </row>
    <row r="1151" spans="1:9" ht="27" customHeight="1" x14ac:dyDescent="0.3">
      <c r="A1151" s="12"/>
      <c r="C1151" s="47" t="str">
        <f>_xlfn.CONCAT(_xlfn.XLOOKUP("[S05_ImprovementReportArt69]["&amp;ROW(B1151)-ROW($B$1143)&amp;"][InstallationCategory]",Submission!$O:$O,Submission!$H:$N,""))</f>
        <v/>
      </c>
      <c r="D1151" s="274" t="str">
        <f>_xlfn.CONCAT(_xlfn.XLOOKUP("[S05_ImprovementReportArt69]["&amp;ROW(B1151)-ROW($B$1143)&amp;"][Annex1Activity]",Submission!$O:$O,Submission!$H:$N,""))</f>
        <v/>
      </c>
      <c r="E1151" s="364"/>
      <c r="F1151" s="258" t="str">
        <f>_xlfn.CONCAT(_xlfn.XLOOKUP("[S05_ImprovementReportArt69]["&amp;ROW(B1151)-ROW($B$1143)&amp;"][ImprovementReportType]",Submission!$O:$O,Submission!$H:$N,""))</f>
        <v/>
      </c>
      <c r="G1151" s="259"/>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74" t="str">
        <f>_xlfn.CONCAT(_xlfn.XLOOKUP("[S05_ImprovementReportArt69]["&amp;ROW(B1152)-ROW($B$1143)&amp;"][Annex1Activity]",Submission!$O:$O,Submission!$H:$N,""))</f>
        <v/>
      </c>
      <c r="E1152" s="364"/>
      <c r="F1152" s="258" t="str">
        <f>_xlfn.CONCAT(_xlfn.XLOOKUP("[S05_ImprovementReportArt69]["&amp;ROW(B1152)-ROW($B$1143)&amp;"][ImprovementReportType]",Submission!$O:$O,Submission!$H:$N,""))</f>
        <v/>
      </c>
      <c r="G1152" s="259"/>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74" t="str">
        <f>_xlfn.CONCAT(_xlfn.XLOOKUP("[S05_ImprovementReportArt69]["&amp;ROW(B1153)-ROW($B$1143)&amp;"][Annex1Activity]",Submission!$O:$O,Submission!$H:$N,""))</f>
        <v/>
      </c>
      <c r="E1153" s="364"/>
      <c r="F1153" s="258" t="str">
        <f>_xlfn.CONCAT(_xlfn.XLOOKUP("[S05_ImprovementReportArt69]["&amp;ROW(B1153)-ROW($B$1143)&amp;"][ImprovementReportType]",Submission!$O:$O,Submission!$H:$N,""))</f>
        <v/>
      </c>
      <c r="G1153" s="259"/>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74" t="str">
        <f>_xlfn.CONCAT(_xlfn.XLOOKUP("[S05_ImprovementReportArt69]["&amp;ROW(B1154)-ROW($B$1143)&amp;"][Annex1Activity]",Submission!$O:$O,Submission!$H:$N,""))</f>
        <v/>
      </c>
      <c r="E1154" s="364"/>
      <c r="F1154" s="258" t="str">
        <f>_xlfn.CONCAT(_xlfn.XLOOKUP("[S05_ImprovementReportArt69]["&amp;ROW(B1154)-ROW($B$1143)&amp;"][ImprovementReportType]",Submission!$O:$O,Submission!$H:$N,""))</f>
        <v/>
      </c>
      <c r="G1154" s="259"/>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74" t="str">
        <f>_xlfn.CONCAT(_xlfn.XLOOKUP("[S05_ImprovementReportArt69]["&amp;ROW(B1155)-ROW($B$1143)&amp;"][Annex1Activity]",Submission!$O:$O,Submission!$H:$N,""))</f>
        <v/>
      </c>
      <c r="E1155" s="364"/>
      <c r="F1155" s="258" t="str">
        <f>_xlfn.CONCAT(_xlfn.XLOOKUP("[S05_ImprovementReportArt69]["&amp;ROW(B1155)-ROW($B$1143)&amp;"][ImprovementReportType]",Submission!$O:$O,Submission!$H:$N,""))</f>
        <v/>
      </c>
      <c r="G1155" s="259"/>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74" t="str">
        <f>_xlfn.CONCAT(_xlfn.XLOOKUP("[S05_ImprovementReportArt69]["&amp;ROW(B1156)-ROW($B$1143)&amp;"][Annex1Activity]",Submission!$O:$O,Submission!$H:$N,""))</f>
        <v/>
      </c>
      <c r="E1156" s="364"/>
      <c r="F1156" s="258" t="str">
        <f>_xlfn.CONCAT(_xlfn.XLOOKUP("[S05_ImprovementReportArt69]["&amp;ROW(B1156)-ROW($B$1143)&amp;"][ImprovementReportType]",Submission!$O:$O,Submission!$H:$N,""))</f>
        <v/>
      </c>
      <c r="G1156" s="259"/>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74" t="str">
        <f>_xlfn.CONCAT(_xlfn.XLOOKUP("[S05_ImprovementReportArt69]["&amp;ROW(B1157)-ROW($B$1143)&amp;"][Annex1Activity]",Submission!$O:$O,Submission!$H:$N,""))</f>
        <v/>
      </c>
      <c r="E1157" s="364"/>
      <c r="F1157" s="258" t="str">
        <f>_xlfn.CONCAT(_xlfn.XLOOKUP("[S05_ImprovementReportArt69]["&amp;ROW(B1157)-ROW($B$1143)&amp;"][ImprovementReportType]",Submission!$O:$O,Submission!$H:$N,""))</f>
        <v/>
      </c>
      <c r="G1157" s="259"/>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74" t="str">
        <f>_xlfn.CONCAT(_xlfn.XLOOKUP("[S05_ImprovementReportArt69]["&amp;ROW(B1158)-ROW($B$1143)&amp;"][Annex1Activity]",Submission!$O:$O,Submission!$H:$N,""))</f>
        <v/>
      </c>
      <c r="E1158" s="364"/>
      <c r="F1158" s="258" t="str">
        <f>_xlfn.CONCAT(_xlfn.XLOOKUP("[S05_ImprovementReportArt69]["&amp;ROW(B1158)-ROW($B$1143)&amp;"][ImprovementReportType]",Submission!$O:$O,Submission!$H:$N,""))</f>
        <v/>
      </c>
      <c r="G1158" s="259"/>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74" t="str">
        <f>_xlfn.CONCAT(_xlfn.XLOOKUP("[S05_ImprovementReportArt69]["&amp;ROW(B1159)-ROW($B$1143)&amp;"][Annex1Activity]",Submission!$O:$O,Submission!$H:$N,""))</f>
        <v/>
      </c>
      <c r="E1159" s="364"/>
      <c r="F1159" s="258" t="str">
        <f>_xlfn.CONCAT(_xlfn.XLOOKUP("[S05_ImprovementReportArt69]["&amp;ROW(B1159)-ROW($B$1143)&amp;"][ImprovementReportType]",Submission!$O:$O,Submission!$H:$N,""))</f>
        <v/>
      </c>
      <c r="G1159" s="259"/>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74" t="str">
        <f>_xlfn.CONCAT(_xlfn.XLOOKUP("[S05_ImprovementReportArt69]["&amp;ROW(B1160)-ROW($B$1143)&amp;"][Annex1Activity]",Submission!$O:$O,Submission!$H:$N,""))</f>
        <v/>
      </c>
      <c r="E1160" s="364"/>
      <c r="F1160" s="258" t="str">
        <f>_xlfn.CONCAT(_xlfn.XLOOKUP("[S05_ImprovementReportArt69]["&amp;ROW(B1160)-ROW($B$1143)&amp;"][ImprovementReportType]",Submission!$O:$O,Submission!$H:$N,""))</f>
        <v/>
      </c>
      <c r="G1160" s="259"/>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74" t="str">
        <f>_xlfn.CONCAT(_xlfn.XLOOKUP("[S05_ImprovementReportArt69]["&amp;ROW(B1161)-ROW($B$1143)&amp;"][Annex1Activity]",Submission!$O:$O,Submission!$H:$N,""))</f>
        <v/>
      </c>
      <c r="E1161" s="364"/>
      <c r="F1161" s="258" t="str">
        <f>_xlfn.CONCAT(_xlfn.XLOOKUP("[S05_ImprovementReportArt69]["&amp;ROW(B1161)-ROW($B$1143)&amp;"][ImprovementReportType]",Submission!$O:$O,Submission!$H:$N,""))</f>
        <v/>
      </c>
      <c r="G1161" s="259"/>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74" t="str">
        <f>_xlfn.CONCAT(_xlfn.XLOOKUP("[S05_ImprovementReportArt69]["&amp;ROW(B1162)-ROW($B$1143)&amp;"][Annex1Activity]",Submission!$O:$O,Submission!$H:$N,""))</f>
        <v/>
      </c>
      <c r="E1162" s="364"/>
      <c r="F1162" s="258" t="str">
        <f>_xlfn.CONCAT(_xlfn.XLOOKUP("[S05_ImprovementReportArt69]["&amp;ROW(B1162)-ROW($B$1143)&amp;"][ImprovementReportType]",Submission!$O:$O,Submission!$H:$N,""))</f>
        <v/>
      </c>
      <c r="G1162" s="259"/>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74" t="str">
        <f>_xlfn.CONCAT(_xlfn.XLOOKUP("[S05_ImprovementReportArt69]["&amp;ROW(B1163)-ROW($B$1143)&amp;"][Annex1Activity]",Submission!$O:$O,Submission!$H:$N,""))</f>
        <v/>
      </c>
      <c r="E1163" s="364"/>
      <c r="F1163" s="258" t="str">
        <f>_xlfn.CONCAT(_xlfn.XLOOKUP("[S05_ImprovementReportArt69]["&amp;ROW(B1163)-ROW($B$1143)&amp;"][ImprovementReportType]",Submission!$O:$O,Submission!$H:$N,""))</f>
        <v/>
      </c>
      <c r="G1163" s="259"/>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74" t="str">
        <f>_xlfn.CONCAT(_xlfn.XLOOKUP("[S05_ImprovementReportArt69]["&amp;ROW(B1164)-ROW($B$1143)&amp;"][Annex1Activity]",Submission!$O:$O,Submission!$H:$N,""))</f>
        <v/>
      </c>
      <c r="E1164" s="364"/>
      <c r="F1164" s="258" t="str">
        <f>_xlfn.CONCAT(_xlfn.XLOOKUP("[S05_ImprovementReportArt69]["&amp;ROW(B1164)-ROW($B$1143)&amp;"][ImprovementReportType]",Submission!$O:$O,Submission!$H:$N,""))</f>
        <v/>
      </c>
      <c r="G1164" s="259"/>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74" t="str">
        <f>_xlfn.CONCAT(_xlfn.XLOOKUP("[S05_ImprovementReportArt69]["&amp;ROW(B1165)-ROW($B$1143)&amp;"][Annex1Activity]",Submission!$O:$O,Submission!$H:$N,""))</f>
        <v/>
      </c>
      <c r="E1165" s="364"/>
      <c r="F1165" s="258" t="str">
        <f>_xlfn.CONCAT(_xlfn.XLOOKUP("[S05_ImprovementReportArt69]["&amp;ROW(B1165)-ROW($B$1143)&amp;"][ImprovementReportType]",Submission!$O:$O,Submission!$H:$N,""))</f>
        <v/>
      </c>
      <c r="G1165" s="259"/>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74" t="str">
        <f>_xlfn.CONCAT(_xlfn.XLOOKUP("[S05_ImprovementReportArt69]["&amp;ROW(B1166)-ROW($B$1143)&amp;"][Annex1Activity]",Submission!$O:$O,Submission!$H:$N,""))</f>
        <v/>
      </c>
      <c r="E1166" s="364"/>
      <c r="F1166" s="258" t="str">
        <f>_xlfn.CONCAT(_xlfn.XLOOKUP("[S05_ImprovementReportArt69]["&amp;ROW(B1166)-ROW($B$1143)&amp;"][ImprovementReportType]",Submission!$O:$O,Submission!$H:$N,""))</f>
        <v/>
      </c>
      <c r="G1166" s="259"/>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74" t="str">
        <f>_xlfn.CONCAT(_xlfn.XLOOKUP("[S05_ImprovementReportArt69]["&amp;ROW(B1167)-ROW($B$1143)&amp;"][Annex1Activity]",Submission!$O:$O,Submission!$H:$N,""))</f>
        <v/>
      </c>
      <c r="E1167" s="364"/>
      <c r="F1167" s="258" t="str">
        <f>_xlfn.CONCAT(_xlfn.XLOOKUP("[S05_ImprovementReportArt69]["&amp;ROW(B1167)-ROW($B$1143)&amp;"][ImprovementReportType]",Submission!$O:$O,Submission!$H:$N,""))</f>
        <v/>
      </c>
      <c r="G1167" s="259"/>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74" t="str">
        <f>_xlfn.CONCAT(_xlfn.XLOOKUP("[S05_ImprovementReportArt69]["&amp;ROW(B1168)-ROW($B$1143)&amp;"][Annex1Activity]",Submission!$O:$O,Submission!$H:$N,""))</f>
        <v/>
      </c>
      <c r="E1168" s="364"/>
      <c r="F1168" s="258" t="str">
        <f>_xlfn.CONCAT(_xlfn.XLOOKUP("[S05_ImprovementReportArt69]["&amp;ROW(B1168)-ROW($B$1143)&amp;"][ImprovementReportType]",Submission!$O:$O,Submission!$H:$N,""))</f>
        <v/>
      </c>
      <c r="G1168" s="259"/>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74" t="str">
        <f>_xlfn.CONCAT(_xlfn.XLOOKUP("[S05_ImprovementReportArt69]["&amp;ROW(B1169)-ROW($B$1143)&amp;"][Annex1Activity]",Submission!$O:$O,Submission!$H:$N,""))</f>
        <v/>
      </c>
      <c r="E1169" s="364"/>
      <c r="F1169" s="258" t="str">
        <f>_xlfn.CONCAT(_xlfn.XLOOKUP("[S05_ImprovementReportArt69]["&amp;ROW(B1169)-ROW($B$1143)&amp;"][ImprovementReportType]",Submission!$O:$O,Submission!$H:$N,""))</f>
        <v/>
      </c>
      <c r="G1169" s="259"/>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74" t="str">
        <f>_xlfn.CONCAT(_xlfn.XLOOKUP("[S05_ImprovementReportArt69]["&amp;ROW(B1170)-ROW($B$1143)&amp;"][Annex1Activity]",Submission!$O:$O,Submission!$H:$N,""))</f>
        <v/>
      </c>
      <c r="E1170" s="364"/>
      <c r="F1170" s="258" t="str">
        <f>_xlfn.CONCAT(_xlfn.XLOOKUP("[S05_ImprovementReportArt69]["&amp;ROW(B1170)-ROW($B$1143)&amp;"][ImprovementReportType]",Submission!$O:$O,Submission!$H:$N,""))</f>
        <v/>
      </c>
      <c r="G1170" s="259"/>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74" t="str">
        <f>_xlfn.CONCAT(_xlfn.XLOOKUP("[S05_ImprovementReportArt69]["&amp;ROW(B1171)-ROW($B$1143)&amp;"][Annex1Activity]",Submission!$O:$O,Submission!$H:$N,""))</f>
        <v/>
      </c>
      <c r="E1171" s="364"/>
      <c r="F1171" s="258" t="str">
        <f>_xlfn.CONCAT(_xlfn.XLOOKUP("[S05_ImprovementReportArt69]["&amp;ROW(B1171)-ROW($B$1143)&amp;"][ImprovementReportType]",Submission!$O:$O,Submission!$H:$N,""))</f>
        <v/>
      </c>
      <c r="G1171" s="259"/>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74" t="str">
        <f>_xlfn.CONCAT(_xlfn.XLOOKUP("[S05_ImprovementReportArt69]["&amp;ROW(B1172)-ROW($B$1143)&amp;"][Annex1Activity]",Submission!$O:$O,Submission!$H:$N,""))</f>
        <v/>
      </c>
      <c r="E1172" s="364"/>
      <c r="F1172" s="258" t="str">
        <f>_xlfn.CONCAT(_xlfn.XLOOKUP("[S05_ImprovementReportArt69]["&amp;ROW(B1172)-ROW($B$1143)&amp;"][ImprovementReportType]",Submission!$O:$O,Submission!$H:$N,""))</f>
        <v/>
      </c>
      <c r="G1172" s="259"/>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74" t="str">
        <f>_xlfn.CONCAT(_xlfn.XLOOKUP("[S05_ImprovementReportArt69]["&amp;ROW(B1173)-ROW($B$1143)&amp;"][Annex1Activity]",Submission!$O:$O,Submission!$H:$N,""))</f>
        <v/>
      </c>
      <c r="E1173" s="364"/>
      <c r="F1173" s="258" t="str">
        <f>_xlfn.CONCAT(_xlfn.XLOOKUP("[S05_ImprovementReportArt69]["&amp;ROW(B1173)-ROW($B$1143)&amp;"][ImprovementReportType]",Submission!$O:$O,Submission!$H:$N,""))</f>
        <v/>
      </c>
      <c r="G1173" s="259"/>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74" t="str">
        <f>_xlfn.CONCAT(_xlfn.XLOOKUP("[S05_ImprovementReportArt69]["&amp;ROW(B1174)-ROW($B$1143)&amp;"][Annex1Activity]",Submission!$O:$O,Submission!$H:$N,""))</f>
        <v/>
      </c>
      <c r="E1174" s="364"/>
      <c r="F1174" s="258" t="str">
        <f>_xlfn.CONCAT(_xlfn.XLOOKUP("[S05_ImprovementReportArt69]["&amp;ROW(B1174)-ROW($B$1143)&amp;"][ImprovementReportType]",Submission!$O:$O,Submission!$H:$N,""))</f>
        <v/>
      </c>
      <c r="G1174" s="259"/>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74" t="str">
        <f>_xlfn.CONCAT(_xlfn.XLOOKUP("[S05_ImprovementReportArt69]["&amp;ROW(B1175)-ROW($B$1143)&amp;"][Annex1Activity]",Submission!$O:$O,Submission!$H:$N,""))</f>
        <v/>
      </c>
      <c r="E1175" s="364"/>
      <c r="F1175" s="258" t="str">
        <f>_xlfn.CONCAT(_xlfn.XLOOKUP("[S05_ImprovementReportArt69]["&amp;ROW(B1175)-ROW($B$1143)&amp;"][ImprovementReportType]",Submission!$O:$O,Submission!$H:$N,""))</f>
        <v/>
      </c>
      <c r="G1175" s="259"/>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74" t="str">
        <f>_xlfn.CONCAT(_xlfn.XLOOKUP("[S05_ImprovementReportArt69]["&amp;ROW(B1176)-ROW($B$1143)&amp;"][Annex1Activity]",Submission!$O:$O,Submission!$H:$N,""))</f>
        <v/>
      </c>
      <c r="E1176" s="364"/>
      <c r="F1176" s="258" t="str">
        <f>_xlfn.CONCAT(_xlfn.XLOOKUP("[S05_ImprovementReportArt69]["&amp;ROW(B1176)-ROW($B$1143)&amp;"][ImprovementReportType]",Submission!$O:$O,Submission!$H:$N,""))</f>
        <v/>
      </c>
      <c r="G1176" s="259"/>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74" t="str">
        <f>_xlfn.CONCAT(_xlfn.XLOOKUP("[S05_ImprovementReportArt69]["&amp;ROW(B1177)-ROW($B$1143)&amp;"][Annex1Activity]",Submission!$O:$O,Submission!$H:$N,""))</f>
        <v/>
      </c>
      <c r="E1177" s="364"/>
      <c r="F1177" s="258" t="str">
        <f>_xlfn.CONCAT(_xlfn.XLOOKUP("[S05_ImprovementReportArt69]["&amp;ROW(B1177)-ROW($B$1143)&amp;"][ImprovementReportType]",Submission!$O:$O,Submission!$H:$N,""))</f>
        <v/>
      </c>
      <c r="G1177" s="259"/>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74" t="str">
        <f>_xlfn.CONCAT(_xlfn.XLOOKUP("[S05_ImprovementReportArt69]["&amp;ROW(B1178)-ROW($B$1143)&amp;"][Annex1Activity]",Submission!$O:$O,Submission!$H:$N,""))</f>
        <v/>
      </c>
      <c r="E1178" s="364"/>
      <c r="F1178" s="258" t="str">
        <f>_xlfn.CONCAT(_xlfn.XLOOKUP("[S05_ImprovementReportArt69]["&amp;ROW(B1178)-ROW($B$1143)&amp;"][ImprovementReportType]",Submission!$O:$O,Submission!$H:$N,""))</f>
        <v/>
      </c>
      <c r="G1178" s="259"/>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74" t="str">
        <f>_xlfn.CONCAT(_xlfn.XLOOKUP("[S05_ImprovementReportArt69]["&amp;ROW(B1179)-ROW($B$1143)&amp;"][Annex1Activity]",Submission!$O:$O,Submission!$H:$N,""))</f>
        <v/>
      </c>
      <c r="E1179" s="364"/>
      <c r="F1179" s="258" t="str">
        <f>_xlfn.CONCAT(_xlfn.XLOOKUP("[S05_ImprovementReportArt69]["&amp;ROW(B1179)-ROW($B$1143)&amp;"][ImprovementReportType]",Submission!$O:$O,Submission!$H:$N,""))</f>
        <v/>
      </c>
      <c r="G1179" s="259"/>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74" t="str">
        <f>_xlfn.CONCAT(_xlfn.XLOOKUP("[S05_ImprovementReportArt69]["&amp;ROW(B1180)-ROW($B$1143)&amp;"][Annex1Activity]",Submission!$O:$O,Submission!$H:$N,""))</f>
        <v/>
      </c>
      <c r="E1180" s="364"/>
      <c r="F1180" s="258" t="str">
        <f>_xlfn.CONCAT(_xlfn.XLOOKUP("[S05_ImprovementReportArt69]["&amp;ROW(B1180)-ROW($B$1143)&amp;"][ImprovementReportType]",Submission!$O:$O,Submission!$H:$N,""))</f>
        <v/>
      </c>
      <c r="G1180" s="259"/>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74" t="str">
        <f>_xlfn.CONCAT(_xlfn.XLOOKUP("[S05_ImprovementReportArt69]["&amp;ROW(B1181)-ROW($B$1143)&amp;"][Annex1Activity]",Submission!$O:$O,Submission!$H:$N,""))</f>
        <v/>
      </c>
      <c r="E1181" s="364"/>
      <c r="F1181" s="258" t="str">
        <f>_xlfn.CONCAT(_xlfn.XLOOKUP("[S05_ImprovementReportArt69]["&amp;ROW(B1181)-ROW($B$1143)&amp;"][ImprovementReportType]",Submission!$O:$O,Submission!$H:$N,""))</f>
        <v/>
      </c>
      <c r="G1181" s="259"/>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74" t="str">
        <f>_xlfn.CONCAT(_xlfn.XLOOKUP("[S05_ImprovementReportArt69]["&amp;ROW(B1182)-ROW($B$1143)&amp;"][Annex1Activity]",Submission!$O:$O,Submission!$H:$N,""))</f>
        <v/>
      </c>
      <c r="E1182" s="364"/>
      <c r="F1182" s="258" t="str">
        <f>_xlfn.CONCAT(_xlfn.XLOOKUP("[S05_ImprovementReportArt69]["&amp;ROW(B1182)-ROW($B$1143)&amp;"][ImprovementReportType]",Submission!$O:$O,Submission!$H:$N,""))</f>
        <v/>
      </c>
      <c r="G1182" s="259"/>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74" t="str">
        <f>_xlfn.CONCAT(_xlfn.XLOOKUP("[S05_ImprovementReportArt69]["&amp;ROW(B1183)-ROW($B$1143)&amp;"][Annex1Activity]",Submission!$O:$O,Submission!$H:$N,""))</f>
        <v/>
      </c>
      <c r="E1183" s="364"/>
      <c r="F1183" s="258" t="str">
        <f>_xlfn.CONCAT(_xlfn.XLOOKUP("[S05_ImprovementReportArt69]["&amp;ROW(B1183)-ROW($B$1143)&amp;"][ImprovementReportType]",Submission!$O:$O,Submission!$H:$N,""))</f>
        <v/>
      </c>
      <c r="G1183" s="259"/>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74" t="str">
        <f>_xlfn.CONCAT(_xlfn.XLOOKUP("[S05_ImprovementReportArt69]["&amp;ROW(B1184)-ROW($B$1143)&amp;"][Annex1Activity]",Submission!$O:$O,Submission!$H:$N,""))</f>
        <v/>
      </c>
      <c r="E1184" s="364"/>
      <c r="F1184" s="258" t="str">
        <f>_xlfn.CONCAT(_xlfn.XLOOKUP("[S05_ImprovementReportArt69]["&amp;ROW(B1184)-ROW($B$1143)&amp;"][ImprovementReportType]",Submission!$O:$O,Submission!$H:$N,""))</f>
        <v/>
      </c>
      <c r="G1184" s="259"/>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74" t="str">
        <f>_xlfn.CONCAT(_xlfn.XLOOKUP("[S05_ImprovementReportArt69]["&amp;ROW(B1185)-ROW($B$1143)&amp;"][Annex1Activity]",Submission!$O:$O,Submission!$H:$N,""))</f>
        <v/>
      </c>
      <c r="E1185" s="364"/>
      <c r="F1185" s="258" t="str">
        <f>_xlfn.CONCAT(_xlfn.XLOOKUP("[S05_ImprovementReportArt69]["&amp;ROW(B1185)-ROW($B$1143)&amp;"][ImprovementReportType]",Submission!$O:$O,Submission!$H:$N,""))</f>
        <v/>
      </c>
      <c r="G1185" s="259"/>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74" t="str">
        <f>_xlfn.CONCAT(_xlfn.XLOOKUP("[S05_ImprovementReportArt69]["&amp;ROW(B1186)-ROW($B$1143)&amp;"][Annex1Activity]",Submission!$O:$O,Submission!$H:$N,""))</f>
        <v/>
      </c>
      <c r="E1186" s="364"/>
      <c r="F1186" s="258" t="str">
        <f>_xlfn.CONCAT(_xlfn.XLOOKUP("[S05_ImprovementReportArt69]["&amp;ROW(B1186)-ROW($B$1143)&amp;"][ImprovementReportType]",Submission!$O:$O,Submission!$H:$N,""))</f>
        <v/>
      </c>
      <c r="G1186" s="259"/>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74" t="str">
        <f>_xlfn.CONCAT(_xlfn.XLOOKUP("[S05_ImprovementReportArt69]["&amp;ROW(B1187)-ROW($B$1143)&amp;"][Annex1Activity]",Submission!$O:$O,Submission!$H:$N,""))</f>
        <v/>
      </c>
      <c r="E1187" s="364"/>
      <c r="F1187" s="258" t="str">
        <f>_xlfn.CONCAT(_xlfn.XLOOKUP("[S05_ImprovementReportArt69]["&amp;ROW(B1187)-ROW($B$1143)&amp;"][ImprovementReportType]",Submission!$O:$O,Submission!$H:$N,""))</f>
        <v/>
      </c>
      <c r="G1187" s="259"/>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74" t="str">
        <f>_xlfn.CONCAT(_xlfn.XLOOKUP("[S05_ImprovementReportArt69]["&amp;ROW(B1188)-ROW($B$1143)&amp;"][Annex1Activity]",Submission!$O:$O,Submission!$H:$N,""))</f>
        <v/>
      </c>
      <c r="E1188" s="364"/>
      <c r="F1188" s="258" t="str">
        <f>_xlfn.CONCAT(_xlfn.XLOOKUP("[S05_ImprovementReportArt69]["&amp;ROW(B1188)-ROW($B$1143)&amp;"][ImprovementReportType]",Submission!$O:$O,Submission!$H:$N,""))</f>
        <v/>
      </c>
      <c r="G1188" s="259"/>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74" t="str">
        <f>_xlfn.CONCAT(_xlfn.XLOOKUP("[S05_ImprovementReportArt69]["&amp;ROW(B1189)-ROW($B$1143)&amp;"][Annex1Activity]",Submission!$O:$O,Submission!$H:$N,""))</f>
        <v/>
      </c>
      <c r="E1189" s="364"/>
      <c r="F1189" s="258" t="str">
        <f>_xlfn.CONCAT(_xlfn.XLOOKUP("[S05_ImprovementReportArt69]["&amp;ROW(B1189)-ROW($B$1143)&amp;"][ImprovementReportType]",Submission!$O:$O,Submission!$H:$N,""))</f>
        <v/>
      </c>
      <c r="G1189" s="259"/>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74" t="str">
        <f>_xlfn.CONCAT(_xlfn.XLOOKUP("[S05_ImprovementReportArt69]["&amp;ROW(B1190)-ROW($B$1143)&amp;"][Annex1Activity]",Submission!$O:$O,Submission!$H:$N,""))</f>
        <v/>
      </c>
      <c r="E1190" s="364"/>
      <c r="F1190" s="258" t="str">
        <f>_xlfn.CONCAT(_xlfn.XLOOKUP("[S05_ImprovementReportArt69]["&amp;ROW(B1190)-ROW($B$1143)&amp;"][ImprovementReportType]",Submission!$O:$O,Submission!$H:$N,""))</f>
        <v/>
      </c>
      <c r="G1190" s="259"/>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74" t="str">
        <f>_xlfn.CONCAT(_xlfn.XLOOKUP("[S05_ImprovementReportArt69]["&amp;ROW(B1191)-ROW($B$1143)&amp;"][Annex1Activity]",Submission!$O:$O,Submission!$H:$N,""))</f>
        <v/>
      </c>
      <c r="E1191" s="364"/>
      <c r="F1191" s="258" t="str">
        <f>_xlfn.CONCAT(_xlfn.XLOOKUP("[S05_ImprovementReportArt69]["&amp;ROW(B1191)-ROW($B$1143)&amp;"][ImprovementReportType]",Submission!$O:$O,Submission!$H:$N,""))</f>
        <v/>
      </c>
      <c r="G1191" s="259"/>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74" t="str">
        <f>_xlfn.CONCAT(_xlfn.XLOOKUP("[S05_ImprovementReportArt69]["&amp;ROW(B1192)-ROW($B$1143)&amp;"][Annex1Activity]",Submission!$O:$O,Submission!$H:$N,""))</f>
        <v/>
      </c>
      <c r="E1192" s="364"/>
      <c r="F1192" s="258" t="str">
        <f>_xlfn.CONCAT(_xlfn.XLOOKUP("[S05_ImprovementReportArt69]["&amp;ROW(B1192)-ROW($B$1143)&amp;"][ImprovementReportType]",Submission!$O:$O,Submission!$H:$N,""))</f>
        <v/>
      </c>
      <c r="G1192" s="259"/>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74" t="str">
        <f>_xlfn.CONCAT(_xlfn.XLOOKUP("[S05_ImprovementReportArt69]["&amp;ROW(B1193)-ROW($B$1143)&amp;"][Annex1Activity]",Submission!$O:$O,Submission!$H:$N,""))</f>
        <v/>
      </c>
      <c r="E1193" s="364"/>
      <c r="F1193" s="258" t="str">
        <f>_xlfn.CONCAT(_xlfn.XLOOKUP("[S05_ImprovementReportArt69]["&amp;ROW(B1193)-ROW($B$1143)&amp;"][ImprovementReportType]",Submission!$O:$O,Submission!$H:$N,""))</f>
        <v/>
      </c>
      <c r="G1193" s="259"/>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74" t="str">
        <f>_xlfn.CONCAT(_xlfn.XLOOKUP("[S05_ImprovementReportArt69]["&amp;ROW(B1194)-ROW($B$1143)&amp;"][Annex1Activity]",Submission!$O:$O,Submission!$H:$N,""))</f>
        <v/>
      </c>
      <c r="E1194" s="364"/>
      <c r="F1194" s="258" t="str">
        <f>_xlfn.CONCAT(_xlfn.XLOOKUP("[S05_ImprovementReportArt69]["&amp;ROW(B1194)-ROW($B$1143)&amp;"][ImprovementReportType]",Submission!$O:$O,Submission!$H:$N,""))</f>
        <v/>
      </c>
      <c r="G1194" s="259"/>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74" t="str">
        <f>_xlfn.CONCAT(_xlfn.XLOOKUP("[S05_ImprovementReportArt69]["&amp;ROW(B1195)-ROW($B$1143)&amp;"][Annex1Activity]",Submission!$O:$O,Submission!$H:$N,""))</f>
        <v/>
      </c>
      <c r="E1195" s="364"/>
      <c r="F1195" s="258" t="str">
        <f>_xlfn.CONCAT(_xlfn.XLOOKUP("[S05_ImprovementReportArt69]["&amp;ROW(B1195)-ROW($B$1143)&amp;"][ImprovementReportType]",Submission!$O:$O,Submission!$H:$N,""))</f>
        <v/>
      </c>
      <c r="G1195" s="259"/>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74" t="str">
        <f>_xlfn.CONCAT(_xlfn.XLOOKUP("[S05_ImprovementReportArt69]["&amp;ROW(B1196)-ROW($B$1143)&amp;"][Annex1Activity]",Submission!$O:$O,Submission!$H:$N,""))</f>
        <v/>
      </c>
      <c r="E1196" s="364"/>
      <c r="F1196" s="258" t="str">
        <f>_xlfn.CONCAT(_xlfn.XLOOKUP("[S05_ImprovementReportArt69]["&amp;ROW(B1196)-ROW($B$1143)&amp;"][ImprovementReportType]",Submission!$O:$O,Submission!$H:$N,""))</f>
        <v/>
      </c>
      <c r="G1196" s="259"/>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74" t="str">
        <f>_xlfn.CONCAT(_xlfn.XLOOKUP("[S05_ImprovementReportArt69]["&amp;ROW(B1197)-ROW($B$1143)&amp;"][Annex1Activity]",Submission!$O:$O,Submission!$H:$N,""))</f>
        <v/>
      </c>
      <c r="E1197" s="364"/>
      <c r="F1197" s="258" t="str">
        <f>_xlfn.CONCAT(_xlfn.XLOOKUP("[S05_ImprovementReportArt69]["&amp;ROW(B1197)-ROW($B$1143)&amp;"][ImprovementReportType]",Submission!$O:$O,Submission!$H:$N,""))</f>
        <v/>
      </c>
      <c r="G1197" s="259"/>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74" t="str">
        <f>_xlfn.CONCAT(_xlfn.XLOOKUP("[S05_ImprovementReportArt69]["&amp;ROW(B1198)-ROW($B$1143)&amp;"][Annex1Activity]",Submission!$O:$O,Submission!$H:$N,""))</f>
        <v/>
      </c>
      <c r="E1198" s="364"/>
      <c r="F1198" s="258" t="str">
        <f>_xlfn.CONCAT(_xlfn.XLOOKUP("[S05_ImprovementReportArt69]["&amp;ROW(B1198)-ROW($B$1143)&amp;"][ImprovementReportType]",Submission!$O:$O,Submission!$H:$N,""))</f>
        <v/>
      </c>
      <c r="G1198" s="259"/>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74" t="str">
        <f>_xlfn.CONCAT(_xlfn.XLOOKUP("[S05_ImprovementReportArt69]["&amp;ROW(B1199)-ROW($B$1143)&amp;"][Annex1Activity]",Submission!$O:$O,Submission!$H:$N,""))</f>
        <v/>
      </c>
      <c r="E1199" s="364"/>
      <c r="F1199" s="258" t="str">
        <f>_xlfn.CONCAT(_xlfn.XLOOKUP("[S05_ImprovementReportArt69]["&amp;ROW(B1199)-ROW($B$1143)&amp;"][ImprovementReportType]",Submission!$O:$O,Submission!$H:$N,""))</f>
        <v/>
      </c>
      <c r="G1199" s="259"/>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74" t="str">
        <f>_xlfn.CONCAT(_xlfn.XLOOKUP("[S05_ImprovementReportArt69]["&amp;ROW(B1200)-ROW($B$1143)&amp;"][Annex1Activity]",Submission!$O:$O,Submission!$H:$N,""))</f>
        <v/>
      </c>
      <c r="E1200" s="364"/>
      <c r="F1200" s="258" t="str">
        <f>_xlfn.CONCAT(_xlfn.XLOOKUP("[S05_ImprovementReportArt69]["&amp;ROW(B1200)-ROW($B$1143)&amp;"][ImprovementReportType]",Submission!$O:$O,Submission!$H:$N,""))</f>
        <v/>
      </c>
      <c r="G1200" s="259"/>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74" t="str">
        <f>_xlfn.CONCAT(_xlfn.XLOOKUP("[S05_ImprovementReportArt69]["&amp;ROW(B1201)-ROW($B$1143)&amp;"][Annex1Activity]",Submission!$O:$O,Submission!$H:$N,""))</f>
        <v/>
      </c>
      <c r="E1201" s="364"/>
      <c r="F1201" s="258" t="str">
        <f>_xlfn.CONCAT(_xlfn.XLOOKUP("[S05_ImprovementReportArt69]["&amp;ROW(B1201)-ROW($B$1143)&amp;"][ImprovementReportType]",Submission!$O:$O,Submission!$H:$N,""))</f>
        <v/>
      </c>
      <c r="G1201" s="259"/>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74" t="str">
        <f>_xlfn.CONCAT(_xlfn.XLOOKUP("[S05_ImprovementReportArt69]["&amp;ROW(B1202)-ROW($B$1143)&amp;"][Annex1Activity]",Submission!$O:$O,Submission!$H:$N,""))</f>
        <v/>
      </c>
      <c r="E1202" s="364"/>
      <c r="F1202" s="258" t="str">
        <f>_xlfn.CONCAT(_xlfn.XLOOKUP("[S05_ImprovementReportArt69]["&amp;ROW(B1202)-ROW($B$1143)&amp;"][ImprovementReportType]",Submission!$O:$O,Submission!$H:$N,""))</f>
        <v/>
      </c>
      <c r="G1202" s="259"/>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74" t="str">
        <f>_xlfn.CONCAT(_xlfn.XLOOKUP("[S05_ImprovementReportArt69]["&amp;ROW(B1203)-ROW($B$1143)&amp;"][Annex1Activity]",Submission!$O:$O,Submission!$H:$N,""))</f>
        <v/>
      </c>
      <c r="E1203" s="364"/>
      <c r="F1203" s="258" t="str">
        <f>_xlfn.CONCAT(_xlfn.XLOOKUP("[S05_ImprovementReportArt69]["&amp;ROW(B1203)-ROW($B$1143)&amp;"][ImprovementReportType]",Submission!$O:$O,Submission!$H:$N,""))</f>
        <v/>
      </c>
      <c r="G1203" s="259"/>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74" t="str">
        <f>_xlfn.CONCAT(_xlfn.XLOOKUP("[S05_ImprovementReportArt69]["&amp;ROW(B1204)-ROW($B$1143)&amp;"][Annex1Activity]",Submission!$O:$O,Submission!$H:$N,""))</f>
        <v/>
      </c>
      <c r="E1204" s="364"/>
      <c r="F1204" s="258" t="str">
        <f>_xlfn.CONCAT(_xlfn.XLOOKUP("[S05_ImprovementReportArt69]["&amp;ROW(B1204)-ROW($B$1143)&amp;"][ImprovementReportType]",Submission!$O:$O,Submission!$H:$N,""))</f>
        <v/>
      </c>
      <c r="G1204" s="259"/>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74" t="str">
        <f>_xlfn.CONCAT(_xlfn.XLOOKUP("[S05_ImprovementReportArt69]["&amp;ROW(B1205)-ROW($B$1143)&amp;"][Annex1Activity]",Submission!$O:$O,Submission!$H:$N,""))</f>
        <v/>
      </c>
      <c r="E1205" s="364"/>
      <c r="F1205" s="258" t="str">
        <f>_xlfn.CONCAT(_xlfn.XLOOKUP("[S05_ImprovementReportArt69]["&amp;ROW(B1205)-ROW($B$1143)&amp;"][ImprovementReportType]",Submission!$O:$O,Submission!$H:$N,""))</f>
        <v/>
      </c>
      <c r="G1205" s="259"/>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74" t="str">
        <f>_xlfn.CONCAT(_xlfn.XLOOKUP("[S05_ImprovementReportArt69]["&amp;ROW(B1206)-ROW($B$1143)&amp;"][Annex1Activity]",Submission!$O:$O,Submission!$H:$N,""))</f>
        <v/>
      </c>
      <c r="E1206" s="364"/>
      <c r="F1206" s="258" t="str">
        <f>_xlfn.CONCAT(_xlfn.XLOOKUP("[S05_ImprovementReportArt69]["&amp;ROW(B1206)-ROW($B$1143)&amp;"][ImprovementReportType]",Submission!$O:$O,Submission!$H:$N,""))</f>
        <v/>
      </c>
      <c r="G1206" s="259"/>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74" t="str">
        <f>_xlfn.CONCAT(_xlfn.XLOOKUP("[S05_ImprovementReportArt69]["&amp;ROW(B1207)-ROW($B$1143)&amp;"][Annex1Activity]",Submission!$O:$O,Submission!$H:$N,""))</f>
        <v/>
      </c>
      <c r="E1207" s="364"/>
      <c r="F1207" s="258" t="str">
        <f>_xlfn.CONCAT(_xlfn.XLOOKUP("[S05_ImprovementReportArt69]["&amp;ROW(B1207)-ROW($B$1143)&amp;"][ImprovementReportType]",Submission!$O:$O,Submission!$H:$N,""))</f>
        <v/>
      </c>
      <c r="G1207" s="259"/>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74" t="str">
        <f>_xlfn.CONCAT(_xlfn.XLOOKUP("[S05_ImprovementReportArt69]["&amp;ROW(B1208)-ROW($B$1143)&amp;"][Annex1Activity]",Submission!$O:$O,Submission!$H:$N,""))</f>
        <v/>
      </c>
      <c r="E1208" s="364"/>
      <c r="F1208" s="258" t="str">
        <f>_xlfn.CONCAT(_xlfn.XLOOKUP("[S05_ImprovementReportArt69]["&amp;ROW(B1208)-ROW($B$1143)&amp;"][ImprovementReportType]",Submission!$O:$O,Submission!$H:$N,""))</f>
        <v/>
      </c>
      <c r="G1208" s="259"/>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74" t="str">
        <f>_xlfn.CONCAT(_xlfn.XLOOKUP("[S05_ImprovementReportArt69]["&amp;ROW(B1209)-ROW($B$1143)&amp;"][Annex1Activity]",Submission!$O:$O,Submission!$H:$N,""))</f>
        <v/>
      </c>
      <c r="E1209" s="364"/>
      <c r="F1209" s="258" t="str">
        <f>_xlfn.CONCAT(_xlfn.XLOOKUP("[S05_ImprovementReportArt69]["&amp;ROW(B1209)-ROW($B$1143)&amp;"][ImprovementReportType]",Submission!$O:$O,Submission!$H:$N,""))</f>
        <v/>
      </c>
      <c r="G1209" s="259"/>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74" t="str">
        <f>_xlfn.CONCAT(_xlfn.XLOOKUP("[S05_ImprovementReportArt69]["&amp;ROW(B1210)-ROW($B$1143)&amp;"][Annex1Activity]",Submission!$O:$O,Submission!$H:$N,""))</f>
        <v/>
      </c>
      <c r="E1210" s="364"/>
      <c r="F1210" s="258" t="str">
        <f>_xlfn.CONCAT(_xlfn.XLOOKUP("[S05_ImprovementReportArt69]["&amp;ROW(B1210)-ROW($B$1143)&amp;"][ImprovementReportType]",Submission!$O:$O,Submission!$H:$N,""))</f>
        <v/>
      </c>
      <c r="G1210" s="259"/>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74" t="str">
        <f>_xlfn.CONCAT(_xlfn.XLOOKUP("[S05_ImprovementReportArt69]["&amp;ROW(B1211)-ROW($B$1143)&amp;"][Annex1Activity]",Submission!$O:$O,Submission!$H:$N,""))</f>
        <v/>
      </c>
      <c r="E1211" s="364"/>
      <c r="F1211" s="258" t="str">
        <f>_xlfn.CONCAT(_xlfn.XLOOKUP("[S05_ImprovementReportArt69]["&amp;ROW(B1211)-ROW($B$1143)&amp;"][ImprovementReportType]",Submission!$O:$O,Submission!$H:$N,""))</f>
        <v/>
      </c>
      <c r="G1211" s="259"/>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74" t="str">
        <f>_xlfn.CONCAT(_xlfn.XLOOKUP("[S05_ImprovementReportArt69]["&amp;ROW(B1212)-ROW($B$1143)&amp;"][Annex1Activity]",Submission!$O:$O,Submission!$H:$N,""))</f>
        <v/>
      </c>
      <c r="E1212" s="364"/>
      <c r="F1212" s="258" t="str">
        <f>_xlfn.CONCAT(_xlfn.XLOOKUP("[S05_ImprovementReportArt69]["&amp;ROW(B1212)-ROW($B$1143)&amp;"][ImprovementReportType]",Submission!$O:$O,Submission!$H:$N,""))</f>
        <v/>
      </c>
      <c r="G1212" s="259"/>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74" t="str">
        <f>_xlfn.CONCAT(_xlfn.XLOOKUP("[S05_ImprovementReportArt69]["&amp;ROW(B1213)-ROW($B$1143)&amp;"][Annex1Activity]",Submission!$O:$O,Submission!$H:$N,""))</f>
        <v/>
      </c>
      <c r="E1213" s="364"/>
      <c r="F1213" s="258" t="str">
        <f>_xlfn.CONCAT(_xlfn.XLOOKUP("[S05_ImprovementReportArt69]["&amp;ROW(B1213)-ROW($B$1143)&amp;"][ImprovementReportType]",Submission!$O:$O,Submission!$H:$N,""))</f>
        <v/>
      </c>
      <c r="G1213" s="259"/>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58" t="s">
        <v>895</v>
      </c>
      <c r="D1215" s="358"/>
      <c r="E1215" s="358"/>
      <c r="F1215" s="358"/>
      <c r="G1215" s="358"/>
      <c r="H1215" s="358"/>
      <c r="I1215" s="358"/>
    </row>
    <row r="1216" spans="1:9" ht="15.9" customHeight="1" x14ac:dyDescent="0.3"/>
    <row r="1217" spans="1:12" ht="33" customHeight="1" x14ac:dyDescent="0.3">
      <c r="A1217" s="12" t="s">
        <v>273</v>
      </c>
      <c r="B1217" s="338" t="s">
        <v>896</v>
      </c>
      <c r="C1217" s="308"/>
      <c r="D1217" s="308"/>
      <c r="E1217" s="308"/>
      <c r="F1217" s="308"/>
      <c r="G1217" s="308"/>
      <c r="H1217" s="345"/>
      <c r="I1217" s="41" t="str">
        <f>_xlfn.CONCAT(_xlfn.XLOOKUP("[InherentCarbonTransferred][0][InherentCarbonTransferred]",Submission!$O:$O,Submission!$H:$N,""))</f>
        <v>No</v>
      </c>
    </row>
    <row r="1218" spans="1:12" ht="15.9" customHeight="1" x14ac:dyDescent="0.3">
      <c r="A1218" s="12"/>
      <c r="B1218" s="338" t="s">
        <v>884</v>
      </c>
      <c r="C1218" s="308"/>
      <c r="D1218" s="308"/>
      <c r="E1218" s="308"/>
      <c r="F1218" s="308"/>
      <c r="G1218" s="308"/>
      <c r="H1218" s="308"/>
      <c r="I1218" s="308"/>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
      </c>
      <c r="D1220" s="72" t="str">
        <f>_xlfn.CONCAT(_xlfn.XLOOKUP("[S05_InherentCarbonTransferredDetail]["&amp;ROW(B1220)-ROW($B$1219)&amp;"][InstallationIdTransferring]",Submission!$O:$O,Submission!$H:$N,""))</f>
        <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58" t="s">
        <v>904</v>
      </c>
      <c r="D1318" s="359"/>
      <c r="E1318" s="359"/>
      <c r="F1318" s="359"/>
      <c r="G1318" s="359"/>
      <c r="H1318" s="359"/>
      <c r="I1318" s="359"/>
    </row>
    <row r="1319" spans="1:12" ht="15.9" customHeight="1" x14ac:dyDescent="0.3">
      <c r="B1319" s="16"/>
      <c r="C1319" s="279" t="s">
        <v>905</v>
      </c>
      <c r="D1319" s="280"/>
      <c r="E1319" s="280"/>
      <c r="F1319" s="280"/>
      <c r="G1319" s="280"/>
      <c r="H1319" s="280"/>
      <c r="I1319" s="280"/>
    </row>
    <row r="1320" spans="1:12" ht="28.2" customHeight="1" x14ac:dyDescent="0.3">
      <c r="B1320" s="16"/>
      <c r="C1320" s="279" t="s">
        <v>906</v>
      </c>
      <c r="D1320" s="384"/>
      <c r="E1320" s="384"/>
      <c r="F1320" s="384"/>
      <c r="G1320" s="384"/>
      <c r="H1320" s="384"/>
      <c r="I1320" s="384"/>
    </row>
    <row r="1321" spans="1:12" ht="29.4" customHeight="1" x14ac:dyDescent="0.3">
      <c r="B1321" s="16"/>
      <c r="C1321" s="279" t="s">
        <v>907</v>
      </c>
      <c r="D1321" s="384"/>
      <c r="E1321" s="384"/>
      <c r="F1321" s="384"/>
      <c r="G1321" s="384"/>
      <c r="H1321" s="384"/>
      <c r="I1321" s="384"/>
    </row>
    <row r="1322" spans="1:12" ht="28.2" customHeight="1" x14ac:dyDescent="0.3">
      <c r="B1322" s="16"/>
      <c r="C1322" s="279" t="s">
        <v>908</v>
      </c>
      <c r="D1322" s="279"/>
      <c r="E1322" s="279"/>
      <c r="F1322" s="279"/>
      <c r="G1322" s="279"/>
      <c r="H1322" s="279"/>
      <c r="I1322" s="279"/>
    </row>
    <row r="1323" spans="1:12" ht="15.9" customHeight="1" x14ac:dyDescent="0.3"/>
    <row r="1324" spans="1:12" ht="31.95" customHeight="1" x14ac:dyDescent="0.3">
      <c r="A1324" s="12" t="s">
        <v>283</v>
      </c>
      <c r="B1324" s="338" t="s">
        <v>909</v>
      </c>
      <c r="C1324" s="308"/>
      <c r="D1324" s="308"/>
      <c r="E1324" s="308"/>
      <c r="F1324" s="308"/>
      <c r="G1324" s="308"/>
      <c r="H1324" s="345"/>
      <c r="I1324" s="41" t="str">
        <f>_xlfn.CONCAT(_xlfn.XLOOKUP("[ContinuousEmissionsMeasurement][0][ContinuousEmissionsMeasurement]",Submission!$O:$O,Submission!$H:$N,""))</f>
        <v>No</v>
      </c>
    </row>
    <row r="1325" spans="1:12" s="58" customFormat="1" ht="36" customHeight="1" x14ac:dyDescent="0.3">
      <c r="A1325" s="57"/>
      <c r="B1325" s="264" t="s">
        <v>910</v>
      </c>
      <c r="C1325" s="265"/>
      <c r="D1325" s="265"/>
      <c r="E1325" s="265"/>
      <c r="F1325" s="265"/>
      <c r="G1325" s="265"/>
      <c r="H1325" s="265"/>
      <c r="I1325" s="265"/>
    </row>
    <row r="1326" spans="1:12" ht="46.95" customHeight="1" x14ac:dyDescent="0.3">
      <c r="B1326" s="23"/>
      <c r="C1326" s="317" t="s">
        <v>911</v>
      </c>
      <c r="D1326" s="318"/>
      <c r="E1326" s="317" t="s">
        <v>912</v>
      </c>
      <c r="F1326" s="318"/>
      <c r="G1326" s="46" t="s">
        <v>913</v>
      </c>
      <c r="H1326" s="46" t="s">
        <v>914</v>
      </c>
      <c r="I1326" s="46" t="s">
        <v>915</v>
      </c>
    </row>
    <row r="1327" spans="1:12" ht="15.9" customHeight="1" x14ac:dyDescent="0.3">
      <c r="A1327" s="13"/>
      <c r="B1327" s="23"/>
      <c r="C1327" s="258" t="str">
        <f>_xlfn.CONCAT(_xlfn.XLOOKUP("[S05_ContinuousEmissionsMeasurementDetail][1][InstallationIDCO2]",Submission!$O:$O,Submission!$H:$N,""))</f>
        <v/>
      </c>
      <c r="D1327" s="260"/>
      <c r="E1327" s="258" t="str">
        <f>_xlfn.CONCAT(_xlfn.XLOOKUP("[S05_ContinuousEmissionsMeasurementDetail][1][InstallationIDN2O]",Submission!$O:$O,Submission!$H:$N,""))</f>
        <v/>
      </c>
      <c r="F1327" s="260"/>
      <c r="G1327" s="127" t="str">
        <f>_xlfn.CONCAT(_xlfn.XLOOKUP("[S05_ContinuousEmissionsMeasurementDetail][1][TotalEmissionsCO2E]",Submission!$O:$O,Submission!$H:$N,""))</f>
        <v/>
      </c>
      <c r="H1327" s="127" t="str">
        <f>_xlfn.CONCAT(_xlfn.XLOOKUP("[S05_ContinuousEmissionsMeasurementDetail][1][ContinuousMeasurementTotalEmissions]",Submission!$O:$O,Submission!$H:$N,""))</f>
        <v/>
      </c>
      <c r="I1327" s="72" t="str">
        <f>_xlfn.CONCAT(_xlfn.XLOOKUP("[S05_ContinuousEmissionsMeasurementDetail][1][FlueGasContainBiomass]",Submission!$O:$O,Submission!$H:$N,""))</f>
        <v/>
      </c>
    </row>
    <row r="1328" spans="1:12" ht="15.9" customHeight="1" x14ac:dyDescent="0.3">
      <c r="A1328" s="13"/>
      <c r="B1328" s="23"/>
      <c r="C1328" s="258" t="str">
        <f>_xlfn.CONCAT(_xlfn.XLOOKUP("[S05_ContinuousEmissionsMeasurementDetail][2][InstallationIDCO2]",Submission!$O:$O,Submission!$H:$N,""))</f>
        <v/>
      </c>
      <c r="D1328" s="260"/>
      <c r="E1328" s="258" t="str">
        <f>_xlfn.CONCAT(_xlfn.XLOOKUP("[S05_ContinuousEmissionsMeasurementDetail][2][InstallationIDN2O]",Submission!$O:$O,Submission!$H:$N,""))</f>
        <v/>
      </c>
      <c r="F1328" s="260"/>
      <c r="G1328" s="127" t="str">
        <f>_xlfn.CONCAT(_xlfn.XLOOKUP("[S05_ContinuousEmissionsMeasurementDetail][2][TotalEmissionsCO2E]",Submission!$O:$O,Submission!$H:$N,""))</f>
        <v/>
      </c>
      <c r="H1328" s="127" t="str">
        <f>_xlfn.CONCAT(_xlfn.XLOOKUP("[S05_ContinuousEmissionsMeasurementDetail][2][ContinuousMeasurementTotalEmissions]",Submission!$O:$O,Submission!$H:$N,""))</f>
        <v/>
      </c>
      <c r="I1328" s="72" t="str">
        <f>_xlfn.CONCAT(_xlfn.XLOOKUP("[S05_ContinuousEmissionsMeasurementDetail][2][FlueGasContainBiomass]",Submission!$O:$O,Submission!$H:$N,""))</f>
        <v/>
      </c>
    </row>
    <row r="1329" spans="1:9" ht="15.9" customHeight="1" x14ac:dyDescent="0.3">
      <c r="A1329" s="13"/>
      <c r="B1329" s="23"/>
      <c r="C1329" s="258" t="str">
        <f>_xlfn.CONCAT(_xlfn.XLOOKUP("[S05_ContinuousEmissionsMeasurementDetail][3][InstallationIDCO2]",Submission!$O:$O,Submission!$H:$N,""))</f>
        <v/>
      </c>
      <c r="D1329" s="260"/>
      <c r="E1329" s="258" t="str">
        <f>_xlfn.CONCAT(_xlfn.XLOOKUP("[S05_ContinuousEmissionsMeasurementDetail][3][InstallationIDN2O]",Submission!$O:$O,Submission!$H:$N,""))</f>
        <v/>
      </c>
      <c r="F1329" s="260"/>
      <c r="G1329" s="127" t="str">
        <f>_xlfn.CONCAT(_xlfn.XLOOKUP("[S05_ContinuousEmissionsMeasurementDetail][3][TotalEmissionsCO2E]",Submission!$O:$O,Submission!$H:$N,""))</f>
        <v/>
      </c>
      <c r="H1329" s="127" t="str">
        <f>_xlfn.CONCAT(_xlfn.XLOOKUP("[S05_ContinuousEmissionsMeasurementDetail][3][ContinuousMeasurementTotalEmissions]",Submission!$O:$O,Submission!$H:$N,""))</f>
        <v/>
      </c>
      <c r="I1329" s="72" t="str">
        <f>_xlfn.CONCAT(_xlfn.XLOOKUP("[S05_ContinuousEmissionsMeasurementDetail][3][FlueGasContainBiomass]",Submission!$O:$O,Submission!$H:$N,""))</f>
        <v/>
      </c>
    </row>
    <row r="1330" spans="1:9" ht="15.9" customHeight="1" x14ac:dyDescent="0.3">
      <c r="A1330" s="13"/>
      <c r="B1330" s="23"/>
      <c r="C1330" s="258" t="str">
        <f>_xlfn.CONCAT(_xlfn.XLOOKUP("[S05_ContinuousEmissionsMeasurementDetail][4][InstallationIDCO2]",Submission!$O:$O,Submission!$H:$N,""))</f>
        <v/>
      </c>
      <c r="D1330" s="260"/>
      <c r="E1330" s="258" t="str">
        <f>_xlfn.CONCAT(_xlfn.XLOOKUP("[S05_ContinuousEmissionsMeasurementDetail][4][InstallationIDN2O]",Submission!$O:$O,Submission!$H:$N,""))</f>
        <v/>
      </c>
      <c r="F1330" s="260"/>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58" t="str">
        <f>_xlfn.CONCAT(_xlfn.XLOOKUP("[S05_ContinuousEmissionsMeasurementDetail][5][InstallationIDCO2]",Submission!$O:$O,Submission!$H:$N,""))</f>
        <v/>
      </c>
      <c r="D1331" s="260"/>
      <c r="E1331" s="258" t="str">
        <f>_xlfn.CONCAT(_xlfn.XLOOKUP("[S05_ContinuousEmissionsMeasurementDetail][5][InstallationIDN2O]",Submission!$O:$O,Submission!$H:$N,""))</f>
        <v/>
      </c>
      <c r="F1331" s="260"/>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58" t="str">
        <f>_xlfn.CONCAT(_xlfn.XLOOKUP("[S05_ContinuousEmissionsMeasurementDetail][6][InstallationIDCO2]",Submission!$O:$O,Submission!$H:$N,""))</f>
        <v/>
      </c>
      <c r="D1332" s="260"/>
      <c r="E1332" s="258" t="str">
        <f>_xlfn.CONCAT(_xlfn.XLOOKUP("[S05_ContinuousEmissionsMeasurementDetail][6][InstallationIDN2O]",Submission!$O:$O,Submission!$H:$N,""))</f>
        <v/>
      </c>
      <c r="F1332" s="260"/>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58" t="str">
        <f>_xlfn.CONCAT(_xlfn.XLOOKUP("[S05_ContinuousEmissionsMeasurementDetail][7][InstallationIDCO2]",Submission!$O:$O,Submission!$H:$N,""))</f>
        <v/>
      </c>
      <c r="D1333" s="260"/>
      <c r="E1333" s="258" t="str">
        <f>_xlfn.CONCAT(_xlfn.XLOOKUP("[S05_ContinuousEmissionsMeasurementDetail][7][InstallationIDN2O]",Submission!$O:$O,Submission!$H:$N,""))</f>
        <v/>
      </c>
      <c r="F1333" s="260"/>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58" t="str">
        <f>_xlfn.CONCAT(_xlfn.XLOOKUP("[S05_ContinuousEmissionsMeasurementDetail][8][InstallationIDCO2]",Submission!$O:$O,Submission!$H:$N,""))</f>
        <v/>
      </c>
      <c r="D1334" s="260"/>
      <c r="E1334" s="258" t="str">
        <f>_xlfn.CONCAT(_xlfn.XLOOKUP("[S05_ContinuousEmissionsMeasurementDetail][8][InstallationIDN2O]",Submission!$O:$O,Submission!$H:$N,""))</f>
        <v/>
      </c>
      <c r="F1334" s="260"/>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58" t="str">
        <f>_xlfn.CONCAT(_xlfn.XLOOKUP("[S05_ContinuousEmissionsMeasurementDetail][9][InstallationIDCO2]",Submission!$O:$O,Submission!$H:$N,""))</f>
        <v/>
      </c>
      <c r="D1335" s="260"/>
      <c r="E1335" s="258" t="str">
        <f>_xlfn.CONCAT(_xlfn.XLOOKUP("[S05_ContinuousEmissionsMeasurementDetail][9][InstallationIDN2O]",Submission!$O:$O,Submission!$H:$N,""))</f>
        <v/>
      </c>
      <c r="F1335" s="260"/>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58" t="str">
        <f>_xlfn.CONCAT(_xlfn.XLOOKUP("[S05_ContinuousEmissionsMeasurementDetail][10][InstallationIDCO2]",Submission!$O:$O,Submission!$H:$N,""))</f>
        <v/>
      </c>
      <c r="D1336" s="260"/>
      <c r="E1336" s="258" t="str">
        <f>_xlfn.CONCAT(_xlfn.XLOOKUP("[S05_ContinuousEmissionsMeasurementDetail][10][InstallationIDN2O]",Submission!$O:$O,Submission!$H:$N,""))</f>
        <v/>
      </c>
      <c r="F1336" s="260"/>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58" t="str">
        <f>_xlfn.CONCAT(_xlfn.XLOOKUP("[S05_ContinuousEmissionsMeasurementDetail][11][InstallationIDCO2]",Submission!$O:$O,Submission!$H:$N,""))</f>
        <v/>
      </c>
      <c r="D1337" s="260"/>
      <c r="E1337" s="258" t="str">
        <f>_xlfn.CONCAT(_xlfn.XLOOKUP("[S05_ContinuousEmissionsMeasurementDetail][11][InstallationIDN2O]",Submission!$O:$O,Submission!$H:$N,""))</f>
        <v/>
      </c>
      <c r="F1337" s="260"/>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58" t="str">
        <f>_xlfn.CONCAT(_xlfn.XLOOKUP("[S05_ContinuousEmissionsMeasurementDetail][12][InstallationIDCO2]",Submission!$O:$O,Submission!$H:$N,""))</f>
        <v/>
      </c>
      <c r="D1338" s="260"/>
      <c r="E1338" s="258" t="str">
        <f>_xlfn.CONCAT(_xlfn.XLOOKUP("[S05_ContinuousEmissionsMeasurementDetail][12][InstallationIDN2O]",Submission!$O:$O,Submission!$H:$N,""))</f>
        <v/>
      </c>
      <c r="F1338" s="260"/>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58" t="str">
        <f>_xlfn.CONCAT(_xlfn.XLOOKUP("[S05_ContinuousEmissionsMeasurementDetail][13][InstallationIDCO2]",Submission!$O:$O,Submission!$H:$N,""))</f>
        <v/>
      </c>
      <c r="D1339" s="260"/>
      <c r="E1339" s="258" t="str">
        <f>_xlfn.CONCAT(_xlfn.XLOOKUP("[S05_ContinuousEmissionsMeasurementDetail][13][InstallationIDN2O]",Submission!$O:$O,Submission!$H:$N,""))</f>
        <v/>
      </c>
      <c r="F1339" s="260"/>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58" t="str">
        <f>_xlfn.CONCAT(_xlfn.XLOOKUP("[S05_ContinuousEmissionsMeasurementDetail][14][InstallationIDCO2]",Submission!$O:$O,Submission!$H:$N,""))</f>
        <v/>
      </c>
      <c r="D1340" s="260"/>
      <c r="E1340" s="258" t="str">
        <f>_xlfn.CONCAT(_xlfn.XLOOKUP("[S05_ContinuousEmissionsMeasurementDetail][14][InstallationIDN2O]",Submission!$O:$O,Submission!$H:$N,""))</f>
        <v/>
      </c>
      <c r="F1340" s="260"/>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58" t="str">
        <f>_xlfn.CONCAT(_xlfn.XLOOKUP("[S05_ContinuousEmissionsMeasurementDetail][15][InstallationIDCO2]",Submission!$O:$O,Submission!$H:$N,""))</f>
        <v/>
      </c>
      <c r="D1341" s="260"/>
      <c r="E1341" s="258" t="str">
        <f>_xlfn.CONCAT(_xlfn.XLOOKUP("[S05_ContinuousEmissionsMeasurementDetail][15][InstallationIDN2O]",Submission!$O:$O,Submission!$H:$N,""))</f>
        <v/>
      </c>
      <c r="F1341" s="260"/>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58" t="str">
        <f>_xlfn.CONCAT(_xlfn.XLOOKUP("[S05_ContinuousEmissionsMeasurementDetail][16][InstallationIDCO2]",Submission!$O:$O,Submission!$H:$N,""))</f>
        <v/>
      </c>
      <c r="D1342" s="260"/>
      <c r="E1342" s="258" t="str">
        <f>_xlfn.CONCAT(_xlfn.XLOOKUP("[S05_ContinuousEmissionsMeasurementDetail][16][InstallationIDN2O]",Submission!$O:$O,Submission!$H:$N,""))</f>
        <v/>
      </c>
      <c r="F1342" s="260"/>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58" t="str">
        <f>_xlfn.CONCAT(_xlfn.XLOOKUP("[S05_ContinuousEmissionsMeasurementDetail][17][InstallationIDCO2]",Submission!$O:$O,Submission!$H:$N,""))</f>
        <v/>
      </c>
      <c r="D1343" s="260"/>
      <c r="E1343" s="258" t="str">
        <f>_xlfn.CONCAT(_xlfn.XLOOKUP("[S05_ContinuousEmissionsMeasurementDetail][17][InstallationIDN2O]",Submission!$O:$O,Submission!$H:$N,""))</f>
        <v/>
      </c>
      <c r="F1343" s="260"/>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58" t="str">
        <f>_xlfn.CONCAT(_xlfn.XLOOKUP("[S05_ContinuousEmissionsMeasurementDetail][18][InstallationIDCO2]",Submission!$O:$O,Submission!$H:$N,""))</f>
        <v/>
      </c>
      <c r="D1344" s="260"/>
      <c r="E1344" s="258" t="str">
        <f>_xlfn.CONCAT(_xlfn.XLOOKUP("[S05_ContinuousEmissionsMeasurementDetail][18][InstallationIDN2O]",Submission!$O:$O,Submission!$H:$N,""))</f>
        <v/>
      </c>
      <c r="F1344" s="260"/>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58" t="str">
        <f>_xlfn.CONCAT(_xlfn.XLOOKUP("[S05_ContinuousEmissionsMeasurementDetail][19][InstallationIDCO2]",Submission!$O:$O,Submission!$H:$N,""))</f>
        <v/>
      </c>
      <c r="D1345" s="260"/>
      <c r="E1345" s="258" t="str">
        <f>_xlfn.CONCAT(_xlfn.XLOOKUP("[S05_ContinuousEmissionsMeasurementDetail][19][InstallationIDN2O]",Submission!$O:$O,Submission!$H:$N,""))</f>
        <v/>
      </c>
      <c r="F1345" s="260"/>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58" t="str">
        <f>_xlfn.CONCAT(_xlfn.XLOOKUP("[S05_ContinuousEmissionsMeasurementDetail][20][InstallationIDCO2]",Submission!$O:$O,Submission!$H:$N,""))</f>
        <v/>
      </c>
      <c r="D1346" s="260"/>
      <c r="E1346" s="258" t="str">
        <f>_xlfn.CONCAT(_xlfn.XLOOKUP("[S05_ContinuousEmissionsMeasurementDetail][20][InstallationIDN2O]",Submission!$O:$O,Submission!$H:$N,""))</f>
        <v/>
      </c>
      <c r="F1346" s="260"/>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58" t="str">
        <f>_xlfn.CONCAT(_xlfn.XLOOKUP("[S05_ContinuousEmissionsMeasurementDetail][21][InstallationIDCO2]",Submission!$O:$O,Submission!$H:$N,""))</f>
        <v/>
      </c>
      <c r="D1347" s="260"/>
      <c r="E1347" s="258" t="str">
        <f>_xlfn.CONCAT(_xlfn.XLOOKUP("[S05_ContinuousEmissionsMeasurementDetail][21][InstallationIDN2O]",Submission!$O:$O,Submission!$H:$N,""))</f>
        <v/>
      </c>
      <c r="F1347" s="260"/>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58" t="str">
        <f>_xlfn.CONCAT(_xlfn.XLOOKUP("[S05_ContinuousEmissionsMeasurementDetail][22][InstallationIDCO2]",Submission!$O:$O,Submission!$H:$N,""))</f>
        <v/>
      </c>
      <c r="D1348" s="260"/>
      <c r="E1348" s="258" t="str">
        <f>_xlfn.CONCAT(_xlfn.XLOOKUP("[S05_ContinuousEmissionsMeasurementDetail][22][InstallationIDN2O]",Submission!$O:$O,Submission!$H:$N,""))</f>
        <v/>
      </c>
      <c r="F1348" s="260"/>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58" t="str">
        <f>_xlfn.CONCAT(_xlfn.XLOOKUP("[S05_ContinuousEmissionsMeasurementDetail][23][InstallationIDCO2]",Submission!$O:$O,Submission!$H:$N,""))</f>
        <v/>
      </c>
      <c r="D1349" s="260"/>
      <c r="E1349" s="258" t="str">
        <f>_xlfn.CONCAT(_xlfn.XLOOKUP("[S05_ContinuousEmissionsMeasurementDetail][23][InstallationIDN2O]",Submission!$O:$O,Submission!$H:$N,""))</f>
        <v/>
      </c>
      <c r="F1349" s="260"/>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58" t="str">
        <f>_xlfn.CONCAT(_xlfn.XLOOKUP("[S05_ContinuousEmissionsMeasurementDetail][24][InstallationIDCO2]",Submission!$O:$O,Submission!$H:$N,""))</f>
        <v/>
      </c>
      <c r="D1350" s="260"/>
      <c r="E1350" s="258" t="str">
        <f>_xlfn.CONCAT(_xlfn.XLOOKUP("[S05_ContinuousEmissionsMeasurementDetail][24][InstallationIDN2O]",Submission!$O:$O,Submission!$H:$N,""))</f>
        <v/>
      </c>
      <c r="F1350" s="260"/>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58" t="str">
        <f>_xlfn.CONCAT(_xlfn.XLOOKUP("[S05_ContinuousEmissionsMeasurementDetail][25][InstallationIDCO2]",Submission!$O:$O,Submission!$H:$N,""))</f>
        <v/>
      </c>
      <c r="D1351" s="260"/>
      <c r="E1351" s="258" t="str">
        <f>_xlfn.CONCAT(_xlfn.XLOOKUP("[S05_ContinuousEmissionsMeasurementDetail][25][InstallationIDN2O]",Submission!$O:$O,Submission!$H:$N,""))</f>
        <v/>
      </c>
      <c r="F1351" s="260"/>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58" t="str">
        <f>_xlfn.CONCAT(_xlfn.XLOOKUP("[S05_ContinuousEmissionsMeasurementDetail][26][InstallationIDCO2]",Submission!$O:$O,Submission!$H:$N,""))</f>
        <v/>
      </c>
      <c r="D1352" s="260"/>
      <c r="E1352" s="258" t="str">
        <f>_xlfn.CONCAT(_xlfn.XLOOKUP("[S05_ContinuousEmissionsMeasurementDetail][26][InstallationIDN2O]",Submission!$O:$O,Submission!$H:$N,""))</f>
        <v/>
      </c>
      <c r="F1352" s="260"/>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58" t="str">
        <f>_xlfn.CONCAT(_xlfn.XLOOKUP("[S05_ContinuousEmissionsMeasurementDetail][27][InstallationIDCO2]",Submission!$O:$O,Submission!$H:$N,""))</f>
        <v/>
      </c>
      <c r="D1353" s="260"/>
      <c r="E1353" s="258" t="str">
        <f>_xlfn.CONCAT(_xlfn.XLOOKUP("[S05_ContinuousEmissionsMeasurementDetail][27][InstallationIDN2O]",Submission!$O:$O,Submission!$H:$N,""))</f>
        <v/>
      </c>
      <c r="F1353" s="260"/>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58" t="str">
        <f>_xlfn.CONCAT(_xlfn.XLOOKUP("[S05_ContinuousEmissionsMeasurementDetail][28][InstallationIDCO2]",Submission!$O:$O,Submission!$H:$N,""))</f>
        <v/>
      </c>
      <c r="D1354" s="260"/>
      <c r="E1354" s="258" t="str">
        <f>_xlfn.CONCAT(_xlfn.XLOOKUP("[S05_ContinuousEmissionsMeasurementDetail][28][InstallationIDN2O]",Submission!$O:$O,Submission!$H:$N,""))</f>
        <v/>
      </c>
      <c r="F1354" s="260"/>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58" t="str">
        <f>_xlfn.CONCAT(_xlfn.XLOOKUP("[S05_ContinuousEmissionsMeasurementDetail][29][InstallationIDCO2]",Submission!$O:$O,Submission!$H:$N,""))</f>
        <v/>
      </c>
      <c r="D1355" s="260"/>
      <c r="E1355" s="258" t="str">
        <f>_xlfn.CONCAT(_xlfn.XLOOKUP("[S05_ContinuousEmissionsMeasurementDetail][29][InstallationIDN2O]",Submission!$O:$O,Submission!$H:$N,""))</f>
        <v/>
      </c>
      <c r="F1355" s="260"/>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58" t="str">
        <f>_xlfn.CONCAT(_xlfn.XLOOKUP("[S05_ContinuousEmissionsMeasurementDetail][30][InstallationIDCO2]",Submission!$O:$O,Submission!$H:$N,""))</f>
        <v/>
      </c>
      <c r="D1356" s="260"/>
      <c r="E1356" s="258" t="str">
        <f>_xlfn.CONCAT(_xlfn.XLOOKUP("[S05_ContinuousEmissionsMeasurementDetail][30][InstallationIDN2O]",Submission!$O:$O,Submission!$H:$N,""))</f>
        <v/>
      </c>
      <c r="F1356" s="260"/>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58" t="str">
        <f>_xlfn.CONCAT(_xlfn.XLOOKUP("[S05_ContinuousEmissionsMeasurementDetail][31][InstallationIDCO2]",Submission!$O:$O,Submission!$H:$N,""))</f>
        <v/>
      </c>
      <c r="D1357" s="260"/>
      <c r="E1357" s="258" t="str">
        <f>_xlfn.CONCAT(_xlfn.XLOOKUP("[S05_ContinuousEmissionsMeasurementDetail][31][InstallationIDN2O]",Submission!$O:$O,Submission!$H:$N,""))</f>
        <v/>
      </c>
      <c r="F1357" s="260"/>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58" t="str">
        <f>_xlfn.CONCAT(_xlfn.XLOOKUP("[S05_ContinuousEmissionsMeasurementDetail][32][InstallationIDCO2]",Submission!$O:$O,Submission!$H:$N,""))</f>
        <v/>
      </c>
      <c r="D1358" s="260"/>
      <c r="E1358" s="258" t="str">
        <f>_xlfn.CONCAT(_xlfn.XLOOKUP("[S05_ContinuousEmissionsMeasurementDetail][32][InstallationIDN2O]",Submission!$O:$O,Submission!$H:$N,""))</f>
        <v/>
      </c>
      <c r="F1358" s="260"/>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58" t="str">
        <f>_xlfn.CONCAT(_xlfn.XLOOKUP("[S05_ContinuousEmissionsMeasurementDetail][33][InstallationIDCO2]",Submission!$O:$O,Submission!$H:$N,""))</f>
        <v/>
      </c>
      <c r="D1359" s="260"/>
      <c r="E1359" s="258" t="str">
        <f>_xlfn.CONCAT(_xlfn.XLOOKUP("[S05_ContinuousEmissionsMeasurementDetail][33][InstallationIDN2O]",Submission!$O:$O,Submission!$H:$N,""))</f>
        <v/>
      </c>
      <c r="F1359" s="260"/>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58" t="str">
        <f>_xlfn.CONCAT(_xlfn.XLOOKUP("[S05_ContinuousEmissionsMeasurementDetail][34][InstallationIDCO2]",Submission!$O:$O,Submission!$H:$N,""))</f>
        <v/>
      </c>
      <c r="D1360" s="260"/>
      <c r="E1360" s="258" t="str">
        <f>_xlfn.CONCAT(_xlfn.XLOOKUP("[S05_ContinuousEmissionsMeasurementDetail][34][InstallationIDN2O]",Submission!$O:$O,Submission!$H:$N,""))</f>
        <v/>
      </c>
      <c r="F1360" s="260"/>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58" t="str">
        <f>_xlfn.CONCAT(_xlfn.XLOOKUP("[S05_ContinuousEmissionsMeasurementDetail][35][InstallationIDCO2]",Submission!$O:$O,Submission!$H:$N,""))</f>
        <v/>
      </c>
      <c r="D1361" s="260"/>
      <c r="E1361" s="258" t="str">
        <f>_xlfn.CONCAT(_xlfn.XLOOKUP("[S05_ContinuousEmissionsMeasurementDetail][35][InstallationIDN2O]",Submission!$O:$O,Submission!$H:$N,""))</f>
        <v/>
      </c>
      <c r="F1361" s="260"/>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58" t="str">
        <f>_xlfn.CONCAT(_xlfn.XLOOKUP("[S05_ContinuousEmissionsMeasurementDetail][36][InstallationIDCO2]",Submission!$O:$O,Submission!$H:$N,""))</f>
        <v/>
      </c>
      <c r="D1362" s="260"/>
      <c r="E1362" s="258" t="str">
        <f>_xlfn.CONCAT(_xlfn.XLOOKUP("[S05_ContinuousEmissionsMeasurementDetail][36][InstallationIDN2O]",Submission!$O:$O,Submission!$H:$N,""))</f>
        <v/>
      </c>
      <c r="F1362" s="260"/>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58" t="str">
        <f>_xlfn.CONCAT(_xlfn.XLOOKUP("[S05_ContinuousEmissionsMeasurementDetail][37][InstallationIDCO2]",Submission!$O:$O,Submission!$H:$N,""))</f>
        <v/>
      </c>
      <c r="D1363" s="260"/>
      <c r="E1363" s="258" t="str">
        <f>_xlfn.CONCAT(_xlfn.XLOOKUP("[S05_ContinuousEmissionsMeasurementDetail][37][InstallationIDN2O]",Submission!$O:$O,Submission!$H:$N,""))</f>
        <v/>
      </c>
      <c r="F1363" s="260"/>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58" t="str">
        <f>_xlfn.CONCAT(_xlfn.XLOOKUP("[S05_ContinuousEmissionsMeasurementDetail][38][InstallationIDCO2]",Submission!$O:$O,Submission!$H:$N,""))</f>
        <v/>
      </c>
      <c r="D1364" s="260"/>
      <c r="E1364" s="258" t="str">
        <f>_xlfn.CONCAT(_xlfn.XLOOKUP("[S05_ContinuousEmissionsMeasurementDetail][38][InstallationIDN2O]",Submission!$O:$O,Submission!$H:$N,""))</f>
        <v/>
      </c>
      <c r="F1364" s="260"/>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58" t="str">
        <f>_xlfn.CONCAT(_xlfn.XLOOKUP("[S05_ContinuousEmissionsMeasurementDetail][39][InstallationIDCO2]",Submission!$O:$O,Submission!$H:$N,""))</f>
        <v/>
      </c>
      <c r="D1365" s="260"/>
      <c r="E1365" s="258" t="str">
        <f>_xlfn.CONCAT(_xlfn.XLOOKUP("[S05_ContinuousEmissionsMeasurementDetail][39][InstallationIDN2O]",Submission!$O:$O,Submission!$H:$N,""))</f>
        <v/>
      </c>
      <c r="F1365" s="260"/>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58" t="str">
        <f>_xlfn.CONCAT(_xlfn.XLOOKUP("[S05_ContinuousEmissionsMeasurementDetail][40][InstallationIDCO2]",Submission!$O:$O,Submission!$H:$N,""))</f>
        <v/>
      </c>
      <c r="D1366" s="260"/>
      <c r="E1366" s="258" t="str">
        <f>_xlfn.CONCAT(_xlfn.XLOOKUP("[S05_ContinuousEmissionsMeasurementDetail][40][InstallationIDN2O]",Submission!$O:$O,Submission!$H:$N,""))</f>
        <v/>
      </c>
      <c r="F1366" s="260"/>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58" t="str">
        <f>_xlfn.CONCAT(_xlfn.XLOOKUP("[S05_ContinuousEmissionsMeasurementDetail][41][InstallationIDCO2]",Submission!$O:$O,Submission!$H:$N,""))</f>
        <v/>
      </c>
      <c r="D1367" s="260"/>
      <c r="E1367" s="258" t="str">
        <f>_xlfn.CONCAT(_xlfn.XLOOKUP("[S05_ContinuousEmissionsMeasurementDetail][41][InstallationIDN2O]",Submission!$O:$O,Submission!$H:$N,""))</f>
        <v/>
      </c>
      <c r="F1367" s="260"/>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58" t="str">
        <f>_xlfn.CONCAT(_xlfn.XLOOKUP("[S05_ContinuousEmissionsMeasurementDetail][42][InstallationIDCO2]",Submission!$O:$O,Submission!$H:$N,""))</f>
        <v/>
      </c>
      <c r="D1368" s="260"/>
      <c r="E1368" s="258" t="str">
        <f>_xlfn.CONCAT(_xlfn.XLOOKUP("[S05_ContinuousEmissionsMeasurementDetail][42][InstallationIDN2O]",Submission!$O:$O,Submission!$H:$N,""))</f>
        <v/>
      </c>
      <c r="F1368" s="260"/>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58" t="str">
        <f>_xlfn.CONCAT(_xlfn.XLOOKUP("[S05_ContinuousEmissionsMeasurementDetail][43][InstallationIDCO2]",Submission!$O:$O,Submission!$H:$N,""))</f>
        <v/>
      </c>
      <c r="D1369" s="260"/>
      <c r="E1369" s="258" t="str">
        <f>_xlfn.CONCAT(_xlfn.XLOOKUP("[S05_ContinuousEmissionsMeasurementDetail][43][InstallationIDN2O]",Submission!$O:$O,Submission!$H:$N,""))</f>
        <v/>
      </c>
      <c r="F1369" s="260"/>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58" t="str">
        <f>_xlfn.CONCAT(_xlfn.XLOOKUP("[S05_ContinuousEmissionsMeasurementDetail][44][InstallationIDCO2]",Submission!$O:$O,Submission!$H:$N,""))</f>
        <v/>
      </c>
      <c r="D1370" s="260"/>
      <c r="E1370" s="258" t="str">
        <f>_xlfn.CONCAT(_xlfn.XLOOKUP("[S05_ContinuousEmissionsMeasurementDetail][44][InstallationIDN2O]",Submission!$O:$O,Submission!$H:$N,""))</f>
        <v/>
      </c>
      <c r="F1370" s="260"/>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58" t="str">
        <f>_xlfn.CONCAT(_xlfn.XLOOKUP("[S05_ContinuousEmissionsMeasurementDetail][45][InstallationIDCO2]",Submission!$O:$O,Submission!$H:$N,""))</f>
        <v/>
      </c>
      <c r="D1371" s="260"/>
      <c r="E1371" s="258" t="str">
        <f>_xlfn.CONCAT(_xlfn.XLOOKUP("[S05_ContinuousEmissionsMeasurementDetail][45][InstallationIDN2O]",Submission!$O:$O,Submission!$H:$N,""))</f>
        <v/>
      </c>
      <c r="F1371" s="260"/>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58" t="str">
        <f>_xlfn.CONCAT(_xlfn.XLOOKUP("[S05_ContinuousEmissionsMeasurementDetail][46][InstallationIDCO2]",Submission!$O:$O,Submission!$H:$N,""))</f>
        <v/>
      </c>
      <c r="D1372" s="260"/>
      <c r="E1372" s="258" t="str">
        <f>_xlfn.CONCAT(_xlfn.XLOOKUP("[S05_ContinuousEmissionsMeasurementDetail][46][InstallationIDN2O]",Submission!$O:$O,Submission!$H:$N,""))</f>
        <v/>
      </c>
      <c r="F1372" s="260"/>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58" t="str">
        <f>_xlfn.CONCAT(_xlfn.XLOOKUP("[S05_ContinuousEmissionsMeasurementDetail][47][InstallationIDCO2]",Submission!$O:$O,Submission!$H:$N,""))</f>
        <v/>
      </c>
      <c r="D1373" s="260"/>
      <c r="E1373" s="258" t="str">
        <f>_xlfn.CONCAT(_xlfn.XLOOKUP("[S05_ContinuousEmissionsMeasurementDetail][47][InstallationIDN2O]",Submission!$O:$O,Submission!$H:$N,""))</f>
        <v/>
      </c>
      <c r="F1373" s="260"/>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58" t="str">
        <f>_xlfn.CONCAT(_xlfn.XLOOKUP("[S05_ContinuousEmissionsMeasurementDetail][48][InstallationIDCO2]",Submission!$O:$O,Submission!$H:$N,""))</f>
        <v/>
      </c>
      <c r="D1374" s="260"/>
      <c r="E1374" s="258" t="str">
        <f>_xlfn.CONCAT(_xlfn.XLOOKUP("[S05_ContinuousEmissionsMeasurementDetail][48][InstallationIDN2O]",Submission!$O:$O,Submission!$H:$N,""))</f>
        <v/>
      </c>
      <c r="F1374" s="260"/>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58" t="str">
        <f>_xlfn.CONCAT(_xlfn.XLOOKUP("[S05_ContinuousEmissionsMeasurementDetail][49][InstallationIDCO2]",Submission!$O:$O,Submission!$H:$N,""))</f>
        <v/>
      </c>
      <c r="D1375" s="260"/>
      <c r="E1375" s="258" t="str">
        <f>_xlfn.CONCAT(_xlfn.XLOOKUP("[S05_ContinuousEmissionsMeasurementDetail][49][InstallationIDN2O]",Submission!$O:$O,Submission!$H:$N,""))</f>
        <v/>
      </c>
      <c r="F1375" s="260"/>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58" t="str">
        <f>_xlfn.CONCAT(_xlfn.XLOOKUP("[S05_ContinuousEmissionsMeasurementDetail][50][InstallationIDCO2]",Submission!$O:$O,Submission!$H:$N,""))</f>
        <v/>
      </c>
      <c r="D1376" s="260"/>
      <c r="E1376" s="258" t="str">
        <f>_xlfn.CONCAT(_xlfn.XLOOKUP("[S05_ContinuousEmissionsMeasurementDetail][50][InstallationIDN2O]",Submission!$O:$O,Submission!$H:$N,""))</f>
        <v/>
      </c>
      <c r="F1376" s="260"/>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58" t="s">
        <v>916</v>
      </c>
      <c r="D1378" s="359"/>
      <c r="E1378" s="359"/>
      <c r="F1378" s="359"/>
      <c r="G1378" s="359"/>
      <c r="H1378" s="359"/>
      <c r="I1378" s="359"/>
    </row>
    <row r="1379" spans="1:11" ht="15.9" customHeight="1" x14ac:dyDescent="0.3">
      <c r="C1379" s="373"/>
      <c r="D1379" s="374"/>
      <c r="E1379" s="374"/>
      <c r="F1379" s="374"/>
      <c r="G1379" s="374"/>
      <c r="H1379" s="374"/>
      <c r="I1379" s="374"/>
      <c r="J1379" s="374"/>
    </row>
    <row r="1380" spans="1:11" ht="15.9" customHeight="1" x14ac:dyDescent="0.3">
      <c r="A1380" s="12" t="s">
        <v>287</v>
      </c>
      <c r="B1380" s="275" t="s">
        <v>917</v>
      </c>
      <c r="C1380" s="276"/>
      <c r="D1380" s="276"/>
      <c r="E1380" s="276"/>
      <c r="F1380" s="276"/>
      <c r="G1380" s="276"/>
      <c r="H1380" s="276"/>
      <c r="I1380" s="276"/>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39" t="s">
        <v>919</v>
      </c>
      <c r="D1382" s="339"/>
      <c r="E1382" s="339"/>
      <c r="F1382" s="339"/>
      <c r="G1382" s="339"/>
      <c r="H1382" s="339"/>
      <c r="I1382" s="339"/>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
      </c>
      <c r="D1389" s="128" t="str">
        <f>_xlfn.CONCAT(_xlfn.XLOOKUP("[S05_BiomassInstallations][1][BiomassInstallationCategory]",Submission!$O:$O,Submission!$H:$N,""))</f>
        <v/>
      </c>
      <c r="E1389" s="126" t="str">
        <f>_xlfn.CONCAT(_xlfn.XLOOKUP("[S05_BiomassInstallations][1][NumberUsingBiomass]",Submission!$O:$O,Submission!$H:$N,""))</f>
        <v/>
      </c>
      <c r="F1389" s="126" t="str">
        <f>_xlfn.CONCAT(_xlfn.XLOOKUP("[S05_BiomassInstallations][1][EmissionsBiomassSustainabilitySatisfied]",Submission!$O:$O,Submission!$H:$N,""))</f>
        <v/>
      </c>
      <c r="G1389" s="126" t="str">
        <f>_xlfn.CONCAT(_xlfn.XLOOKUP("[S05_BiomassInstallations][1][EmissionsBiomassSustainabilityNotSatisfied]",Submission!$O:$O,Submission!$H:$N,""))</f>
        <v/>
      </c>
      <c r="H1389" s="126" t="str">
        <f>_xlfn.CONCAT(_xlfn.XLOOKUP("[S05_BiomassInstallations][1][EmissionsFossil]",Submission!$O:$O,Submission!$H:$N,""))</f>
        <v/>
      </c>
      <c r="I1389" s="126" t="str">
        <f>_xlfn.CONCAT(_xlfn.XLOOKUP("[S05_BiomassInstallations][1][EnergyZeroRatedBiomass]",Submission!$O:$O,Submission!$H:$N,""))</f>
        <v/>
      </c>
      <c r="J1389" s="126" t="str">
        <f>_xlfn.CONCAT(_xlfn.XLOOKUP("[S05_BiomassInstallations][1][EnergyNonZeroRatedBiomass]",Submission!$O:$O,Submission!$H:$N,""))</f>
        <v/>
      </c>
      <c r="K1389" s="126" t="str">
        <f>_xlfn.CONCAT(_xlfn.XLOOKUP("[S05_BiomassInstallations][1][EnergyFossil]",Submission!$O:$O,Submission!$H:$N,""))</f>
        <v/>
      </c>
    </row>
    <row r="1390" spans="1:11" ht="44.4" customHeight="1" x14ac:dyDescent="0.3">
      <c r="A1390" s="12"/>
      <c r="C1390" s="125" t="str">
        <f>_xlfn.CONCAT(_xlfn.XLOOKUP("[S05_BiomassInstallations][2][Annex1Activity]",Submission!$O:$O,Submission!$H:$N,""))</f>
        <v/>
      </c>
      <c r="D1390" s="128" t="str">
        <f>_xlfn.CONCAT(_xlfn.XLOOKUP("[S05_BiomassInstallations][2][BiomassInstallationCategory]",Submission!$O:$O,Submission!$H:$N,""))</f>
        <v/>
      </c>
      <c r="E1390" s="126" t="str">
        <f>_xlfn.CONCAT(_xlfn.XLOOKUP("[S05_BiomassInstallations][2][NumberUsingBiomass]",Submission!$O:$O,Submission!$H:$N,""))</f>
        <v/>
      </c>
      <c r="F1390" s="126" t="str">
        <f>_xlfn.CONCAT(_xlfn.XLOOKUP("[S05_BiomassInstallations][2][EmissionsBiomassSustainabilitySatisfied]",Submission!$O:$O,Submission!$H:$N,""))</f>
        <v/>
      </c>
      <c r="G1390" s="126" t="str">
        <f>_xlfn.CONCAT(_xlfn.XLOOKUP("[S05_BiomassInstallations][2][EmissionsBiomassSustainabilityNotSatisfied]",Submission!$O:$O,Submission!$H:$N,""))</f>
        <v/>
      </c>
      <c r="H1390" s="126" t="str">
        <f>_xlfn.CONCAT(_xlfn.XLOOKUP("[S05_BiomassInstallations][2][EmissionsFossil]",Submission!$O:$O,Submission!$H:$N,""))</f>
        <v/>
      </c>
      <c r="I1390" s="126" t="str">
        <f>_xlfn.CONCAT(_xlfn.XLOOKUP("[S05_BiomassInstallations][2][EnergyZeroRatedBiomass]",Submission!$O:$O,Submission!$H:$N,""))</f>
        <v/>
      </c>
      <c r="J1390" s="126" t="str">
        <f>_xlfn.CONCAT(_xlfn.XLOOKUP("[S05_BiomassInstallations][2][EnergyNonZeroRatedBiomass]",Submission!$O:$O,Submission!$H:$N,""))</f>
        <v/>
      </c>
      <c r="K1390" s="126" t="str">
        <f>_xlfn.CONCAT(_xlfn.XLOOKUP("[S05_BiomassInstallations][2][EnergyFossil]",Submission!$O:$O,Submission!$H:$N,""))</f>
        <v/>
      </c>
    </row>
    <row r="1391" spans="1:11" ht="44.4" customHeight="1" x14ac:dyDescent="0.3">
      <c r="A1391" s="12"/>
      <c r="C1391" s="125" t="str">
        <f>_xlfn.CONCAT(_xlfn.XLOOKUP("[S05_BiomassInstallations][3][Annex1Activity]",Submission!$O:$O,Submission!$H:$N,""))</f>
        <v/>
      </c>
      <c r="D1391" s="128" t="str">
        <f>_xlfn.CONCAT(_xlfn.XLOOKUP("[S05_BiomassInstallations][3][BiomassInstallationCategory]",Submission!$O:$O,Submission!$H:$N,""))</f>
        <v/>
      </c>
      <c r="E1391" s="126" t="str">
        <f>_xlfn.CONCAT(_xlfn.XLOOKUP("[S05_BiomassInstallations][3][NumberUsingBiomass]",Submission!$O:$O,Submission!$H:$N,""))</f>
        <v/>
      </c>
      <c r="F1391" s="126" t="str">
        <f>_xlfn.CONCAT(_xlfn.XLOOKUP("[S05_BiomassInstallations][3][EmissionsBiomassSustainabilitySatisfied]",Submission!$O:$O,Submission!$H:$N,""))</f>
        <v/>
      </c>
      <c r="G1391" s="126" t="str">
        <f>_xlfn.CONCAT(_xlfn.XLOOKUP("[S05_BiomassInstallations][3][EmissionsBiomassSustainabilityNotSatisfied]",Submission!$O:$O,Submission!$H:$N,""))</f>
        <v/>
      </c>
      <c r="H1391" s="126" t="str">
        <f>_xlfn.CONCAT(_xlfn.XLOOKUP("[S05_BiomassInstallations][3][EmissionsFossil]",Submission!$O:$O,Submission!$H:$N,""))</f>
        <v/>
      </c>
      <c r="I1391" s="126" t="str">
        <f>_xlfn.CONCAT(_xlfn.XLOOKUP("[S05_BiomassInstallations][3][EnergyZeroRatedBiomass]",Submission!$O:$O,Submission!$H:$N,""))</f>
        <v/>
      </c>
      <c r="J1391" s="126" t="str">
        <f>_xlfn.CONCAT(_xlfn.XLOOKUP("[S05_BiomassInstallations][3][EnergyNonZeroRatedBiomass]",Submission!$O:$O,Submission!$H:$N,""))</f>
        <v/>
      </c>
      <c r="K1391" s="126" t="str">
        <f>_xlfn.CONCAT(_xlfn.XLOOKUP("[S05_BiomassInstallations][3][EnergyFossil]",Submission!$O:$O,Submission!$H:$N,""))</f>
        <v/>
      </c>
    </row>
    <row r="1392" spans="1:11" ht="44.4" customHeight="1" x14ac:dyDescent="0.3">
      <c r="A1392" s="12"/>
      <c r="C1392" s="125" t="str">
        <f>_xlfn.CONCAT(_xlfn.XLOOKUP("[S05_BiomassInstallations][4][Annex1Activity]",Submission!$O:$O,Submission!$H:$N,""))</f>
        <v/>
      </c>
      <c r="D1392" s="128" t="str">
        <f>_xlfn.CONCAT(_xlfn.XLOOKUP("[S05_BiomassInstallations][4][BiomassInstallationCategory]",Submission!$O:$O,Submission!$H:$N,""))</f>
        <v/>
      </c>
      <c r="E1392" s="126" t="str">
        <f>_xlfn.CONCAT(_xlfn.XLOOKUP("[S05_BiomassInstallations][4][NumberUsingBiomass]",Submission!$O:$O,Submission!$H:$N,""))</f>
        <v/>
      </c>
      <c r="F1392" s="126" t="str">
        <f>_xlfn.CONCAT(_xlfn.XLOOKUP("[S05_BiomassInstallations][4][EmissionsBiomassSustainabilitySatisfied]",Submission!$O:$O,Submission!$H:$N,""))</f>
        <v/>
      </c>
      <c r="G1392" s="126" t="str">
        <f>_xlfn.CONCAT(_xlfn.XLOOKUP("[S05_BiomassInstallations][4][EmissionsBiomassSustainabilityNotSatisfied]",Submission!$O:$O,Submission!$H:$N,""))</f>
        <v/>
      </c>
      <c r="H1392" s="126" t="str">
        <f>_xlfn.CONCAT(_xlfn.XLOOKUP("[S05_BiomassInstallations][4][EmissionsFossil]",Submission!$O:$O,Submission!$H:$N,""))</f>
        <v/>
      </c>
      <c r="I1392" s="126" t="str">
        <f>_xlfn.CONCAT(_xlfn.XLOOKUP("[S05_BiomassInstallations][4][EnergyZeroRatedBiomass]",Submission!$O:$O,Submission!$H:$N,""))</f>
        <v/>
      </c>
      <c r="J1392" s="126" t="str">
        <f>_xlfn.CONCAT(_xlfn.XLOOKUP("[S05_BiomassInstallations][4][EnergyNonZeroRatedBiomass]",Submission!$O:$O,Submission!$H:$N,""))</f>
        <v/>
      </c>
      <c r="K1392" s="126" t="str">
        <f>_xlfn.CONCAT(_xlfn.XLOOKUP("[S05_BiomassInstallations][4][EnergyFossil]",Submission!$O:$O,Submission!$H:$N,""))</f>
        <v/>
      </c>
    </row>
    <row r="1393" spans="1:11" ht="44.4" customHeight="1" x14ac:dyDescent="0.3">
      <c r="A1393" s="12"/>
      <c r="C1393" s="125" t="str">
        <f>_xlfn.CONCAT(_xlfn.XLOOKUP("[S05_BiomassInstallations][5][Annex1Activity]",Submission!$O:$O,Submission!$H:$N,""))</f>
        <v/>
      </c>
      <c r="D1393" s="128" t="str">
        <f>_xlfn.CONCAT(_xlfn.XLOOKUP("[S05_BiomassInstallations][5][BiomassInstallationCategory]",Submission!$O:$O,Submission!$H:$N,""))</f>
        <v/>
      </c>
      <c r="E1393" s="126" t="str">
        <f>_xlfn.CONCAT(_xlfn.XLOOKUP("[S05_BiomassInstallations][5][NumberUsingBiomass]",Submission!$O:$O,Submission!$H:$N,""))</f>
        <v/>
      </c>
      <c r="F1393" s="126" t="str">
        <f>_xlfn.CONCAT(_xlfn.XLOOKUP("[S05_BiomassInstallations][5][EmissionsBiomassSustainabilitySatisfied]",Submission!$O:$O,Submission!$H:$N,""))</f>
        <v/>
      </c>
      <c r="G1393" s="126" t="str">
        <f>_xlfn.CONCAT(_xlfn.XLOOKUP("[S05_BiomassInstallations][5][EmissionsBiomassSustainabilityNotSatisfied]",Submission!$O:$O,Submission!$H:$N,""))</f>
        <v/>
      </c>
      <c r="H1393" s="126" t="str">
        <f>_xlfn.CONCAT(_xlfn.XLOOKUP("[S05_BiomassInstallations][5][EmissionsFossil]",Submission!$O:$O,Submission!$H:$N,""))</f>
        <v/>
      </c>
      <c r="I1393" s="126" t="str">
        <f>_xlfn.CONCAT(_xlfn.XLOOKUP("[S05_BiomassInstallations][5][EnergyZeroRatedBiomass]",Submission!$O:$O,Submission!$H:$N,""))</f>
        <v/>
      </c>
      <c r="J1393" s="126" t="str">
        <f>_xlfn.CONCAT(_xlfn.XLOOKUP("[S05_BiomassInstallations][5][EnergyNonZeroRatedBiomass]",Submission!$O:$O,Submission!$H:$N,""))</f>
        <v/>
      </c>
      <c r="K1393" s="126" t="str">
        <f>_xlfn.CONCAT(_xlfn.XLOOKUP("[S05_BiomassInstallations][5][EnergyFossil]",Submission!$O:$O,Submission!$H:$N,""))</f>
        <v/>
      </c>
    </row>
    <row r="1394" spans="1:11" ht="44.4" customHeight="1" x14ac:dyDescent="0.3">
      <c r="A1394" s="12"/>
      <c r="C1394" s="125" t="str">
        <f>_xlfn.CONCAT(_xlfn.XLOOKUP("[S05_BiomassInstallations][6][Annex1Activity]",Submission!$O:$O,Submission!$H:$N,""))</f>
        <v/>
      </c>
      <c r="D1394" s="128" t="str">
        <f>_xlfn.CONCAT(_xlfn.XLOOKUP("[S05_BiomassInstallations][6][BiomassInstallationCategory]",Submission!$O:$O,Submission!$H:$N,""))</f>
        <v/>
      </c>
      <c r="E1394" s="126" t="str">
        <f>_xlfn.CONCAT(_xlfn.XLOOKUP("[S05_BiomassInstallations][6][NumberUsingBiomass]",Submission!$O:$O,Submission!$H:$N,""))</f>
        <v/>
      </c>
      <c r="F1394" s="126" t="str">
        <f>_xlfn.CONCAT(_xlfn.XLOOKUP("[S05_BiomassInstallations][6][EmissionsBiomassSustainabilitySatisfied]",Submission!$O:$O,Submission!$H:$N,""))</f>
        <v/>
      </c>
      <c r="G1394" s="126" t="str">
        <f>_xlfn.CONCAT(_xlfn.XLOOKUP("[S05_BiomassInstallations][6][EmissionsBiomassSustainabilityNotSatisfied]",Submission!$O:$O,Submission!$H:$N,""))</f>
        <v/>
      </c>
      <c r="H1394" s="126" t="str">
        <f>_xlfn.CONCAT(_xlfn.XLOOKUP("[S05_BiomassInstallations][6][EmissionsFossil]",Submission!$O:$O,Submission!$H:$N,""))</f>
        <v/>
      </c>
      <c r="I1394" s="126" t="str">
        <f>_xlfn.CONCAT(_xlfn.XLOOKUP("[S05_BiomassInstallations][6][EnergyZeroRatedBiomass]",Submission!$O:$O,Submission!$H:$N,""))</f>
        <v/>
      </c>
      <c r="J1394" s="126" t="str">
        <f>_xlfn.CONCAT(_xlfn.XLOOKUP("[S05_BiomassInstallations][6][EnergyNonZeroRatedBiomass]",Submission!$O:$O,Submission!$H:$N,""))</f>
        <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
      </c>
      <c r="D1395" s="128" t="str">
        <f>_xlfn.CONCAT(_xlfn.XLOOKUP("[S05_BiomassInstallations][7][BiomassInstallationCategory]",Submission!$O:$O,Submission!$H:$N,""))</f>
        <v/>
      </c>
      <c r="E1395" s="126" t="str">
        <f>_xlfn.CONCAT(_xlfn.XLOOKUP("[S05_BiomassInstallations][7][NumberUsingBiomass]",Submission!$O:$O,Submission!$H:$N,""))</f>
        <v/>
      </c>
      <c r="F1395" s="126" t="str">
        <f>_xlfn.CONCAT(_xlfn.XLOOKUP("[S05_BiomassInstallations][7][EmissionsBiomassSustainabilitySatisfied]",Submission!$O:$O,Submission!$H:$N,""))</f>
        <v/>
      </c>
      <c r="G1395" s="126" t="str">
        <f>_xlfn.CONCAT(_xlfn.XLOOKUP("[S05_BiomassInstallations][7][EmissionsBiomassSustainabilityNotSatisfied]",Submission!$O:$O,Submission!$H:$N,""))</f>
        <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07" t="s">
        <v>932</v>
      </c>
      <c r="C1441" s="308"/>
      <c r="D1441" s="308"/>
      <c r="E1441" s="308"/>
      <c r="F1441" s="308"/>
      <c r="G1441" s="308"/>
      <c r="H1441" s="308"/>
      <c r="I1441" s="308"/>
    </row>
    <row r="1442" spans="1:9" ht="32.4" customHeight="1" x14ac:dyDescent="0.3">
      <c r="B1442" s="23"/>
      <c r="C1442" s="258" t="str">
        <f>_xlfn.CONCAT(_xlfn.XLOOKUP("[SustainabilityComplianceDemonstrate][0][SustainabilityComplianceDemonstrate]",Submission!$O:$O,Submission!$H:$N,""))</f>
        <v/>
      </c>
      <c r="D1442" s="369"/>
      <c r="E1442" s="369"/>
      <c r="F1442" s="369"/>
      <c r="G1442" s="369"/>
      <c r="H1442" s="369"/>
      <c r="I1442" s="259"/>
    </row>
    <row r="1443" spans="1:9" ht="15.9" customHeight="1" x14ac:dyDescent="0.3">
      <c r="B1443" s="23"/>
      <c r="D1443" s="11"/>
      <c r="E1443" s="11"/>
      <c r="F1443" s="11"/>
      <c r="G1443" s="11"/>
    </row>
    <row r="1444" spans="1:9" ht="33" customHeight="1" x14ac:dyDescent="0.3">
      <c r="A1444" s="12" t="s">
        <v>299</v>
      </c>
      <c r="B1444" s="275" t="s">
        <v>933</v>
      </c>
      <c r="C1444" s="276"/>
      <c r="D1444" s="276"/>
      <c r="E1444" s="276"/>
      <c r="F1444" s="276"/>
      <c r="G1444" s="276"/>
      <c r="H1444" s="276"/>
      <c r="I1444" s="276"/>
    </row>
    <row r="1445" spans="1:9" ht="15.9" customHeight="1" x14ac:dyDescent="0.3">
      <c r="A1445" s="13"/>
      <c r="C1445" s="402"/>
      <c r="D1445" s="402"/>
      <c r="E1445" s="402"/>
      <c r="F1445" s="402"/>
      <c r="G1445" s="357" t="s">
        <v>934</v>
      </c>
      <c r="H1445" s="357"/>
      <c r="I1445" s="357"/>
    </row>
    <row r="1446" spans="1:9" ht="15.9" customHeight="1" x14ac:dyDescent="0.3">
      <c r="A1446" s="13"/>
      <c r="C1446" s="399" t="s">
        <v>935</v>
      </c>
      <c r="D1446" s="400"/>
      <c r="E1446" s="400"/>
      <c r="F1446" s="400"/>
      <c r="G1446" s="401" t="str">
        <f>_xlfn.CONCAT(_xlfn.XLOOKUP("[WasteFuelFossilCO2][0][WasteFuelFossilCO2]",Submission!$O:$O,Submission!$H:$N,""))</f>
        <v>140925.1391</v>
      </c>
      <c r="H1446" s="401"/>
      <c r="I1446" s="401"/>
    </row>
    <row r="1447" spans="1:9" ht="15.9" customHeight="1" x14ac:dyDescent="0.3">
      <c r="B1447" s="14"/>
      <c r="C1447" s="19"/>
      <c r="E1447" s="11"/>
      <c r="F1447" s="11"/>
      <c r="G1447" s="11"/>
      <c r="H1447" s="11"/>
    </row>
    <row r="1448" spans="1:9" ht="15.9" customHeight="1" x14ac:dyDescent="0.3">
      <c r="A1448" s="12" t="s">
        <v>308</v>
      </c>
      <c r="B1448" s="373" t="s">
        <v>936</v>
      </c>
      <c r="C1448" s="374"/>
      <c r="D1448" s="374"/>
      <c r="E1448" s="374"/>
      <c r="F1448" s="374"/>
      <c r="G1448" s="374"/>
      <c r="H1448" s="374"/>
      <c r="I1448" s="374"/>
    </row>
    <row r="1449" spans="1:9" ht="32.1" customHeight="1" x14ac:dyDescent="0.3">
      <c r="A1449" s="12"/>
      <c r="B1449" s="338" t="s">
        <v>937</v>
      </c>
      <c r="C1449" s="308"/>
      <c r="D1449" s="308"/>
      <c r="E1449" s="308"/>
      <c r="F1449" s="308"/>
      <c r="G1449" s="308"/>
      <c r="H1449" s="345"/>
      <c r="I1449" s="41" t="str">
        <f>_xlfn.CONCAT(_xlfn.XLOOKUP("[SimplifiedMonitoringArt13][0][SimplifiedMonitoringArt13]",Submission!$O:$O,Submission!$H:$N,""))</f>
        <v>No</v>
      </c>
    </row>
    <row r="1450" spans="1:9" ht="15.9" customHeight="1" x14ac:dyDescent="0.3">
      <c r="B1450" s="275" t="s">
        <v>938</v>
      </c>
      <c r="C1450" s="276"/>
      <c r="D1450" s="276"/>
      <c r="E1450" s="276"/>
      <c r="F1450" s="276"/>
      <c r="G1450" s="276"/>
      <c r="H1450" s="276"/>
      <c r="I1450" s="276"/>
    </row>
    <row r="1451" spans="1:9" ht="15.9" customHeight="1" x14ac:dyDescent="0.3">
      <c r="A1451" s="13"/>
      <c r="C1451" s="357" t="s">
        <v>939</v>
      </c>
      <c r="D1451" s="357"/>
      <c r="E1451" s="357"/>
      <c r="F1451" s="357"/>
      <c r="G1451" s="357" t="s">
        <v>940</v>
      </c>
      <c r="H1451" s="357"/>
      <c r="I1451" s="357"/>
    </row>
    <row r="1452" spans="1:9" ht="26.4" customHeight="1" x14ac:dyDescent="0.3">
      <c r="A1452" s="13"/>
      <c r="C1452" s="274" t="str">
        <f>_xlfn.CONCAT(_xlfn.XLOOKUP("[S05_SimplifiedMonitoringArt13Detail][1][Art13RiskAssessmentType]",Submission!$O:$O,Submission!$H:$N,""))</f>
        <v/>
      </c>
      <c r="D1452" s="353"/>
      <c r="E1452" s="353"/>
      <c r="F1452" s="260"/>
      <c r="G1452" s="354" t="str">
        <f>_xlfn.CONCAT(_xlfn.XLOOKUP("[S05_SimplifiedMonitoringArt13Detail][1][Art13RiskAssessmentPrinciples]",Submission!$O:$O,Submission!$H:$N,""))</f>
        <v/>
      </c>
      <c r="H1452" s="354"/>
      <c r="I1452" s="354"/>
    </row>
    <row r="1453" spans="1:9" ht="26.4" customHeight="1" x14ac:dyDescent="0.3">
      <c r="A1453" s="13"/>
      <c r="C1453" s="274" t="str">
        <f>_xlfn.CONCAT(_xlfn.XLOOKUP("[S05_SimplifiedMonitoringArt13Detail][2][Art13RiskAssessmentType]",Submission!$O:$O,Submission!$H:$N,""))</f>
        <v/>
      </c>
      <c r="D1453" s="353"/>
      <c r="E1453" s="353"/>
      <c r="F1453" s="260"/>
      <c r="G1453" s="354" t="str">
        <f>_xlfn.CONCAT(_xlfn.XLOOKUP("[S05_SimplifiedMonitoringArt13Detail][2][Art13RiskAssessmentPrinciples]",Submission!$O:$O,Submission!$H:$N,""))</f>
        <v/>
      </c>
      <c r="H1453" s="354"/>
      <c r="I1453" s="354"/>
    </row>
    <row r="1454" spans="1:9" ht="26.4" hidden="1" customHeight="1" outlineLevel="1" x14ac:dyDescent="0.3">
      <c r="A1454" s="13"/>
      <c r="C1454" s="274" t="str">
        <f>_xlfn.CONCAT(_xlfn.XLOOKUP("[S05_SimplifiedMonitoringArt13Detail][3][Art13RiskAssessmentType]",Submission!$O:$O,Submission!$H:$N,""))</f>
        <v/>
      </c>
      <c r="D1454" s="353"/>
      <c r="E1454" s="353"/>
      <c r="F1454" s="260"/>
      <c r="G1454" s="354" t="str">
        <f>_xlfn.CONCAT(_xlfn.XLOOKUP("[S05_SimplifiedMonitoringArt13Detail][3][Art13RiskAssessmentPrinciples]",Submission!$O:$O,Submission!$H:$N,""))</f>
        <v/>
      </c>
      <c r="H1454" s="354"/>
      <c r="I1454" s="354"/>
    </row>
    <row r="1455" spans="1:9" ht="26.4" hidden="1" customHeight="1" outlineLevel="1" x14ac:dyDescent="0.3">
      <c r="A1455" s="13"/>
      <c r="C1455" s="274" t="str">
        <f>_xlfn.CONCAT(_xlfn.XLOOKUP("[S05_SimplifiedMonitoringArt13Detail][4][Art13RiskAssessmentType]",Submission!$O:$O,Submission!$H:$N,""))</f>
        <v/>
      </c>
      <c r="D1455" s="353"/>
      <c r="E1455" s="353"/>
      <c r="F1455" s="260"/>
      <c r="G1455" s="354" t="str">
        <f>_xlfn.CONCAT(_xlfn.XLOOKUP("[S05_SimplifiedMonitoringArt13Detail][4][Art13RiskAssessmentPrinciples]",Submission!$O:$O,Submission!$H:$N,""))</f>
        <v/>
      </c>
      <c r="H1455" s="354"/>
      <c r="I1455" s="354"/>
    </row>
    <row r="1456" spans="1:9" ht="26.4" hidden="1" customHeight="1" outlineLevel="1" x14ac:dyDescent="0.3">
      <c r="A1456" s="13"/>
      <c r="C1456" s="274" t="str">
        <f>_xlfn.CONCAT(_xlfn.XLOOKUP("[S05_SimplifiedMonitoringArt13Detail][5][Art13RiskAssessmentType]",Submission!$O:$O,Submission!$H:$N,""))</f>
        <v/>
      </c>
      <c r="D1456" s="353"/>
      <c r="E1456" s="353"/>
      <c r="F1456" s="260"/>
      <c r="G1456" s="354" t="str">
        <f>_xlfn.CONCAT(_xlfn.XLOOKUP("[S05_SimplifiedMonitoringArt13Detail][5][Art13RiskAssessmentPrinciples]",Submission!$O:$O,Submission!$H:$N,""))</f>
        <v/>
      </c>
      <c r="H1456" s="354"/>
      <c r="I1456" s="354"/>
    </row>
    <row r="1457" spans="1:9" ht="15.9" customHeight="1" collapsed="1" x14ac:dyDescent="0.3">
      <c r="C1457" s="355" t="s">
        <v>941</v>
      </c>
      <c r="D1457" s="356"/>
      <c r="E1457" s="356"/>
      <c r="F1457" s="356"/>
      <c r="G1457" s="356"/>
      <c r="H1457" s="356"/>
      <c r="I1457" s="356"/>
    </row>
    <row r="1458" spans="1:9" ht="15.9" customHeight="1" x14ac:dyDescent="0.3"/>
    <row r="1459" spans="1:9" ht="18.899999999999999" customHeight="1" x14ac:dyDescent="0.35">
      <c r="A1459" s="48" t="s">
        <v>942</v>
      </c>
      <c r="B1459" s="310" t="s">
        <v>97</v>
      </c>
      <c r="C1459" s="310"/>
      <c r="D1459" s="310"/>
      <c r="E1459" s="310"/>
      <c r="F1459" s="310"/>
      <c r="G1459" s="310"/>
      <c r="H1459" s="310"/>
      <c r="I1459" s="311"/>
    </row>
    <row r="1460" spans="1:9" ht="15.9" customHeight="1" x14ac:dyDescent="0.3">
      <c r="A1460" s="12" t="s">
        <v>313</v>
      </c>
      <c r="B1460" s="312" t="s">
        <v>943</v>
      </c>
      <c r="C1460" s="313"/>
      <c r="D1460" s="313"/>
      <c r="E1460" s="313"/>
      <c r="F1460" s="313"/>
      <c r="G1460" s="313"/>
      <c r="H1460" s="313"/>
      <c r="I1460" s="313"/>
    </row>
    <row r="1461" spans="1:9" ht="26.1" customHeight="1" x14ac:dyDescent="0.3">
      <c r="C1461" s="357" t="s">
        <v>944</v>
      </c>
      <c r="D1461" s="357"/>
      <c r="E1461" s="357" t="s">
        <v>945</v>
      </c>
      <c r="F1461" s="357"/>
      <c r="G1461" s="317" t="s">
        <v>946</v>
      </c>
      <c r="H1461" s="370"/>
      <c r="I1461" s="318"/>
    </row>
    <row r="1462" spans="1:9" ht="15.9" customHeight="1" x14ac:dyDescent="0.3">
      <c r="C1462" s="383" t="s">
        <v>947</v>
      </c>
      <c r="D1462" s="383"/>
      <c r="E1462" s="410" t="str">
        <f>_xlfn.CONCAT(_xlfn.XLOOKUP("[S05_AircraftMethodFuelConsumption][1][CountAircraftOperators]",Submission!$O:$O,Submission!$H:$N,""))</f>
        <v>1</v>
      </c>
      <c r="F1462" s="410"/>
      <c r="G1462" s="413" t="str">
        <f>_xlfn.CONCAT(_xlfn.XLOOKUP("[S05_AircraftMethodFuelConsumption][1][SmallEmittersShare]",Submission!$O:$O,Submission!$H:$N,""))</f>
        <v>0</v>
      </c>
      <c r="H1462" s="413"/>
      <c r="I1462" s="413"/>
    </row>
    <row r="1463" spans="1:9" ht="15.9" customHeight="1" x14ac:dyDescent="0.3">
      <c r="A1463" s="13"/>
      <c r="C1463" s="383" t="s">
        <v>948</v>
      </c>
      <c r="D1463" s="383"/>
      <c r="E1463" s="410" t="str">
        <f>_xlfn.CONCAT(_xlfn.XLOOKUP("[S05_AircraftMethodFuelConsumption][2][CountAircraftOperators]",Submission!$O:$O,Submission!$H:$N,""))</f>
        <v>1</v>
      </c>
      <c r="F1463" s="410"/>
      <c r="G1463" s="413" t="str">
        <f>_xlfn.CONCAT(_xlfn.XLOOKUP("[S05_AircraftMethodFuelConsumption][2][SmallEmittersShare]",Submission!$O:$O,Submission!$H:$N,""))</f>
        <v>0</v>
      </c>
      <c r="H1463" s="413"/>
      <c r="I1463" s="413"/>
    </row>
    <row r="1464" spans="1:9" ht="15.9" customHeight="1" x14ac:dyDescent="0.3">
      <c r="A1464" s="13"/>
      <c r="C1464" s="383" t="s">
        <v>949</v>
      </c>
      <c r="D1464" s="383"/>
      <c r="E1464" s="410" t="str">
        <f>_xlfn.CONCAT(_xlfn.XLOOKUP("[S05_AircraftMethodFuelConsumption][3][CountAircraftOperators]",Submission!$O:$O,Submission!$H:$N,""))</f>
        <v>0</v>
      </c>
      <c r="F1464" s="410"/>
      <c r="G1464" s="413" t="str">
        <f>_xlfn.CONCAT(_xlfn.XLOOKUP("[S05_AircraftMethodFuelConsumption][3][SmallEmittersShare]",Submission!$O:$O,Submission!$H:$N,""))</f>
        <v>0</v>
      </c>
      <c r="H1464" s="413"/>
      <c r="I1464" s="413"/>
    </row>
    <row r="1465" spans="1:9" ht="15.9" customHeight="1" x14ac:dyDescent="0.3"/>
    <row r="1466" spans="1:9" ht="19.2" customHeight="1" x14ac:dyDescent="0.3">
      <c r="A1466" s="12" t="s">
        <v>318</v>
      </c>
      <c r="B1466" s="275" t="s">
        <v>950</v>
      </c>
      <c r="C1466" s="276"/>
      <c r="D1466" s="276"/>
      <c r="E1466" s="276"/>
      <c r="F1466" s="276"/>
      <c r="G1466" s="276"/>
      <c r="H1466" s="276"/>
      <c r="I1466" s="276"/>
    </row>
    <row r="1467" spans="1:9" ht="15" customHeight="1" x14ac:dyDescent="0.3">
      <c r="A1467" s="12"/>
      <c r="B1467" s="36" t="s">
        <v>8</v>
      </c>
      <c r="C1467" s="411" t="s">
        <v>951</v>
      </c>
      <c r="D1467" s="411"/>
      <c r="E1467" s="411"/>
      <c r="F1467" s="411"/>
      <c r="G1467" s="411"/>
      <c r="H1467" s="411"/>
      <c r="I1467" s="411"/>
    </row>
    <row r="1468" spans="1:9" ht="14.4" customHeight="1" x14ac:dyDescent="0.3">
      <c r="A1468" s="12"/>
      <c r="B1468" s="36" t="s">
        <v>8</v>
      </c>
      <c r="C1468" s="411" t="s">
        <v>952</v>
      </c>
      <c r="D1468" s="411"/>
      <c r="E1468" s="411"/>
      <c r="F1468" s="411"/>
      <c r="G1468" s="411"/>
      <c r="H1468" s="411"/>
      <c r="I1468" s="411"/>
    </row>
    <row r="1469" spans="1:9" ht="14.4" customHeight="1" x14ac:dyDescent="0.3">
      <c r="A1469" s="12"/>
      <c r="B1469" s="36" t="s">
        <v>8</v>
      </c>
      <c r="C1469" s="411" t="s">
        <v>953</v>
      </c>
      <c r="D1469" s="411"/>
      <c r="E1469" s="411"/>
      <c r="F1469" s="411"/>
      <c r="G1469" s="411"/>
      <c r="H1469" s="411"/>
      <c r="I1469" s="411"/>
    </row>
    <row r="1470" spans="1:9" ht="16.2" customHeight="1" x14ac:dyDescent="0.3">
      <c r="A1470" s="12"/>
      <c r="B1470" s="36" t="s">
        <v>8</v>
      </c>
      <c r="C1470" s="412" t="s">
        <v>954</v>
      </c>
      <c r="D1470" s="412"/>
      <c r="E1470" s="412"/>
      <c r="F1470" s="412"/>
      <c r="G1470" s="412"/>
      <c r="H1470" s="412"/>
      <c r="I1470" s="412"/>
    </row>
    <row r="1471" spans="1:9" ht="15.6" customHeight="1" x14ac:dyDescent="0.3">
      <c r="C1471" s="380"/>
      <c r="D1471" s="381"/>
      <c r="E1471" s="381"/>
      <c r="F1471" s="381"/>
      <c r="G1471" s="371" t="s">
        <v>955</v>
      </c>
      <c r="H1471" s="372"/>
      <c r="I1471" s="372"/>
    </row>
    <row r="1472" spans="1:9" ht="28.5" customHeight="1" x14ac:dyDescent="0.3">
      <c r="C1472" s="382" t="s">
        <v>956</v>
      </c>
      <c r="D1472" s="383"/>
      <c r="E1472" s="383"/>
      <c r="F1472" s="383"/>
      <c r="G1472" s="379" t="str">
        <f>_xlfn.CONCAT(_xlfn.XLOOKUP("[S05_TotalFlightEmissions][1][TotalFlightEmissions]",Submission!$O:$O,Submission!$H:$N,""))</f>
        <v>230635</v>
      </c>
      <c r="H1472" s="379"/>
      <c r="I1472" s="379"/>
    </row>
    <row r="1473" spans="1:10" ht="28.95" customHeight="1" x14ac:dyDescent="0.3">
      <c r="C1473" s="382" t="s">
        <v>957</v>
      </c>
      <c r="D1473" s="382"/>
      <c r="E1473" s="382"/>
      <c r="F1473" s="382"/>
      <c r="G1473" s="379" t="str">
        <f>_xlfn.CONCAT(_xlfn.XLOOKUP("[S05_TotalFlightEmissions][2][TotalFlightEmissions]",Submission!$O:$O,Submission!$H:$N,""))</f>
        <v>41</v>
      </c>
      <c r="H1473" s="379"/>
      <c r="I1473" s="379"/>
    </row>
    <row r="1474" spans="1:10" ht="28.95" customHeight="1" x14ac:dyDescent="0.3">
      <c r="C1474" s="382" t="s">
        <v>958</v>
      </c>
      <c r="D1474" s="382"/>
      <c r="E1474" s="382"/>
      <c r="F1474" s="382"/>
      <c r="G1474" s="379" t="str">
        <f>_xlfn.CONCAT(_xlfn.XLOOKUP("[S05_TotalFlightEmissions][3][TotalFlightEmissions]",Submission!$O:$O,Submission!$H:$N,""))</f>
        <v>306632</v>
      </c>
      <c r="H1474" s="379"/>
      <c r="I1474" s="379"/>
    </row>
    <row r="1475" spans="1:10" ht="28.95" customHeight="1" x14ac:dyDescent="0.3">
      <c r="C1475" s="382" t="s">
        <v>959</v>
      </c>
      <c r="D1475" s="382"/>
      <c r="E1475" s="382"/>
      <c r="F1475" s="382"/>
      <c r="G1475" s="379" t="str">
        <f>_xlfn.CONCAT(_xlfn.XLOOKUP("[S05_TotalFlightEmissions][4][TotalFlightEmissions]",Submission!$O:$O,Submission!$H:$N,""))</f>
        <v>47793</v>
      </c>
      <c r="H1475" s="379"/>
      <c r="I1475" s="379"/>
    </row>
    <row r="1476" spans="1:10" ht="28.95" customHeight="1" x14ac:dyDescent="0.3">
      <c r="C1476" s="382" t="s">
        <v>960</v>
      </c>
      <c r="D1476" s="382"/>
      <c r="E1476" s="382"/>
      <c r="F1476" s="382"/>
      <c r="G1476" s="379" t="str">
        <f>_xlfn.CONCAT(_xlfn.XLOOKUP("[S05_TotalFlightEmissions][5][TotalFlightEmissions]",Submission!$O:$O,Submission!$H:$N,""))</f>
        <v>2186</v>
      </c>
      <c r="H1476" s="379"/>
      <c r="I1476" s="379"/>
    </row>
    <row r="1477" spans="1:10" ht="17.399999999999999" customHeight="1" x14ac:dyDescent="0.3">
      <c r="C1477" s="37"/>
      <c r="D1477" s="37"/>
      <c r="E1477" s="37"/>
      <c r="F1477" s="37"/>
      <c r="G1477" s="11"/>
      <c r="H1477" s="11"/>
      <c r="I1477" s="11"/>
    </row>
    <row r="1478" spans="1:10" ht="28.2" customHeight="1" x14ac:dyDescent="0.3">
      <c r="C1478" s="409" t="s">
        <v>961</v>
      </c>
      <c r="D1478" s="409"/>
      <c r="E1478" s="409"/>
      <c r="F1478" s="409"/>
      <c r="G1478" s="409"/>
      <c r="H1478" s="409"/>
      <c r="I1478" s="409"/>
    </row>
    <row r="1479" spans="1:10" ht="15.9" customHeight="1" x14ac:dyDescent="0.3">
      <c r="C1479" s="403" t="s">
        <v>962</v>
      </c>
      <c r="D1479" s="404"/>
      <c r="E1479" s="404"/>
      <c r="F1479" s="404"/>
      <c r="G1479" s="405" t="str">
        <f>_xlfn.CONCAT(_xlfn.XLOOKUP("[CountOperatorsThirdCountries][0][CountOperatorsThirdCountries]",Submission!$O:$O,Submission!$H:$N,""))</f>
        <v>0</v>
      </c>
      <c r="H1479" s="405"/>
      <c r="I1479" s="405"/>
    </row>
    <row r="1480" spans="1:10" ht="15.9" customHeight="1" x14ac:dyDescent="0.3">
      <c r="C1480" s="37"/>
      <c r="D1480" s="11"/>
      <c r="E1480" s="11"/>
      <c r="F1480" s="11"/>
      <c r="G1480" s="11"/>
      <c r="H1480" s="11"/>
      <c r="I1480" s="11"/>
      <c r="J1480" s="11"/>
    </row>
    <row r="1481" spans="1:10" ht="15.9" customHeight="1" x14ac:dyDescent="0.3">
      <c r="A1481" s="12" t="s">
        <v>326</v>
      </c>
      <c r="B1481" s="275" t="s">
        <v>963</v>
      </c>
      <c r="C1481" s="276"/>
      <c r="D1481" s="276"/>
      <c r="E1481" s="276"/>
      <c r="F1481" s="276"/>
      <c r="G1481" s="276"/>
      <c r="H1481" s="276"/>
      <c r="I1481" s="276"/>
    </row>
    <row r="1482" spans="1:10" ht="15.9" customHeight="1" x14ac:dyDescent="0.3">
      <c r="B1482" s="15" t="s">
        <v>8</v>
      </c>
      <c r="C1482" s="339" t="s">
        <v>964</v>
      </c>
      <c r="D1482" s="360"/>
      <c r="E1482" s="360"/>
      <c r="F1482" s="360"/>
      <c r="G1482" s="360"/>
      <c r="H1482" s="360"/>
      <c r="I1482" s="360"/>
    </row>
    <row r="1483" spans="1:10" ht="15.9" customHeight="1" x14ac:dyDescent="0.3">
      <c r="B1483" s="15" t="s">
        <v>8</v>
      </c>
      <c r="C1483" s="339" t="s">
        <v>965</v>
      </c>
      <c r="D1483" s="360"/>
      <c r="E1483" s="360"/>
      <c r="F1483" s="360"/>
      <c r="G1483" s="360"/>
      <c r="H1483" s="360"/>
      <c r="I1483" s="360"/>
    </row>
    <row r="1484" spans="1:10" ht="16.5" customHeight="1" x14ac:dyDescent="0.3">
      <c r="B1484" s="15" t="s">
        <v>8</v>
      </c>
      <c r="C1484" s="339" t="s">
        <v>966</v>
      </c>
      <c r="D1484" s="360"/>
      <c r="E1484" s="360"/>
      <c r="F1484" s="360"/>
      <c r="G1484" s="360"/>
      <c r="H1484" s="360"/>
      <c r="I1484" s="360"/>
    </row>
    <row r="1485" spans="1:10" ht="42.6" customHeight="1" x14ac:dyDescent="0.3">
      <c r="C1485" s="371" t="s">
        <v>967</v>
      </c>
      <c r="D1485" s="371"/>
      <c r="E1485" s="371" t="s">
        <v>968</v>
      </c>
      <c r="F1485" s="372"/>
      <c r="G1485" s="371" t="s">
        <v>969</v>
      </c>
      <c r="H1485" s="371"/>
      <c r="I1485" s="371"/>
    </row>
    <row r="1486" spans="1:10" ht="15.9" customHeight="1" x14ac:dyDescent="0.3">
      <c r="C1486" s="406" t="str">
        <f>_xlfn.CONCAT(_xlfn.XLOOKUP("[CountOperatorsUsingBiofuels][0][CountOperatorsUsingBiofuels]",Submission!$O:$O,Submission!$H:$N,""))</f>
        <v>0</v>
      </c>
      <c r="D1486" s="406"/>
      <c r="E1486" s="407" t="str">
        <f>_xlfn.CONCAT(_xlfn.XLOOKUP("[EmissionsBiofuelsSustainabilitySatisfied][0][EmissionsBiofuelsSustainabilitySatisfied]",Submission!$O:$O,Submission!$H:$N,""))</f>
        <v>0</v>
      </c>
      <c r="F1486" s="407"/>
      <c r="G1486" s="408" t="str">
        <f>_xlfn.CONCAT(_xlfn.XLOOKUP("[EmissionsBiofuelsSustainabilityNotSatisfied][0][EmissionsBiofuelsSustainabilityNotSatisfied]",Submission!$O:$O,Submission!$H:$N,""))</f>
        <v>0</v>
      </c>
      <c r="H1486" s="408"/>
      <c r="I1486" s="408"/>
    </row>
    <row r="1487" spans="1:10" ht="15.9" customHeight="1" x14ac:dyDescent="0.3">
      <c r="D1487" s="11"/>
      <c r="E1487" s="11"/>
      <c r="F1487" s="11"/>
      <c r="G1487" s="11"/>
    </row>
    <row r="1488" spans="1:10" ht="17.25" customHeight="1" x14ac:dyDescent="0.3">
      <c r="A1488" s="12" t="s">
        <v>332</v>
      </c>
      <c r="B1488" s="275" t="s">
        <v>963</v>
      </c>
      <c r="C1488" s="276"/>
      <c r="D1488" s="276"/>
      <c r="E1488" s="276"/>
      <c r="F1488" s="276"/>
      <c r="G1488" s="276"/>
      <c r="H1488" s="276"/>
      <c r="I1488" s="276"/>
    </row>
    <row r="1489" spans="1:9" ht="16.5" customHeight="1" x14ac:dyDescent="0.3">
      <c r="A1489" s="12"/>
      <c r="B1489" s="15" t="s">
        <v>8</v>
      </c>
      <c r="C1489" s="339" t="s">
        <v>970</v>
      </c>
      <c r="D1489" s="360"/>
      <c r="E1489" s="360"/>
      <c r="F1489" s="360"/>
      <c r="G1489" s="360"/>
      <c r="H1489" s="360"/>
      <c r="I1489" s="360"/>
    </row>
    <row r="1490" spans="1:9" ht="30" customHeight="1" x14ac:dyDescent="0.3">
      <c r="A1490" s="12"/>
      <c r="B1490" s="15" t="s">
        <v>8</v>
      </c>
      <c r="C1490" s="339" t="s">
        <v>971</v>
      </c>
      <c r="D1490" s="360"/>
      <c r="E1490" s="360"/>
      <c r="F1490" s="360"/>
      <c r="G1490" s="360"/>
      <c r="H1490" s="360"/>
      <c r="I1490" s="360"/>
    </row>
    <row r="1491" spans="1:9" ht="15" customHeight="1" x14ac:dyDescent="0.3">
      <c r="A1491" s="12"/>
      <c r="B1491" s="15" t="s">
        <v>8</v>
      </c>
      <c r="C1491" s="339" t="s">
        <v>972</v>
      </c>
      <c r="D1491" s="360"/>
      <c r="E1491" s="360"/>
      <c r="F1491" s="360"/>
      <c r="G1491" s="360"/>
      <c r="H1491" s="360"/>
      <c r="I1491" s="360"/>
    </row>
    <row r="1492" spans="1:9" ht="16.5" customHeight="1" x14ac:dyDescent="0.3">
      <c r="A1492" s="12"/>
      <c r="B1492" s="15" t="s">
        <v>8</v>
      </c>
      <c r="C1492" s="327" t="s">
        <v>973</v>
      </c>
      <c r="D1492" s="362"/>
      <c r="E1492" s="362"/>
      <c r="F1492" s="362"/>
      <c r="G1492" s="362"/>
      <c r="H1492" s="362"/>
      <c r="I1492" s="362"/>
    </row>
    <row r="1493" spans="1:9" s="58" customFormat="1" ht="32.25" customHeight="1" x14ac:dyDescent="0.3">
      <c r="A1493" s="75"/>
      <c r="C1493" s="269" t="s">
        <v>974</v>
      </c>
      <c r="D1493" s="270"/>
      <c r="E1493" s="270"/>
      <c r="F1493" s="270"/>
      <c r="G1493" s="271"/>
      <c r="H1493" s="351" t="str">
        <f>_xlfn.CONCAT(_xlfn.XLOOKUP("[S05_SmallEmittersTool][1][CountSmallEmitters]",Submission!$O:$O,Submission!$H:$N,""))</f>
        <v>0</v>
      </c>
      <c r="I1493" s="361"/>
    </row>
    <row r="1494" spans="1:9" s="58" customFormat="1" ht="32.25" customHeight="1" x14ac:dyDescent="0.3">
      <c r="A1494" s="75"/>
      <c r="C1494" s="269" t="s">
        <v>975</v>
      </c>
      <c r="D1494" s="270"/>
      <c r="E1494" s="270"/>
      <c r="F1494" s="270"/>
      <c r="G1494" s="271"/>
      <c r="H1494" s="351" t="str">
        <f>_xlfn.CONCAT(_xlfn.XLOOKUP("[S05_SmallEmittersTool][2][CountSmallEmitters]",Submission!$O:$O,Submission!$H:$N,""))</f>
        <v>0</v>
      </c>
      <c r="I1494" s="361"/>
    </row>
    <row r="1495" spans="1:9" s="58" customFormat="1" ht="32.25" customHeight="1" x14ac:dyDescent="0.3">
      <c r="A1495" s="75"/>
      <c r="C1495" s="269" t="s">
        <v>976</v>
      </c>
      <c r="D1495" s="270"/>
      <c r="E1495" s="270"/>
      <c r="F1495" s="270"/>
      <c r="G1495" s="271"/>
      <c r="H1495" s="351" t="str">
        <f>_xlfn.CONCAT(_xlfn.XLOOKUP("[S05_SmallEmittersTool][3][CountSmallEmitters]",Submission!$O:$O,Submission!$H:$N,""))</f>
        <v>0</v>
      </c>
      <c r="I1495" s="361"/>
    </row>
    <row r="1496" spans="1:9" s="58" customFormat="1" ht="32.25" customHeight="1" x14ac:dyDescent="0.3">
      <c r="A1496" s="75"/>
      <c r="C1496" s="269" t="s">
        <v>977</v>
      </c>
      <c r="D1496" s="270"/>
      <c r="E1496" s="270"/>
      <c r="F1496" s="270"/>
      <c r="G1496" s="271"/>
      <c r="H1496" s="351" t="str">
        <f>_xlfn.CONCAT(_xlfn.XLOOKUP("[S05_SmallEmittersTool][4][CountSmallEmitters]",Submission!$O:$O,Submission!$H:$N,""))</f>
        <v>0</v>
      </c>
      <c r="I1496" s="361"/>
    </row>
    <row r="1497" spans="1:9" ht="15.9" customHeight="1" x14ac:dyDescent="0.3">
      <c r="D1497" s="11"/>
      <c r="E1497" s="11"/>
      <c r="F1497" s="11"/>
      <c r="G1497" s="11"/>
    </row>
    <row r="1498" spans="1:9" ht="32.1" customHeight="1" x14ac:dyDescent="0.3">
      <c r="A1498" s="12" t="s">
        <v>337</v>
      </c>
      <c r="B1498" s="275" t="s">
        <v>978</v>
      </c>
      <c r="C1498" s="276"/>
      <c r="D1498" s="276"/>
      <c r="E1498" s="276"/>
      <c r="F1498" s="276"/>
      <c r="G1498" s="276"/>
      <c r="H1498" s="276"/>
      <c r="I1498" s="276"/>
    </row>
    <row r="1499" spans="1:9" ht="15.9" customHeight="1" x14ac:dyDescent="0.3">
      <c r="A1499" s="13"/>
      <c r="C1499" s="314" t="s">
        <v>979</v>
      </c>
      <c r="D1499" s="315"/>
      <c r="E1499" s="315"/>
      <c r="F1499" s="316"/>
      <c r="G1499" s="314" t="s">
        <v>980</v>
      </c>
      <c r="H1499" s="315"/>
      <c r="I1499" s="316"/>
    </row>
    <row r="1500" spans="1:9" ht="15.9" customHeight="1" x14ac:dyDescent="0.3">
      <c r="A1500" s="13"/>
      <c r="C1500" s="351" t="str">
        <f>_xlfn.CONCAT(_xlfn.XLOOKUP("[AircraftImprovementReportRequired][0][AircraftImprovementReportRequired]",Submission!$O:$O,Submission!$H:$N,""))</f>
        <v/>
      </c>
      <c r="D1500" s="363"/>
      <c r="E1500" s="363"/>
      <c r="F1500" s="361"/>
      <c r="G1500" s="351" t="str">
        <f>_xlfn.CONCAT(_xlfn.XLOOKUP("[AircraftImprovementReportSubmitted][0][AircraftImprovementReportSubmitted]",Submission!$O:$O,Submission!$H:$N,""))</f>
        <v/>
      </c>
      <c r="H1500" s="363"/>
      <c r="I1500" s="361"/>
    </row>
    <row r="1501" spans="1:9" ht="15.9" customHeight="1" x14ac:dyDescent="0.3">
      <c r="A1501" s="13"/>
      <c r="C1501" s="29"/>
      <c r="D1501" s="29"/>
    </row>
    <row r="1502" spans="1:9" ht="15.9" customHeight="1" x14ac:dyDescent="0.3">
      <c r="A1502" s="12" t="s">
        <v>343</v>
      </c>
      <c r="B1502" s="392" t="s">
        <v>981</v>
      </c>
      <c r="C1502" s="374"/>
      <c r="D1502" s="374"/>
      <c r="E1502" s="374"/>
      <c r="F1502" s="374"/>
      <c r="G1502" s="374"/>
      <c r="H1502" s="374"/>
      <c r="I1502" s="374"/>
    </row>
    <row r="1503" spans="1:9" ht="32.1" customHeight="1" x14ac:dyDescent="0.3">
      <c r="A1503" s="13"/>
      <c r="B1503" s="338" t="s">
        <v>937</v>
      </c>
      <c r="C1503" s="308"/>
      <c r="D1503" s="308"/>
      <c r="E1503" s="308"/>
      <c r="F1503" s="308"/>
      <c r="G1503" s="308"/>
      <c r="H1503" s="345"/>
      <c r="I1503" s="41" t="str">
        <f>_xlfn.CONCAT(_xlfn.XLOOKUP("[AircraftSimplifiedMonitoringArt13][0][AircraftSimplifiedMonitoringArt13]",Submission!$O:$O,Submission!$H:$N,""))</f>
        <v>No</v>
      </c>
    </row>
    <row r="1504" spans="1:9" ht="15.9" customHeight="1" x14ac:dyDescent="0.3">
      <c r="A1504" s="12"/>
      <c r="B1504" s="275" t="s">
        <v>982</v>
      </c>
      <c r="C1504" s="276"/>
      <c r="D1504" s="276"/>
      <c r="E1504" s="276"/>
      <c r="F1504" s="276"/>
      <c r="G1504" s="276"/>
      <c r="H1504" s="276"/>
      <c r="I1504" s="276"/>
    </row>
    <row r="1505" spans="1:9" ht="15.9" customHeight="1" x14ac:dyDescent="0.3">
      <c r="A1505" s="13"/>
      <c r="C1505" s="357" t="s">
        <v>939</v>
      </c>
      <c r="D1505" s="357"/>
      <c r="E1505" s="357"/>
      <c r="F1505" s="357"/>
      <c r="G1505" s="357" t="s">
        <v>940</v>
      </c>
      <c r="H1505" s="357"/>
      <c r="I1505" s="357"/>
    </row>
    <row r="1506" spans="1:9" ht="26.4" customHeight="1" x14ac:dyDescent="0.3">
      <c r="A1506" s="13"/>
      <c r="C1506" s="274" t="str">
        <f>_xlfn.CONCAT(_xlfn.XLOOKUP("[S05_AircraftSimplifiedMonitoringArt13Detail][1][AircraftRiskAssessmentType]",Submission!$O:$O,Submission!$H:$N,""))</f>
        <v/>
      </c>
      <c r="D1506" s="353"/>
      <c r="E1506" s="353"/>
      <c r="F1506" s="260"/>
      <c r="G1506" s="354" t="str">
        <f>_xlfn.CONCAT(_xlfn.XLOOKUP("[S05_AircraftSimplifiedMonitoringArt13Detail][1][AircraftGeneralRiskAssessmentPrinciples]",Submission!$O:$O,Submission!$H:$N,""))</f>
        <v/>
      </c>
      <c r="H1506" s="354"/>
      <c r="I1506" s="354"/>
    </row>
    <row r="1507" spans="1:9" ht="26.4" customHeight="1" x14ac:dyDescent="0.3">
      <c r="A1507" s="13"/>
      <c r="C1507" s="274" t="str">
        <f>_xlfn.CONCAT(_xlfn.XLOOKUP("[S05_AircraftSimplifiedMonitoringArt13Detail][2][AircraftRiskAssessmentType]",Submission!$O:$O,Submission!$H:$N,""))</f>
        <v/>
      </c>
      <c r="D1507" s="353"/>
      <c r="E1507" s="353"/>
      <c r="F1507" s="260"/>
      <c r="G1507" s="354" t="str">
        <f>_xlfn.CONCAT(_xlfn.XLOOKUP("[S05_AircraftSimplifiedMonitoringArt13Detail][2][AircraftGeneralRiskAssessmentPrinciples]",Submission!$O:$O,Submission!$H:$N,""))</f>
        <v/>
      </c>
      <c r="H1507" s="354"/>
      <c r="I1507" s="354"/>
    </row>
    <row r="1508" spans="1:9" ht="26.4" hidden="1" customHeight="1" outlineLevel="1" x14ac:dyDescent="0.3">
      <c r="A1508" s="13"/>
      <c r="C1508" s="274" t="str">
        <f>_xlfn.CONCAT(_xlfn.XLOOKUP("[S05_AircraftSimplifiedMonitoringArt13Detail][3][AircraftRiskAssessmentType]",Submission!$O:$O,Submission!$H:$N,""))</f>
        <v/>
      </c>
      <c r="D1508" s="353"/>
      <c r="E1508" s="353"/>
      <c r="F1508" s="260"/>
      <c r="G1508" s="354" t="str">
        <f>_xlfn.CONCAT(_xlfn.XLOOKUP("[S05_AircraftSimplifiedMonitoringArt13Detail][3][AircraftGeneralRiskAssessmentPrinciples]",Submission!$O:$O,Submission!$H:$N,""))</f>
        <v/>
      </c>
      <c r="H1508" s="354"/>
      <c r="I1508" s="354"/>
    </row>
    <row r="1509" spans="1:9" ht="26.4" hidden="1" customHeight="1" outlineLevel="1" x14ac:dyDescent="0.3">
      <c r="A1509" s="13"/>
      <c r="C1509" s="274" t="str">
        <f>_xlfn.CONCAT(_xlfn.XLOOKUP("[S05_AircraftSimplifiedMonitoringArt13Detail][4][AircraftRiskAssessmentType]",Submission!$O:$O,Submission!$H:$N,""))</f>
        <v/>
      </c>
      <c r="D1509" s="353"/>
      <c r="E1509" s="353"/>
      <c r="F1509" s="260"/>
      <c r="G1509" s="354" t="str">
        <f>_xlfn.CONCAT(_xlfn.XLOOKUP("[S05_AircraftSimplifiedMonitoringArt13Detail][4][AircraftGeneralRiskAssessmentPrinciples]",Submission!$O:$O,Submission!$H:$N,""))</f>
        <v/>
      </c>
      <c r="H1509" s="354"/>
      <c r="I1509" s="354"/>
    </row>
    <row r="1510" spans="1:9" ht="26.4" hidden="1" customHeight="1" outlineLevel="1" x14ac:dyDescent="0.3">
      <c r="A1510" s="13"/>
      <c r="C1510" s="274" t="str">
        <f>_xlfn.CONCAT(_xlfn.XLOOKUP("[S05_AircraftSimplifiedMonitoringArt13Detail][5][AircraftRiskAssessmentType]",Submission!$O:$O,Submission!$H:$N,""))</f>
        <v/>
      </c>
      <c r="D1510" s="353"/>
      <c r="E1510" s="353"/>
      <c r="F1510" s="260"/>
      <c r="G1510" s="354" t="str">
        <f>_xlfn.CONCAT(_xlfn.XLOOKUP("[S05_AircraftSimplifiedMonitoringArt13Detail][5][AircraftGeneralRiskAssessmentPrinciples]",Submission!$O:$O,Submission!$H:$N,""))</f>
        <v/>
      </c>
      <c r="H1510" s="354"/>
      <c r="I1510" s="354"/>
    </row>
    <row r="1511" spans="1:9" ht="15.9" customHeight="1" collapsed="1" x14ac:dyDescent="0.3">
      <c r="C1511" s="355" t="s">
        <v>941</v>
      </c>
      <c r="D1511" s="356"/>
      <c r="E1511" s="356"/>
      <c r="F1511" s="356"/>
      <c r="G1511" s="356"/>
      <c r="H1511" s="356"/>
      <c r="I1511" s="356"/>
    </row>
  </sheetData>
  <mergeCells count="1737">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52" t="s">
        <v>983</v>
      </c>
      <c r="C3" s="452"/>
      <c r="D3" s="452"/>
      <c r="E3" s="452"/>
      <c r="F3" s="452"/>
      <c r="G3" s="452"/>
      <c r="H3" s="452"/>
      <c r="I3" s="452"/>
    </row>
    <row r="4" spans="1:9" s="7" customFormat="1" ht="18.899999999999999" customHeight="1" x14ac:dyDescent="0.3">
      <c r="A4" s="115" t="s">
        <v>984</v>
      </c>
      <c r="B4" s="453" t="s">
        <v>145</v>
      </c>
      <c r="C4" s="453"/>
      <c r="D4" s="453"/>
      <c r="E4" s="453"/>
      <c r="F4" s="453"/>
      <c r="G4" s="453"/>
      <c r="H4" s="453"/>
      <c r="I4" s="454"/>
    </row>
    <row r="5" spans="1:9" ht="34.200000000000003" customHeight="1" x14ac:dyDescent="0.3">
      <c r="A5" s="12" t="s">
        <v>350</v>
      </c>
      <c r="B5" s="312" t="s">
        <v>985</v>
      </c>
      <c r="C5" s="313"/>
      <c r="D5" s="313"/>
      <c r="E5" s="313"/>
      <c r="F5" s="313"/>
      <c r="G5" s="313"/>
      <c r="H5" s="313"/>
      <c r="I5" s="313"/>
    </row>
    <row r="6" spans="1:9" ht="22.95" customHeight="1" x14ac:dyDescent="0.3">
      <c r="C6" s="380"/>
      <c r="D6" s="380"/>
      <c r="E6" s="380"/>
      <c r="F6" s="422" t="s">
        <v>986</v>
      </c>
      <c r="G6" s="423"/>
      <c r="H6" s="455" t="s">
        <v>987</v>
      </c>
      <c r="I6" s="455"/>
    </row>
    <row r="7" spans="1:9" ht="29.4" customHeight="1" x14ac:dyDescent="0.3">
      <c r="C7" s="380"/>
      <c r="D7" s="380"/>
      <c r="E7" s="380"/>
      <c r="F7" s="46" t="s">
        <v>726</v>
      </c>
      <c r="G7" s="46" t="s">
        <v>988</v>
      </c>
      <c r="H7" s="116" t="s">
        <v>726</v>
      </c>
      <c r="I7" s="117" t="s">
        <v>989</v>
      </c>
    </row>
    <row r="8" spans="1:9" s="58" customFormat="1" ht="33.6" customHeight="1" x14ac:dyDescent="0.3">
      <c r="A8" s="75"/>
      <c r="C8" s="448" t="s">
        <v>990</v>
      </c>
      <c r="D8" s="449"/>
      <c r="E8" s="450"/>
      <c r="F8" s="105" t="str">
        <f>_xlfn.CONCAT(_xlfn.XLOOKUP("[S06_TotalVerifiers][1][CountVerifiersInstallations]",Submission!$O:$O,Submission!$H:$N,""))</f>
        <v>3</v>
      </c>
      <c r="G8" s="119"/>
      <c r="H8" s="105" t="str">
        <f>_xlfn.CONCAT(_xlfn.XLOOKUP("[S06_TotalVerifiers][1][CountVerifiersAviation]",Submission!$O:$O,Submission!$H:$N,""))</f>
        <v>1</v>
      </c>
      <c r="I8" s="119"/>
    </row>
    <row r="9" spans="1:9" s="58" customFormat="1" ht="33.6" customHeight="1" x14ac:dyDescent="0.3">
      <c r="A9" s="75"/>
      <c r="C9" s="448" t="s">
        <v>991</v>
      </c>
      <c r="D9" s="449"/>
      <c r="E9" s="450"/>
      <c r="F9" s="105" t="str">
        <f>_xlfn.CONCAT(_xlfn.XLOOKUP("[S06_TotalVerifiers][2][CountVerifiersInstallations]",Submission!$O:$O,Submission!$H:$N,""))</f>
        <v/>
      </c>
      <c r="G9" s="119"/>
      <c r="H9" s="105" t="str">
        <f>_xlfn.CONCAT(_xlfn.XLOOKUP("[S06_TotalVerifiers][2][CountVerifiersAviation]",Submission!$O:$O,Submission!$H:$N,""))</f>
        <v/>
      </c>
      <c r="I9" s="119"/>
    </row>
    <row r="10" spans="1:9" s="58" customFormat="1" ht="33.6" customHeight="1" x14ac:dyDescent="0.3">
      <c r="A10" s="75"/>
      <c r="C10" s="448" t="s">
        <v>992</v>
      </c>
      <c r="D10" s="449"/>
      <c r="E10" s="450"/>
      <c r="F10" s="105" t="str">
        <f>_xlfn.CONCAT(_xlfn.XLOOKUP("[S06_TotalVerifiers][3][CountVerifiersInstallations]",Submission!$O:$O,Submission!$H:$N,""))</f>
        <v/>
      </c>
      <c r="G10" s="72" t="str">
        <f>_xlfn.CONCAT(_xlfn.XLOOKUP("[S06_TotalVerifiers][3][MSVerifiersInstallations]",Submission!$O:$O,Submission!$H:$N,""))</f>
        <v/>
      </c>
      <c r="H10" s="105" t="str">
        <f>_xlfn.CONCAT(_xlfn.XLOOKUP("[S06_TotalVerifiers][3][CountVerifiersAviation]",Submission!$O:$O,Submission!$H:$N,""))</f>
        <v/>
      </c>
      <c r="I10" s="47" t="str">
        <f>_xlfn.CONCAT(_xlfn.XLOOKUP("[S06_TotalVerifiers][3][MSVerifiersAviation]",Submission!$O:$O,Submission!$H:$N,""))</f>
        <v/>
      </c>
    </row>
    <row r="11" spans="1:9" s="58" customFormat="1" ht="33.6" customHeight="1" x14ac:dyDescent="0.3">
      <c r="A11" s="75"/>
      <c r="C11" s="451" t="s">
        <v>993</v>
      </c>
      <c r="D11" s="451"/>
      <c r="E11" s="451"/>
      <c r="F11" s="105" t="str">
        <f>_xlfn.CONCAT(_xlfn.XLOOKUP("[S06_TotalVerifiers][4][CountVerifiersInstallations]",Submission!$O:$O,Submission!$H:$N,""))</f>
        <v/>
      </c>
      <c r="G11" s="72"/>
      <c r="H11" s="105" t="str">
        <f>_xlfn.CONCAT(_xlfn.XLOOKUP("[S06_TotalVerifiers][4][CountVerifiersAviation]",Submission!$O:$O,Submission!$H:$N,""))</f>
        <v/>
      </c>
      <c r="I11" s="47" t="str">
        <f>_xlfn.CONCAT(_xlfn.XLOOKUP("[S06_TotalVerifiers][4][MSVerifiersAviation]",Submission!$O:$O,Submission!$H:$N,""))</f>
        <v/>
      </c>
    </row>
    <row r="12" spans="1:9" ht="15.9" customHeight="1" x14ac:dyDescent="0.3">
      <c r="B12" s="262" t="s">
        <v>994</v>
      </c>
      <c r="C12" s="262"/>
      <c r="D12" s="262"/>
      <c r="E12" s="262"/>
      <c r="F12" s="262"/>
      <c r="G12" s="262"/>
      <c r="H12" s="262"/>
      <c r="I12" s="262"/>
    </row>
    <row r="13" spans="1:9" ht="15.9" customHeight="1" x14ac:dyDescent="0.3">
      <c r="B13" s="262" t="s">
        <v>995</v>
      </c>
      <c r="C13" s="262"/>
      <c r="D13" s="262"/>
      <c r="E13" s="262"/>
      <c r="F13" s="262"/>
      <c r="G13" s="262"/>
      <c r="H13" s="262"/>
      <c r="I13" s="262"/>
    </row>
    <row r="14" spans="1:9" ht="15.9" customHeight="1" x14ac:dyDescent="0.3">
      <c r="B14" s="20"/>
      <c r="C14" s="20"/>
      <c r="D14" s="20"/>
      <c r="E14" s="20"/>
      <c r="F14" s="20"/>
      <c r="G14" s="20"/>
      <c r="H14" s="20"/>
      <c r="I14" s="20"/>
    </row>
    <row r="15" spans="1:9" ht="49.95" customHeight="1" x14ac:dyDescent="0.3">
      <c r="B15" s="275" t="s">
        <v>996</v>
      </c>
      <c r="C15" s="275"/>
      <c r="D15" s="275"/>
      <c r="E15" s="275"/>
      <c r="F15" s="275"/>
      <c r="G15" s="275"/>
      <c r="H15" s="275"/>
      <c r="I15" s="275"/>
    </row>
    <row r="16" spans="1:9" ht="39.75" customHeight="1" x14ac:dyDescent="0.3">
      <c r="B16" s="20"/>
      <c r="C16" s="314" t="s">
        <v>997</v>
      </c>
      <c r="D16" s="333"/>
      <c r="E16" s="333"/>
      <c r="F16" s="333"/>
      <c r="G16" s="334"/>
      <c r="H16" s="45" t="s">
        <v>998</v>
      </c>
      <c r="I16" s="45" t="s">
        <v>999</v>
      </c>
    </row>
    <row r="17" spans="2:9" ht="27.6" customHeight="1" x14ac:dyDescent="0.3">
      <c r="B17" s="20"/>
      <c r="C17" s="419"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20"/>
      <c r="E17" s="420"/>
      <c r="F17" s="420"/>
      <c r="G17" s="421"/>
      <c r="H17" s="132" t="str">
        <f>_xlfn.CONCAT(_xlfn.XLOOKUP("[S06_AccredCertVerifiersAnnexI][1][NumberAccredited]",Submission!$O:$O,Submission!$H:$N,""))</f>
        <v>3</v>
      </c>
      <c r="I17" s="132" t="str">
        <f>_xlfn.CONCAT(_xlfn.XLOOKUP("[S06_AccredCertVerifiersAnnexI][1][NumberCertified]",Submission!$O:$O,Submission!$H:$N,""))</f>
        <v/>
      </c>
    </row>
    <row r="18" spans="2:9" ht="27.6" customHeight="1" x14ac:dyDescent="0.3">
      <c r="B18" s="20"/>
      <c r="C18" s="419" t="str">
        <f>_xlfn.CONCAT(_xlfn.XLOOKUP("[S06_AccredCertVerifiersAnnexI][2][AccredCertScope]",Submission!$O:$O,Submission!$H:$N,""))</f>
        <v>1b - Combustion of fuels in installations, without restrictions</v>
      </c>
      <c r="D18" s="420"/>
      <c r="E18" s="420"/>
      <c r="F18" s="420"/>
      <c r="G18" s="421"/>
      <c r="H18" s="132" t="str">
        <f>_xlfn.CONCAT(_xlfn.XLOOKUP("[S06_AccredCertVerifiersAnnexI][2][NumberAccredited]",Submission!$O:$O,Submission!$H:$N,""))</f>
        <v>3</v>
      </c>
      <c r="I18" s="132" t="str">
        <f>_xlfn.CONCAT(_xlfn.XLOOKUP("[S06_AccredCertVerifiersAnnexI][2][NumberCertified]",Submission!$O:$O,Submission!$H:$N,""))</f>
        <v/>
      </c>
    </row>
    <row r="19" spans="2:9" ht="27.6" customHeight="1" x14ac:dyDescent="0.3">
      <c r="B19" s="20"/>
      <c r="C19" s="419" t="str">
        <f>_xlfn.CONCAT(_xlfn.XLOOKUP("[S06_AccredCertVerifiersAnnexI][3][AccredCertScope]",Submission!$O:$O,Submission!$H:$N,""))</f>
        <v>2 - Refining of mineral oil</v>
      </c>
      <c r="D19" s="420"/>
      <c r="E19" s="420"/>
      <c r="F19" s="420"/>
      <c r="G19" s="421"/>
      <c r="H19" s="132" t="str">
        <f>_xlfn.CONCAT(_xlfn.XLOOKUP("[S06_AccredCertVerifiersAnnexI][3][NumberAccredited]",Submission!$O:$O,Submission!$H:$N,""))</f>
        <v>1</v>
      </c>
      <c r="I19" s="132" t="str">
        <f>_xlfn.CONCAT(_xlfn.XLOOKUP("[S06_AccredCertVerifiersAnnexI][3][NumberCertified]",Submission!$O:$O,Submission!$H:$N,""))</f>
        <v/>
      </c>
    </row>
    <row r="20" spans="2:9" ht="27.6" customHeight="1" x14ac:dyDescent="0.3">
      <c r="B20" s="20"/>
      <c r="C20" s="419" t="str">
        <f>_xlfn.CONCAT(_xlfn.XLOOKUP("[S06_AccredCertVerifiersAnnexI][4][AccredCertScope]",Submission!$O:$O,Submission!$H:$N,""))</f>
        <v xml:space="preserve">3 - Metal ore (including sulphide ore) roasting or sintering, including pelletisation </v>
      </c>
      <c r="D20" s="420"/>
      <c r="E20" s="420"/>
      <c r="F20" s="420"/>
      <c r="G20" s="421"/>
      <c r="H20" s="132" t="str">
        <f>_xlfn.CONCAT(_xlfn.XLOOKUP("[S06_AccredCertVerifiersAnnexI][4][NumberAccredited]",Submission!$O:$O,Submission!$H:$N,""))</f>
        <v>1</v>
      </c>
      <c r="I20" s="132" t="str">
        <f>_xlfn.CONCAT(_xlfn.XLOOKUP("[S06_AccredCertVerifiersAnnexI][4][NumberCertified]",Submission!$O:$O,Submission!$H:$N,""))</f>
        <v/>
      </c>
    </row>
    <row r="21" spans="2:9" ht="27.6" customHeight="1" x14ac:dyDescent="0.3">
      <c r="B21" s="20"/>
      <c r="C21" s="419" t="str">
        <f>_xlfn.CONCAT(_xlfn.XLOOKUP("[S06_AccredCertVerifiersAnnexI][5][AccredCertScope]",Submission!$O:$O,Submission!$H:$N,""))</f>
        <v>3 - Production of pig iron or steel (primary or secondary fusion) including continuous casting</v>
      </c>
      <c r="D21" s="420"/>
      <c r="E21" s="420"/>
      <c r="F21" s="420"/>
      <c r="G21" s="421"/>
      <c r="H21" s="132" t="str">
        <f>_xlfn.CONCAT(_xlfn.XLOOKUP("[S06_AccredCertVerifiersAnnexI][5][NumberAccredited]",Submission!$O:$O,Submission!$H:$N,""))</f>
        <v>2</v>
      </c>
      <c r="I21" s="132" t="str">
        <f>_xlfn.CONCAT(_xlfn.XLOOKUP("[S06_AccredCertVerifiersAnnexI][5][NumberCertified]",Submission!$O:$O,Submission!$H:$N,""))</f>
        <v/>
      </c>
    </row>
    <row r="22" spans="2:9" ht="27.6" customHeight="1" x14ac:dyDescent="0.3">
      <c r="B22" s="20"/>
      <c r="C22" s="419" t="str">
        <f>_xlfn.CONCAT(_xlfn.XLOOKUP("[S06_AccredCertVerifiersAnnexI][6][AccredCertScope]",Submission!$O:$O,Submission!$H:$N,""))</f>
        <v xml:space="preserve">4 - Production or processing of ferrous metals (including ferro-alloys) </v>
      </c>
      <c r="D22" s="420"/>
      <c r="E22" s="420"/>
      <c r="F22" s="420"/>
      <c r="G22" s="421"/>
      <c r="H22" s="132" t="str">
        <f>_xlfn.CONCAT(_xlfn.XLOOKUP("[S06_AccredCertVerifiersAnnexI][6][NumberAccredited]",Submission!$O:$O,Submission!$H:$N,""))</f>
        <v>2</v>
      </c>
      <c r="I22" s="132" t="str">
        <f>_xlfn.CONCAT(_xlfn.XLOOKUP("[S06_AccredCertVerifiersAnnexI][6][NumberCertified]",Submission!$O:$O,Submission!$H:$N,""))</f>
        <v/>
      </c>
    </row>
    <row r="23" spans="2:9" ht="27.6" customHeight="1" x14ac:dyDescent="0.3">
      <c r="B23" s="20"/>
      <c r="C23" s="419" t="str">
        <f>_xlfn.CONCAT(_xlfn.XLOOKUP("[S06_AccredCertVerifiersAnnexI][7][AccredCertScope]",Submission!$O:$O,Submission!$H:$N,""))</f>
        <v xml:space="preserve">6 - Production of cement clinker </v>
      </c>
      <c r="D23" s="420"/>
      <c r="E23" s="420"/>
      <c r="F23" s="420"/>
      <c r="G23" s="421"/>
      <c r="H23" s="132" t="str">
        <f>_xlfn.CONCAT(_xlfn.XLOOKUP("[S06_AccredCertVerifiersAnnexI][7][NumberAccredited]",Submission!$O:$O,Submission!$H:$N,""))</f>
        <v>3</v>
      </c>
      <c r="I23" s="132" t="str">
        <f>_xlfn.CONCAT(_xlfn.XLOOKUP("[S06_AccredCertVerifiersAnnexI][7][NumberCertified]",Submission!$O:$O,Submission!$H:$N,""))</f>
        <v/>
      </c>
    </row>
    <row r="24" spans="2:9" ht="27.6" customHeight="1" x14ac:dyDescent="0.3">
      <c r="B24" s="20"/>
      <c r="C24" s="419" t="str">
        <f>_xlfn.CONCAT(_xlfn.XLOOKUP("[S06_AccredCertVerifiersAnnexI][8][AccredCertScope]",Submission!$O:$O,Submission!$H:$N,""))</f>
        <v xml:space="preserve">6 - Production of lime or calcination of dolomite or magnesite </v>
      </c>
      <c r="D24" s="420"/>
      <c r="E24" s="420"/>
      <c r="F24" s="420"/>
      <c r="G24" s="421"/>
      <c r="H24" s="132" t="str">
        <f>_xlfn.CONCAT(_xlfn.XLOOKUP("[S06_AccredCertVerifiersAnnexI][8][NumberAccredited]",Submission!$O:$O,Submission!$H:$N,""))</f>
        <v>3</v>
      </c>
      <c r="I24" s="132" t="str">
        <f>_xlfn.CONCAT(_xlfn.XLOOKUP("[S06_AccredCertVerifiersAnnexI][8][NumberCertified]",Submission!$O:$O,Submission!$H:$N,""))</f>
        <v/>
      </c>
    </row>
    <row r="25" spans="2:9" ht="27.6" customHeight="1" x14ac:dyDescent="0.3">
      <c r="B25" s="20"/>
      <c r="C25" s="419" t="str">
        <f>_xlfn.CONCAT(_xlfn.XLOOKUP("[S06_AccredCertVerifiersAnnexI][9][AccredCertScope]",Submission!$O:$O,Submission!$H:$N,""))</f>
        <v xml:space="preserve">6 - Manufacture of glass including glass fibre </v>
      </c>
      <c r="D25" s="420"/>
      <c r="E25" s="420"/>
      <c r="F25" s="420"/>
      <c r="G25" s="421"/>
      <c r="H25" s="132" t="str">
        <f>_xlfn.CONCAT(_xlfn.XLOOKUP("[S06_AccredCertVerifiersAnnexI][9][NumberAccredited]",Submission!$O:$O,Submission!$H:$N,""))</f>
        <v>3</v>
      </c>
      <c r="I25" s="132" t="str">
        <f>_xlfn.CONCAT(_xlfn.XLOOKUP("[S06_AccredCertVerifiersAnnexI][9][NumberCertified]",Submission!$O:$O,Submission!$H:$N,""))</f>
        <v/>
      </c>
    </row>
    <row r="26" spans="2:9" ht="27.6" customHeight="1" x14ac:dyDescent="0.3">
      <c r="B26" s="20"/>
      <c r="C26" s="419" t="str">
        <f>_xlfn.CONCAT(_xlfn.XLOOKUP("[S06_AccredCertVerifiersAnnexI][10][AccredCertScope]",Submission!$O:$O,Submission!$H:$N,""))</f>
        <v xml:space="preserve">6 - Manufacture of ceramic products by firing </v>
      </c>
      <c r="D26" s="420"/>
      <c r="E26" s="420"/>
      <c r="F26" s="420"/>
      <c r="G26" s="421"/>
      <c r="H26" s="132" t="str">
        <f>_xlfn.CONCAT(_xlfn.XLOOKUP("[S06_AccredCertVerifiersAnnexI][10][NumberAccredited]",Submission!$O:$O,Submission!$H:$N,""))</f>
        <v>3</v>
      </c>
      <c r="I26" s="132" t="str">
        <f>_xlfn.CONCAT(_xlfn.XLOOKUP("[S06_AccredCertVerifiersAnnexI][10][NumberCertified]",Submission!$O:$O,Submission!$H:$N,""))</f>
        <v/>
      </c>
    </row>
    <row r="27" spans="2:9" ht="27.6" customHeight="1" x14ac:dyDescent="0.3">
      <c r="B27" s="20"/>
      <c r="C27" s="419" t="str">
        <f>_xlfn.CONCAT(_xlfn.XLOOKUP("[S06_AccredCertVerifiersAnnexI][11][AccredCertScope]",Submission!$O:$O,Submission!$H:$N,""))</f>
        <v xml:space="preserve">6 - Manufacture of mineral wool insulation material </v>
      </c>
      <c r="D27" s="420"/>
      <c r="E27" s="420"/>
      <c r="F27" s="420"/>
      <c r="G27" s="421"/>
      <c r="H27" s="132" t="str">
        <f>_xlfn.CONCAT(_xlfn.XLOOKUP("[S06_AccredCertVerifiersAnnexI][11][NumberAccredited]",Submission!$O:$O,Submission!$H:$N,""))</f>
        <v>3</v>
      </c>
      <c r="I27" s="132" t="str">
        <f>_xlfn.CONCAT(_xlfn.XLOOKUP("[S06_AccredCertVerifiersAnnexI][11][NumberCertified]",Submission!$O:$O,Submission!$H:$N,""))</f>
        <v/>
      </c>
    </row>
    <row r="28" spans="2:9" ht="27.6" customHeight="1" x14ac:dyDescent="0.3">
      <c r="B28" s="20"/>
      <c r="C28" s="419" t="str">
        <f>_xlfn.CONCAT(_xlfn.XLOOKUP("[S06_AccredCertVerifiersAnnexI][12][AccredCertScope]",Submission!$O:$O,Submission!$H:$N,""))</f>
        <v>6 - Drying or calcination of gypsum or production of plaster boards and other gypsum products</v>
      </c>
      <c r="D28" s="420"/>
      <c r="E28" s="420"/>
      <c r="F28" s="420"/>
      <c r="G28" s="421"/>
      <c r="H28" s="132" t="str">
        <f>_xlfn.CONCAT(_xlfn.XLOOKUP("[S06_AccredCertVerifiersAnnexI][12][NumberAccredited]",Submission!$O:$O,Submission!$H:$N,""))</f>
        <v>3</v>
      </c>
      <c r="I28" s="132" t="str">
        <f>_xlfn.CONCAT(_xlfn.XLOOKUP("[S06_AccredCertVerifiersAnnexI][12][NumberCertified]",Submission!$O:$O,Submission!$H:$N,""))</f>
        <v/>
      </c>
    </row>
    <row r="29" spans="2:9" ht="27.6" hidden="1" customHeight="1" outlineLevel="1" x14ac:dyDescent="0.3">
      <c r="B29" s="20"/>
      <c r="C29" s="419" t="str">
        <f>_xlfn.CONCAT(_xlfn.XLOOKUP("[S06_AccredCertVerifiersAnnexI][13][AccredCertScope]",Submission!$O:$O,Submission!$H:$N,""))</f>
        <v xml:space="preserve">7 - Production of pulp from timber or other fibrous materials </v>
      </c>
      <c r="D29" s="420"/>
      <c r="E29" s="420"/>
      <c r="F29" s="420"/>
      <c r="G29" s="421"/>
      <c r="H29" s="132" t="str">
        <f>_xlfn.CONCAT(_xlfn.XLOOKUP("[S06_AccredCertVerifiersAnnexI][13][NumberAccredited]",Submission!$O:$O,Submission!$H:$N,""))</f>
        <v>2</v>
      </c>
      <c r="I29" s="132" t="str">
        <f>_xlfn.CONCAT(_xlfn.XLOOKUP("[S06_AccredCertVerifiersAnnexI][13][NumberCertified]",Submission!$O:$O,Submission!$H:$N,""))</f>
        <v/>
      </c>
    </row>
    <row r="30" spans="2:9" ht="27.6" hidden="1" customHeight="1" outlineLevel="1" x14ac:dyDescent="0.3">
      <c r="B30" s="20"/>
      <c r="C30" s="419" t="str">
        <f>_xlfn.CONCAT(_xlfn.XLOOKUP("[S06_AccredCertVerifiersAnnexI][14][AccredCertScope]",Submission!$O:$O,Submission!$H:$N,""))</f>
        <v>7 - Production of paper or cardboard</v>
      </c>
      <c r="D30" s="420"/>
      <c r="E30" s="420"/>
      <c r="F30" s="420"/>
      <c r="G30" s="421"/>
      <c r="H30" s="132" t="str">
        <f>_xlfn.CONCAT(_xlfn.XLOOKUP("[S06_AccredCertVerifiersAnnexI][14][NumberAccredited]",Submission!$O:$O,Submission!$H:$N,""))</f>
        <v>2</v>
      </c>
      <c r="I30" s="132" t="str">
        <f>_xlfn.CONCAT(_xlfn.XLOOKUP("[S06_AccredCertVerifiersAnnexI][14][NumberCertified]",Submission!$O:$O,Submission!$H:$N,""))</f>
        <v/>
      </c>
    </row>
    <row r="31" spans="2:9" ht="27.6" hidden="1" customHeight="1" outlineLevel="1" x14ac:dyDescent="0.3">
      <c r="B31" s="20"/>
      <c r="C31" s="419" t="str">
        <f>_xlfn.CONCAT(_xlfn.XLOOKUP("[S06_AccredCertVerifiersAnnexI][15][AccredCertScope]",Submission!$O:$O,Submission!$H:$N,""))</f>
        <v xml:space="preserve">8 - Production of ammonia </v>
      </c>
      <c r="D31" s="420"/>
      <c r="E31" s="420"/>
      <c r="F31" s="420"/>
      <c r="G31" s="421"/>
      <c r="H31" s="132" t="str">
        <f>_xlfn.CONCAT(_xlfn.XLOOKUP("[S06_AccredCertVerifiersAnnexI][15][NumberAccredited]",Submission!$O:$O,Submission!$H:$N,""))</f>
        <v>1</v>
      </c>
      <c r="I31" s="132" t="str">
        <f>_xlfn.CONCAT(_xlfn.XLOOKUP("[S06_AccredCertVerifiersAnnexI][15][NumberCertified]",Submission!$O:$O,Submission!$H:$N,""))</f>
        <v/>
      </c>
    </row>
    <row r="32" spans="2:9" ht="27.6" hidden="1" customHeight="1" outlineLevel="1" x14ac:dyDescent="0.3">
      <c r="B32" s="20"/>
      <c r="C32" s="419" t="str">
        <f>_xlfn.CONCAT(_xlfn.XLOOKUP("[S06_AccredCertVerifiersAnnexI][16][AccredCertScope]",Submission!$O:$O,Submission!$H:$N,""))</f>
        <v xml:space="preserve">8 - Production of bulk organic chemicals by cracking, reforming, partial or full oxidation or by similar processes </v>
      </c>
      <c r="D32" s="420"/>
      <c r="E32" s="420"/>
      <c r="F32" s="420"/>
      <c r="G32" s="421"/>
      <c r="H32" s="132" t="str">
        <f>_xlfn.CONCAT(_xlfn.XLOOKUP("[S06_AccredCertVerifiersAnnexI][16][NumberAccredited]",Submission!$O:$O,Submission!$H:$N,""))</f>
        <v>1</v>
      </c>
      <c r="I32" s="132" t="str">
        <f>_xlfn.CONCAT(_xlfn.XLOOKUP("[S06_AccredCertVerifiersAnnexI][16][NumberCertified]",Submission!$O:$O,Submission!$H:$N,""))</f>
        <v/>
      </c>
    </row>
    <row r="33" spans="2:9" ht="27.6" hidden="1" customHeight="1" outlineLevel="1" x14ac:dyDescent="0.3">
      <c r="B33" s="20"/>
      <c r="C33" s="419" t="str">
        <f>_xlfn.CONCAT(_xlfn.XLOOKUP("[S06_AccredCertVerifiersAnnexI][17][AccredCertScope]",Submission!$O:$O,Submission!$H:$N,""))</f>
        <v xml:space="preserve">9 - Production of nitric acid (CO2 and N2O emissions) </v>
      </c>
      <c r="D33" s="420"/>
      <c r="E33" s="420"/>
      <c r="F33" s="420"/>
      <c r="G33" s="421"/>
      <c r="H33" s="132" t="str">
        <f>_xlfn.CONCAT(_xlfn.XLOOKUP("[S06_AccredCertVerifiersAnnexI][17][NumberAccredited]",Submission!$O:$O,Submission!$H:$N,""))</f>
        <v>1</v>
      </c>
      <c r="I33" s="132" t="str">
        <f>_xlfn.CONCAT(_xlfn.XLOOKUP("[S06_AccredCertVerifiersAnnexI][17][NumberCertified]",Submission!$O:$O,Submission!$H:$N,""))</f>
        <v/>
      </c>
    </row>
    <row r="34" spans="2:9" ht="27.6" hidden="1" customHeight="1" outlineLevel="1" x14ac:dyDescent="0.3">
      <c r="B34" s="20"/>
      <c r="C34" s="419" t="str">
        <f>_xlfn.CONCAT(_xlfn.XLOOKUP("[S06_AccredCertVerifiersAnnexI][18][AccredCertScope]",Submission!$O:$O,Submission!$H:$N,""))</f>
        <v>12 - Aviation activities (emissions and tonne-kilometre data)</v>
      </c>
      <c r="D34" s="420"/>
      <c r="E34" s="420"/>
      <c r="F34" s="420"/>
      <c r="G34" s="421"/>
      <c r="H34" s="132" t="str">
        <f>_xlfn.CONCAT(_xlfn.XLOOKUP("[S06_AccredCertVerifiersAnnexI][18][NumberAccredited]",Submission!$O:$O,Submission!$H:$N,""))</f>
        <v>1</v>
      </c>
      <c r="I34" s="132" t="str">
        <f>_xlfn.CONCAT(_xlfn.XLOOKUP("[S06_AccredCertVerifiersAnnexI][18][NumberCertified]",Submission!$O:$O,Submission!$H:$N,""))</f>
        <v/>
      </c>
    </row>
    <row r="35" spans="2:9" ht="27.6" hidden="1" customHeight="1" outlineLevel="1" x14ac:dyDescent="0.3">
      <c r="B35" s="20"/>
      <c r="C35" s="419" t="str">
        <f>_xlfn.CONCAT(_xlfn.XLOOKUP("[S06_AccredCertVerifiersAnnexI][19][AccredCertScope]",Submission!$O:$O,Submission!$H:$N,""))</f>
        <v>98 - Other activities pursuant to Article 10a of Directive 2003/87/EC</v>
      </c>
      <c r="D35" s="420"/>
      <c r="E35" s="420"/>
      <c r="F35" s="420"/>
      <c r="G35" s="421"/>
      <c r="H35" s="132" t="str">
        <f>_xlfn.CONCAT(_xlfn.XLOOKUP("[S06_AccredCertVerifiersAnnexI][19][NumberAccredited]",Submission!$O:$O,Submission!$H:$N,""))</f>
        <v>3</v>
      </c>
      <c r="I35" s="132" t="str">
        <f>_xlfn.CONCAT(_xlfn.XLOOKUP("[S06_AccredCertVerifiersAnnexI][19][NumberCertified]",Submission!$O:$O,Submission!$H:$N,""))</f>
        <v/>
      </c>
    </row>
    <row r="36" spans="2:9" ht="27.6" hidden="1" customHeight="1" outlineLevel="1" x14ac:dyDescent="0.3">
      <c r="B36" s="20"/>
      <c r="C36" s="419" t="str">
        <f>_xlfn.CONCAT(_xlfn.XLOOKUP("[S06_AccredCertVerifiersAnnexI][20][AccredCertScope]",Submission!$O:$O,Submission!$H:$N,""))</f>
        <v/>
      </c>
      <c r="D36" s="420"/>
      <c r="E36" s="420"/>
      <c r="F36" s="420"/>
      <c r="G36" s="421"/>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9" t="str">
        <f>_xlfn.CONCAT(_xlfn.XLOOKUP("[S06_AccredCertVerifiersAnnexI][21][AccredCertScope]",Submission!$O:$O,Submission!$H:$N,""))</f>
        <v/>
      </c>
      <c r="D37" s="420"/>
      <c r="E37" s="420"/>
      <c r="F37" s="420"/>
      <c r="G37" s="421"/>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9" t="str">
        <f>_xlfn.CONCAT(_xlfn.XLOOKUP("[S06_AccredCertVerifiersAnnexI][22][AccredCertScope]",Submission!$O:$O,Submission!$H:$N,""))</f>
        <v/>
      </c>
      <c r="D38" s="420"/>
      <c r="E38" s="420"/>
      <c r="F38" s="420"/>
      <c r="G38" s="421"/>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9" t="str">
        <f>_xlfn.CONCAT(_xlfn.XLOOKUP("[S06_AccredCertVerifiersAnnexI][23][AccredCertScope]",Submission!$O:$O,Submission!$H:$N,""))</f>
        <v/>
      </c>
      <c r="D39" s="420"/>
      <c r="E39" s="420"/>
      <c r="F39" s="420"/>
      <c r="G39" s="421"/>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9" t="str">
        <f>_xlfn.CONCAT(_xlfn.XLOOKUP("[S06_AccredCertVerifiersAnnexI][24][AccredCertScope]",Submission!$O:$O,Submission!$H:$N,""))</f>
        <v/>
      </c>
      <c r="D40" s="420"/>
      <c r="E40" s="420"/>
      <c r="F40" s="420"/>
      <c r="G40" s="421"/>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9" t="str">
        <f>_xlfn.CONCAT(_xlfn.XLOOKUP("[S06_AccredCertVerifiersAnnexI][25][AccredCertScope]",Submission!$O:$O,Submission!$H:$N,""))</f>
        <v/>
      </c>
      <c r="D41" s="420"/>
      <c r="E41" s="420"/>
      <c r="F41" s="420"/>
      <c r="G41" s="421"/>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9" t="str">
        <f>_xlfn.CONCAT(_xlfn.XLOOKUP("[S06_AccredCertVerifiersAnnexI][26][AccredCertScope]",Submission!$O:$O,Submission!$H:$N,""))</f>
        <v/>
      </c>
      <c r="D42" s="420"/>
      <c r="E42" s="420"/>
      <c r="F42" s="420"/>
      <c r="G42" s="421"/>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9" t="str">
        <f>_xlfn.CONCAT(_xlfn.XLOOKUP("[S06_AccredCertVerifiersAnnexI][27][AccredCertScope]",Submission!$O:$O,Submission!$H:$N,""))</f>
        <v/>
      </c>
      <c r="D43" s="420"/>
      <c r="E43" s="420"/>
      <c r="F43" s="420"/>
      <c r="G43" s="421"/>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9" t="str">
        <f>_xlfn.CONCAT(_xlfn.XLOOKUP("[S06_AccredCertVerifiersAnnexI][28][AccredCertScope]",Submission!$O:$O,Submission!$H:$N,""))</f>
        <v/>
      </c>
      <c r="D44" s="420"/>
      <c r="E44" s="420"/>
      <c r="F44" s="420"/>
      <c r="G44" s="421"/>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9" t="str">
        <f>_xlfn.CONCAT(_xlfn.XLOOKUP("[S06_AccredCertVerifiersAnnexI][29][AccredCertScope]",Submission!$O:$O,Submission!$H:$N,""))</f>
        <v/>
      </c>
      <c r="D45" s="420"/>
      <c r="E45" s="420"/>
      <c r="F45" s="420"/>
      <c r="G45" s="421"/>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9" t="str">
        <f>_xlfn.CONCAT(_xlfn.XLOOKUP("[S06_AccredCertVerifiersAnnexI][30][AccredCertScope]",Submission!$O:$O,Submission!$H:$N,""))</f>
        <v/>
      </c>
      <c r="D46" s="420"/>
      <c r="E46" s="420"/>
      <c r="F46" s="420"/>
      <c r="G46" s="421"/>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9" t="str">
        <f>_xlfn.CONCAT(_xlfn.XLOOKUP("[S06_AccredCertVerifiersAnnexI][31][AccredCertScope]",Submission!$O:$O,Submission!$H:$N,""))</f>
        <v/>
      </c>
      <c r="D47" s="420"/>
      <c r="E47" s="420"/>
      <c r="F47" s="420"/>
      <c r="G47" s="421"/>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9" t="str">
        <f>_xlfn.CONCAT(_xlfn.XLOOKUP("[S06_AccredCertVerifiersAnnexI][32][AccredCertScope]",Submission!$O:$O,Submission!$H:$N,""))</f>
        <v/>
      </c>
      <c r="D48" s="420"/>
      <c r="E48" s="420"/>
      <c r="F48" s="420"/>
      <c r="G48" s="421"/>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9" t="str">
        <f>_xlfn.CONCAT(_xlfn.XLOOKUP("[S06_AccredCertVerifiersAnnexI][33][AccredCertScope]",Submission!$O:$O,Submission!$H:$N,""))</f>
        <v/>
      </c>
      <c r="D49" s="420"/>
      <c r="E49" s="420"/>
      <c r="F49" s="420"/>
      <c r="G49" s="421"/>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9" t="str">
        <f>_xlfn.CONCAT(_xlfn.XLOOKUP("[S06_AccredCertVerifiersAnnexI][34][AccredCertScope]",Submission!$O:$O,Submission!$H:$N,""))</f>
        <v/>
      </c>
      <c r="D50" s="420"/>
      <c r="E50" s="420"/>
      <c r="F50" s="420"/>
      <c r="G50" s="421"/>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07" t="s">
        <v>1001</v>
      </c>
      <c r="C53" s="308"/>
      <c r="D53" s="308"/>
      <c r="E53" s="308"/>
      <c r="F53" s="308"/>
      <c r="G53" s="308"/>
      <c r="H53" s="308"/>
      <c r="I53" s="308"/>
    </row>
    <row r="54" spans="1:9" ht="15.9" customHeight="1" x14ac:dyDescent="0.3">
      <c r="A54" s="13"/>
      <c r="C54" s="314" t="s">
        <v>1002</v>
      </c>
      <c r="D54" s="333"/>
      <c r="E54" s="333"/>
      <c r="F54" s="333"/>
      <c r="G54" s="333"/>
      <c r="H54" s="333"/>
      <c r="I54" s="334"/>
    </row>
    <row r="55" spans="1:9" ht="43.95" customHeight="1" x14ac:dyDescent="0.3">
      <c r="A55" s="13"/>
      <c r="C55" s="428" t="s">
        <v>1003</v>
      </c>
      <c r="D55" s="429"/>
      <c r="E55" s="429"/>
      <c r="F55" s="430"/>
      <c r="G55" s="314" t="s">
        <v>1004</v>
      </c>
      <c r="H55" s="334"/>
      <c r="I55" s="42" t="s">
        <v>1005</v>
      </c>
    </row>
    <row r="56" spans="1:9" ht="24" customHeight="1" x14ac:dyDescent="0.3">
      <c r="A56" s="13"/>
      <c r="C56" s="431"/>
      <c r="D56" s="432"/>
      <c r="E56" s="432"/>
      <c r="F56" s="433"/>
      <c r="G56" s="258" t="str">
        <f>_xlfn.CONCAT(_xlfn.XLOOKUP("[S06_ApplicationInformationExchangeRequirements1][1][FromOwnMS]",Submission!$O:$O,Submission!$H:$N,""))</f>
        <v>Yes</v>
      </c>
      <c r="H56" s="260"/>
      <c r="I56" s="47" t="str">
        <f>_xlfn.CONCAT(_xlfn.XLOOKUP("[S06_ApplicationInformationExchangeRequirements1][1][FromOtherMS]",Submission!$O:$O,Submission!$H:$N,""))</f>
        <v>Partially</v>
      </c>
    </row>
    <row r="57" spans="1:9" ht="43.95" customHeight="1" x14ac:dyDescent="0.3">
      <c r="A57" s="13"/>
      <c r="C57" s="428" t="s">
        <v>1006</v>
      </c>
      <c r="D57" s="429"/>
      <c r="E57" s="429"/>
      <c r="F57" s="430"/>
      <c r="G57" s="314" t="s">
        <v>1004</v>
      </c>
      <c r="H57" s="334"/>
      <c r="I57" s="42" t="s">
        <v>1005</v>
      </c>
    </row>
    <row r="58" spans="1:9" ht="24" customHeight="1" x14ac:dyDescent="0.3">
      <c r="A58" s="13"/>
      <c r="C58" s="431"/>
      <c r="D58" s="432"/>
      <c r="E58" s="432"/>
      <c r="F58" s="433"/>
      <c r="G58" s="258" t="str">
        <f>_xlfn.CONCAT(_xlfn.XLOOKUP("[S06_ApplicationInformationExchangeRequirements1][2][FromOwnMS]",Submission!$O:$O,Submission!$H:$N,""))</f>
        <v>Yes</v>
      </c>
      <c r="H58" s="260"/>
      <c r="I58" s="47" t="str">
        <f>_xlfn.CONCAT(_xlfn.XLOOKUP("[S06_ApplicationInformationExchangeRequirements1][2][FromOtherMS]",Submission!$O:$O,Submission!$H:$N,""))</f>
        <v>Partially</v>
      </c>
    </row>
    <row r="59" spans="1:9" ht="43.95" customHeight="1" x14ac:dyDescent="0.3">
      <c r="A59" s="13"/>
      <c r="C59" s="428" t="s">
        <v>1007</v>
      </c>
      <c r="D59" s="429"/>
      <c r="E59" s="429"/>
      <c r="F59" s="430"/>
      <c r="G59" s="314" t="s">
        <v>1008</v>
      </c>
      <c r="H59" s="334"/>
      <c r="I59" s="42" t="s">
        <v>1009</v>
      </c>
    </row>
    <row r="60" spans="1:9" ht="24" customHeight="1" x14ac:dyDescent="0.3">
      <c r="A60" s="13"/>
      <c r="C60" s="431"/>
      <c r="D60" s="432"/>
      <c r="E60" s="432"/>
      <c r="F60" s="433"/>
      <c r="G60" s="258" t="str">
        <f>_xlfn.CONCAT(_xlfn.XLOOKUP("[S06_ApplicationInformationExchangeRequirements1][3][FromOwnMS]",Submission!$O:$O,Submission!$H:$N,""))</f>
        <v>Partially</v>
      </c>
      <c r="H60" s="260"/>
      <c r="I60" s="47" t="str">
        <f>_xlfn.CONCAT(_xlfn.XLOOKUP("[S06_ApplicationInformationExchangeRequirements1][3][FromOtherMS]",Submission!$O:$O,Submission!$H:$N,""))</f>
        <v>Partially</v>
      </c>
    </row>
    <row r="61" spans="1:9" ht="26.4" customHeight="1" x14ac:dyDescent="0.3">
      <c r="A61" s="13"/>
      <c r="C61" s="428" t="s">
        <v>1010</v>
      </c>
      <c r="D61" s="429"/>
      <c r="E61" s="429"/>
      <c r="F61" s="430"/>
      <c r="G61" s="42" t="s">
        <v>1011</v>
      </c>
      <c r="H61" s="42" t="s">
        <v>1012</v>
      </c>
      <c r="I61" s="42" t="s">
        <v>1013</v>
      </c>
    </row>
    <row r="62" spans="1:9" ht="24" customHeight="1" x14ac:dyDescent="0.3">
      <c r="A62" s="13"/>
      <c r="C62" s="431"/>
      <c r="D62" s="432"/>
      <c r="E62" s="432"/>
      <c r="F62" s="433"/>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28" t="s">
        <v>1014</v>
      </c>
      <c r="D63" s="429"/>
      <c r="E63" s="429"/>
      <c r="F63" s="430"/>
      <c r="G63" s="42" t="s">
        <v>1011</v>
      </c>
      <c r="H63" s="42" t="s">
        <v>1012</v>
      </c>
      <c r="I63" s="42" t="s">
        <v>1013</v>
      </c>
    </row>
    <row r="64" spans="1:9" ht="24" customHeight="1" x14ac:dyDescent="0.3">
      <c r="A64" s="13"/>
      <c r="C64" s="431"/>
      <c r="D64" s="432"/>
      <c r="E64" s="432"/>
      <c r="F64" s="433"/>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9" t="s">
        <v>1015</v>
      </c>
      <c r="D65" s="272"/>
      <c r="E65" s="272"/>
      <c r="F65" s="273"/>
      <c r="G65" s="351" t="str">
        <f>_xlfn.CONCAT(_xlfn.XLOOKUP("[S06_ApplicationInformationExchangeRequirements3][0][TimesSurveillanceRequested]",Submission!$O:$O,Submission!$H:$N,""))</f>
        <v>0</v>
      </c>
      <c r="H65" s="363"/>
      <c r="I65" s="361"/>
    </row>
    <row r="66" spans="1:9" ht="43.95" customHeight="1" x14ac:dyDescent="0.3">
      <c r="A66" s="13"/>
      <c r="C66" s="428" t="s">
        <v>1016</v>
      </c>
      <c r="D66" s="429"/>
      <c r="E66" s="429"/>
      <c r="F66" s="430"/>
      <c r="G66" s="42" t="s">
        <v>1017</v>
      </c>
      <c r="H66" s="42" t="s">
        <v>1018</v>
      </c>
      <c r="I66" s="42" t="s">
        <v>1019</v>
      </c>
    </row>
    <row r="67" spans="1:9" ht="24" customHeight="1" x14ac:dyDescent="0.3">
      <c r="A67" s="13"/>
      <c r="C67" s="431"/>
      <c r="D67" s="432"/>
      <c r="E67" s="432"/>
      <c r="F67" s="433"/>
      <c r="G67" s="105" t="str">
        <f>_xlfn.CONCAT(_xlfn.XLOOKUP("[S06_ApplicationInformationExchangeRequirements4][1][NumberOfIssues]",Submission!$O:$O,Submission!$H:$N,""))</f>
        <v>1</v>
      </c>
      <c r="H67" s="105" t="str">
        <f>_xlfn.CONCAT(_xlfn.XLOOKUP("[S06_ApplicationInformationExchangeRequirements4][1][NumberOfIssuesResolved]",Submission!$O:$O,Submission!$H:$N,""))</f>
        <v>0</v>
      </c>
      <c r="I67" s="105" t="str">
        <f>_xlfn.CONCAT(_xlfn.XLOOKUP("[S06_ApplicationInformationExchangeRequirements4][1][NumberOfPriorIssuesResolved]",Submission!$O:$O,Submission!$H:$N,""))</f>
        <v>0</v>
      </c>
    </row>
    <row r="68" spans="1:9" ht="43.95" customHeight="1" x14ac:dyDescent="0.3">
      <c r="C68" s="428" t="s">
        <v>1020</v>
      </c>
      <c r="D68" s="429"/>
      <c r="E68" s="429"/>
      <c r="F68" s="430"/>
      <c r="G68" s="42" t="s">
        <v>1017</v>
      </c>
      <c r="H68" s="42" t="s">
        <v>1018</v>
      </c>
      <c r="I68" s="42" t="s">
        <v>1019</v>
      </c>
    </row>
    <row r="69" spans="1:9" ht="24" customHeight="1" x14ac:dyDescent="0.3">
      <c r="A69" s="13"/>
      <c r="C69" s="431"/>
      <c r="D69" s="432"/>
      <c r="E69" s="432"/>
      <c r="F69" s="433"/>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28" t="s">
        <v>1021</v>
      </c>
      <c r="D70" s="429"/>
      <c r="E70" s="429"/>
      <c r="F70" s="430"/>
      <c r="G70" s="42" t="s">
        <v>1022</v>
      </c>
      <c r="H70" s="42" t="s">
        <v>1018</v>
      </c>
      <c r="I70" s="42" t="s">
        <v>1019</v>
      </c>
    </row>
    <row r="71" spans="1:9" ht="24" customHeight="1" x14ac:dyDescent="0.3">
      <c r="A71" s="13"/>
      <c r="C71" s="431"/>
      <c r="D71" s="432"/>
      <c r="E71" s="432"/>
      <c r="F71" s="433"/>
      <c r="G71" s="105" t="str">
        <f>_xlfn.CONCAT(_xlfn.XLOOKUP("[S06_ApplicationInformationExchangeRequirements4][3][NumberOfIssues]",Submission!$O:$O,Submission!$H:$N,""))</f>
        <v>0</v>
      </c>
      <c r="H71" s="105" t="str">
        <f>_xlfn.CONCAT(_xlfn.XLOOKUP("[S06_ApplicationInformationExchangeRequirements4][3][NumberOfIssuesResolved]",Submission!$O:$O,Submission!$H:$N,""))</f>
        <v>0</v>
      </c>
      <c r="I71" s="105" t="str">
        <f>_xlfn.CONCAT(_xlfn.XLOOKUP("[S06_ApplicationInformationExchangeRequirements4][3][NumberOfPriorIssuesResolved]",Submission!$O:$O,Submission!$H:$N,""))</f>
        <v>0</v>
      </c>
    </row>
    <row r="72" spans="1:9" ht="15.9" customHeight="1" x14ac:dyDescent="0.3">
      <c r="A72" s="13"/>
      <c r="C72" s="397" t="s">
        <v>1023</v>
      </c>
      <c r="D72" s="397"/>
      <c r="E72" s="397"/>
      <c r="F72" s="397"/>
      <c r="G72" s="397"/>
      <c r="H72" s="397"/>
      <c r="I72" s="397"/>
    </row>
    <row r="73" spans="1:9" ht="15.9" customHeight="1" x14ac:dyDescent="0.3">
      <c r="A73" s="13"/>
      <c r="C73" s="279" t="s">
        <v>1024</v>
      </c>
      <c r="D73" s="279"/>
      <c r="E73" s="279"/>
      <c r="F73" s="279"/>
      <c r="G73" s="279"/>
      <c r="H73" s="279"/>
      <c r="I73" s="279"/>
    </row>
    <row r="74" spans="1:9" ht="15.9" customHeight="1" x14ac:dyDescent="0.3">
      <c r="A74" s="13"/>
      <c r="C74" s="24"/>
      <c r="D74" s="24"/>
      <c r="E74" s="24"/>
      <c r="F74" s="24"/>
      <c r="G74" s="118"/>
      <c r="H74" s="118"/>
      <c r="I74" s="24"/>
    </row>
    <row r="75" spans="1:9" ht="18.899999999999999" customHeight="1" x14ac:dyDescent="0.35">
      <c r="A75" s="85" t="s">
        <v>1025</v>
      </c>
      <c r="B75" s="310" t="s">
        <v>74</v>
      </c>
      <c r="C75" s="310"/>
      <c r="D75" s="310"/>
      <c r="E75" s="310"/>
      <c r="F75" s="310"/>
      <c r="G75" s="310"/>
      <c r="H75" s="310"/>
      <c r="I75" s="311"/>
    </row>
    <row r="76" spans="1:9" ht="36.6" customHeight="1" x14ac:dyDescent="0.3">
      <c r="A76" s="12" t="s">
        <v>365</v>
      </c>
      <c r="B76" s="312" t="s">
        <v>1026</v>
      </c>
      <c r="C76" s="313"/>
      <c r="D76" s="313"/>
      <c r="E76" s="313"/>
      <c r="F76" s="313"/>
      <c r="G76" s="313"/>
      <c r="H76" s="313"/>
      <c r="I76" s="313"/>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9" t="str">
        <f>_xlfn.CONCAT(_xlfn.XLOOKUP("[S06_InstallationsConservativeEstimates][1][InstallationConservativeShare]",Submission!$O:$O,Submission!$H:$N,""))</f>
        <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9"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9"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9"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9"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9"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9"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9"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9"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9"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79" t="s">
        <v>1033</v>
      </c>
      <c r="D119" s="280"/>
      <c r="E119" s="280"/>
      <c r="F119" s="280"/>
      <c r="G119" s="280"/>
      <c r="H119" s="280"/>
      <c r="I119" s="280"/>
    </row>
    <row r="120" spans="1:9" s="11" customFormat="1" ht="41.25" customHeight="1" x14ac:dyDescent="0.3">
      <c r="C120" s="279" t="s">
        <v>1034</v>
      </c>
      <c r="D120" s="280"/>
      <c r="E120" s="280"/>
      <c r="F120" s="280"/>
      <c r="G120" s="280"/>
      <c r="H120" s="280"/>
      <c r="I120" s="280"/>
    </row>
    <row r="121" spans="1:9" s="11" customFormat="1" ht="28.95" customHeight="1" x14ac:dyDescent="0.3">
      <c r="C121" s="279" t="s">
        <v>1035</v>
      </c>
      <c r="D121" s="280"/>
      <c r="E121" s="280"/>
      <c r="F121" s="280"/>
      <c r="G121" s="280"/>
      <c r="H121" s="280"/>
      <c r="I121" s="280"/>
    </row>
    <row r="122" spans="1:9" s="11" customFormat="1" ht="14.4" x14ac:dyDescent="0.3"/>
    <row r="123" spans="1:9" ht="18.600000000000001" customHeight="1" x14ac:dyDescent="0.3">
      <c r="B123" s="275" t="s">
        <v>1036</v>
      </c>
      <c r="C123" s="275"/>
      <c r="D123" s="275"/>
      <c r="E123" s="275"/>
      <c r="F123" s="275"/>
      <c r="G123" s="275"/>
      <c r="H123" s="275"/>
      <c r="I123" s="275"/>
    </row>
    <row r="124" spans="1:9" ht="15.9" customHeight="1" x14ac:dyDescent="0.3">
      <c r="C124" s="317" t="s">
        <v>1037</v>
      </c>
      <c r="D124" s="370"/>
      <c r="E124" s="370"/>
      <c r="F124" s="370"/>
      <c r="G124" s="318"/>
      <c r="H124" s="317" t="s">
        <v>76</v>
      </c>
      <c r="I124" s="329"/>
    </row>
    <row r="125" spans="1:9" ht="18" customHeight="1" x14ac:dyDescent="0.3">
      <c r="C125" s="249" t="s">
        <v>1038</v>
      </c>
      <c r="D125" s="272"/>
      <c r="E125" s="272"/>
      <c r="F125" s="272"/>
      <c r="G125" s="273"/>
      <c r="H125" s="351" t="str">
        <f>_xlfn.CONCAT(_xlfn.XLOOKUP("[S06_NegativeOpinionInstallations][1][CountNegativeOpinions]",Submission!$O:$O,Submission!$H:$N,""))</f>
        <v/>
      </c>
      <c r="I125" s="361"/>
    </row>
    <row r="126" spans="1:9" ht="18" customHeight="1" x14ac:dyDescent="0.3">
      <c r="C126" s="249" t="s">
        <v>1039</v>
      </c>
      <c r="D126" s="272"/>
      <c r="E126" s="272"/>
      <c r="F126" s="272"/>
      <c r="G126" s="273"/>
      <c r="H126" s="351" t="str">
        <f>_xlfn.CONCAT(_xlfn.XLOOKUP("[S06_NegativeOpinionInstallations][2][CountNegativeOpinions]",Submission!$O:$O,Submission!$H:$N,""))</f>
        <v/>
      </c>
      <c r="I126" s="361"/>
    </row>
    <row r="127" spans="1:9" ht="18" customHeight="1" x14ac:dyDescent="0.3">
      <c r="C127" s="249" t="s">
        <v>1040</v>
      </c>
      <c r="D127" s="272"/>
      <c r="E127" s="272"/>
      <c r="F127" s="272"/>
      <c r="G127" s="273"/>
      <c r="H127" s="351" t="str">
        <f>_xlfn.CONCAT(_xlfn.XLOOKUP("[S06_NegativeOpinionInstallations][3][CountNegativeOpinions]",Submission!$O:$O,Submission!$H:$N,""))</f>
        <v/>
      </c>
      <c r="I127" s="361"/>
    </row>
    <row r="128" spans="1:9" ht="18" customHeight="1" x14ac:dyDescent="0.3">
      <c r="C128" s="249" t="s">
        <v>1041</v>
      </c>
      <c r="D128" s="272"/>
      <c r="E128" s="272"/>
      <c r="F128" s="272"/>
      <c r="G128" s="273"/>
      <c r="H128" s="351" t="str">
        <f>_xlfn.CONCAT(_xlfn.XLOOKUP("[S06_NegativeOpinionInstallations][4][CountNegativeOpinions]",Submission!$O:$O,Submission!$H:$N,""))</f>
        <v/>
      </c>
      <c r="I128" s="361"/>
    </row>
    <row r="129" spans="1:9" ht="19.2" customHeight="1" x14ac:dyDescent="0.3">
      <c r="D129" s="11"/>
      <c r="E129" s="11"/>
      <c r="F129" s="11"/>
      <c r="G129" s="11"/>
    </row>
    <row r="130" spans="1:9" ht="32.1" customHeight="1" x14ac:dyDescent="0.3">
      <c r="A130" s="12" t="s">
        <v>376</v>
      </c>
      <c r="B130" s="338" t="s">
        <v>1042</v>
      </c>
      <c r="C130" s="308"/>
      <c r="D130" s="308"/>
      <c r="E130" s="308"/>
      <c r="F130" s="308"/>
      <c r="G130" s="308"/>
      <c r="H130" s="345"/>
      <c r="I130" s="41" t="str">
        <f>_xlfn.CONCAT(_xlfn.XLOOKUP("[InstallationsVerificationReportIssues][0][InstallationsVerificationReportIssues]",Submission!$O:$O,Submission!$H:$N,""))</f>
        <v>No</v>
      </c>
    </row>
    <row r="131" spans="1:9" ht="19.95" customHeight="1" x14ac:dyDescent="0.3">
      <c r="A131" s="12"/>
      <c r="B131" s="275" t="s">
        <v>1043</v>
      </c>
      <c r="C131" s="276"/>
      <c r="D131" s="276"/>
      <c r="E131" s="276"/>
      <c r="F131" s="276"/>
      <c r="G131" s="276"/>
      <c r="H131" s="276"/>
      <c r="I131" s="276"/>
    </row>
    <row r="132" spans="1:9" ht="70.2" customHeight="1" x14ac:dyDescent="0.3">
      <c r="A132" s="13"/>
      <c r="C132" s="314" t="s">
        <v>879</v>
      </c>
      <c r="D132" s="334"/>
      <c r="E132" s="314" t="s">
        <v>1044</v>
      </c>
      <c r="F132" s="334"/>
      <c r="G132" s="42" t="s">
        <v>1045</v>
      </c>
      <c r="H132" s="45" t="s">
        <v>1046</v>
      </c>
      <c r="I132" s="46" t="s">
        <v>1047</v>
      </c>
    </row>
    <row r="133" spans="1:9" ht="26.4" customHeight="1" x14ac:dyDescent="0.3">
      <c r="A133" s="13"/>
      <c r="C133" s="274" t="str">
        <f>_xlfn.CONCAT(_xlfn.XLOOKUP("[S06_InstallationsVerificationReportsIssueDetail]["&amp;1&amp;"][AnnexIActivity]",Submission!$O:$O,Submission!$H:$N,""))</f>
        <v/>
      </c>
      <c r="D133" s="364"/>
      <c r="E133" s="274" t="str">
        <f>_xlfn.CONCAT(_xlfn.XLOOKUP("[S06_InstallationsVerificationReportsIssueDetail]["&amp;1&amp;"][TypeOfIssue]",Submission!$O:$O,Submission!$H:$N,""))</f>
        <v/>
      </c>
      <c r="F133" s="364"/>
      <c r="G133" s="105" t="str">
        <f>_xlfn.CONCAT(_xlfn.XLOOKUP("[S06_InstallationsVerificationReportsIssueDetail]["&amp;1&amp;"][NumberOfInstallations]",Submission!$O:$O,Submission!$H:$N,""))</f>
        <v/>
      </c>
      <c r="H133" s="108" t="str">
        <f>_xlfn.CONCAT(_xlfn.XLOOKUP("[S06_InstallationsVerificationReportsIssueDetail]["&amp;1&amp;"][NumberOfIssues]",Submission!$O:$O,Submission!$H:$N,""))</f>
        <v/>
      </c>
      <c r="I133" s="189" t="str">
        <f>_xlfn.CONCAT(_xlfn.XLOOKUP("[S06_InstallationsVerificationReportsIssueDetail]["&amp;1&amp;"][ShareOfReportsConservativeEstimate]",Submission!$O:$O,Submission!$H:$N,""))</f>
        <v/>
      </c>
    </row>
    <row r="134" spans="1:9" ht="26.4" customHeight="1" x14ac:dyDescent="0.3">
      <c r="A134" s="13"/>
      <c r="C134" s="274" t="str">
        <f>_xlfn.CONCAT(_xlfn.XLOOKUP("[S06_InstallationsVerificationReportsIssueDetail]["&amp;1+ROW(B134)-ROW($B$133)&amp;"][AnnexIActivity]",Submission!$O:$O,Submission!$H:$N,""))</f>
        <v/>
      </c>
      <c r="D134" s="364"/>
      <c r="E134" s="274" t="str">
        <f>_xlfn.CONCAT(_xlfn.XLOOKUP("[S06_InstallationsVerificationReportsIssueDetail]["&amp;1+ROW(B134)-ROW($B$133)&amp;"][TypeOfIssue]",Submission!$O:$O,Submission!$H:$N,""))</f>
        <v/>
      </c>
      <c r="F134" s="364"/>
      <c r="G134" s="105" t="str">
        <f>_xlfn.CONCAT(_xlfn.XLOOKUP("[S06_InstallationsVerificationReportsIssueDetail]["&amp;1+ROW(B134)-ROW($B$133)&amp;"][NumberOfInstallations]",Submission!$O:$O,Submission!$H:$N,""))</f>
        <v/>
      </c>
      <c r="H134" s="108" t="str">
        <f>_xlfn.CONCAT(_xlfn.XLOOKUP("[S06_InstallationsVerificationReportsIssueDetail]["&amp;1+ROW(B134)-ROW($B$133)&amp;"][NumberOfIssues]",Submission!$O:$O,Submission!$H:$N,""))</f>
        <v/>
      </c>
      <c r="I134" s="189" t="str">
        <f>_xlfn.CONCAT(_xlfn.XLOOKUP("[S06_InstallationsVerificationReportsIssueDetail]["&amp;1+ROW(B134)-ROW($B$133)&amp;"][ShareOfReportsConservativeEstimate]",Submission!$O:$O,Submission!$H:$N,""))</f>
        <v/>
      </c>
    </row>
    <row r="135" spans="1:9" ht="26.4" customHeight="1" x14ac:dyDescent="0.3">
      <c r="A135" s="13"/>
      <c r="C135" s="274" t="str">
        <f>_xlfn.CONCAT(_xlfn.XLOOKUP("[S06_InstallationsVerificationReportsIssueDetail]["&amp;1+ROW(B135)-ROW($B$133)&amp;"][AnnexIActivity]",Submission!$O:$O,Submission!$H:$N,""))</f>
        <v/>
      </c>
      <c r="D135" s="364"/>
      <c r="E135" s="274" t="str">
        <f>_xlfn.CONCAT(_xlfn.XLOOKUP("[S06_InstallationsVerificationReportsIssueDetail]["&amp;1+ROW(B135)-ROW($B$133)&amp;"][TypeOfIssue]",Submission!$O:$O,Submission!$H:$N,""))</f>
        <v/>
      </c>
      <c r="F135" s="364"/>
      <c r="G135" s="105" t="str">
        <f>_xlfn.CONCAT(_xlfn.XLOOKUP("[S06_InstallationsVerificationReportsIssueDetail]["&amp;1+ROW(B135)-ROW($B$133)&amp;"][NumberOfInstallations]",Submission!$O:$O,Submission!$H:$N,""))</f>
        <v/>
      </c>
      <c r="H135" s="108" t="str">
        <f>_xlfn.CONCAT(_xlfn.XLOOKUP("[S06_InstallationsVerificationReportsIssueDetail]["&amp;1+ROW(B135)-ROW($B$133)&amp;"][NumberOfIssues]",Submission!$O:$O,Submission!$H:$N,""))</f>
        <v/>
      </c>
      <c r="I135" s="189" t="str">
        <f>_xlfn.CONCAT(_xlfn.XLOOKUP("[S06_InstallationsVerificationReportsIssueDetail]["&amp;1+ROW(B135)-ROW($B$133)&amp;"][ShareOfReportsConservativeEstimate]",Submission!$O:$O,Submission!$H:$N,""))</f>
        <v/>
      </c>
    </row>
    <row r="136" spans="1:9" ht="26.4" customHeight="1" x14ac:dyDescent="0.3">
      <c r="A136" s="13"/>
      <c r="C136" s="274" t="str">
        <f>_xlfn.CONCAT(_xlfn.XLOOKUP("[S06_InstallationsVerificationReportsIssueDetail]["&amp;1+ROW(B136)-ROW($B$133)&amp;"][AnnexIActivity]",Submission!$O:$O,Submission!$H:$N,""))</f>
        <v/>
      </c>
      <c r="D136" s="364"/>
      <c r="E136" s="274" t="str">
        <f>_xlfn.CONCAT(_xlfn.XLOOKUP("[S06_InstallationsVerificationReportsIssueDetail]["&amp;1+ROW(B136)-ROW($B$133)&amp;"][TypeOfIssue]",Submission!$O:$O,Submission!$H:$N,""))</f>
        <v/>
      </c>
      <c r="F136" s="364"/>
      <c r="G136" s="105" t="str">
        <f>_xlfn.CONCAT(_xlfn.XLOOKUP("[S06_InstallationsVerificationReportsIssueDetail]["&amp;1+ROW(B136)-ROW($B$133)&amp;"][NumberOfInstallations]",Submission!$O:$O,Submission!$H:$N,""))</f>
        <v/>
      </c>
      <c r="H136" s="108" t="str">
        <f>_xlfn.CONCAT(_xlfn.XLOOKUP("[S06_InstallationsVerificationReportsIssueDetail]["&amp;1+ROW(B136)-ROW($B$133)&amp;"][NumberOfIssues]",Submission!$O:$O,Submission!$H:$N,""))</f>
        <v/>
      </c>
      <c r="I136" s="189" t="str">
        <f>_xlfn.CONCAT(_xlfn.XLOOKUP("[S06_InstallationsVerificationReportsIssueDetail]["&amp;1+ROW(B136)-ROW($B$133)&amp;"][ShareOfReportsConservativeEstimate]",Submission!$O:$O,Submission!$H:$N,""))</f>
        <v/>
      </c>
    </row>
    <row r="137" spans="1:9" ht="26.4" customHeight="1" x14ac:dyDescent="0.3">
      <c r="A137" s="13"/>
      <c r="C137" s="274" t="str">
        <f>_xlfn.CONCAT(_xlfn.XLOOKUP("[S06_InstallationsVerificationReportsIssueDetail]["&amp;1+ROW(B137)-ROW($B$133)&amp;"][AnnexIActivity]",Submission!$O:$O,Submission!$H:$N,""))</f>
        <v/>
      </c>
      <c r="D137" s="364"/>
      <c r="E137" s="274" t="str">
        <f>_xlfn.CONCAT(_xlfn.XLOOKUP("[S06_InstallationsVerificationReportsIssueDetail]["&amp;1+ROW(B137)-ROW($B$133)&amp;"][TypeOfIssue]",Submission!$O:$O,Submission!$H:$N,""))</f>
        <v/>
      </c>
      <c r="F137" s="364"/>
      <c r="G137" s="105" t="str">
        <f>_xlfn.CONCAT(_xlfn.XLOOKUP("[S06_InstallationsVerificationReportsIssueDetail]["&amp;1+ROW(B137)-ROW($B$133)&amp;"][NumberOfInstallations]",Submission!$O:$O,Submission!$H:$N,""))</f>
        <v/>
      </c>
      <c r="H137" s="108" t="str">
        <f>_xlfn.CONCAT(_xlfn.XLOOKUP("[S06_InstallationsVerificationReportsIssueDetail]["&amp;1+ROW(B137)-ROW($B$133)&amp;"][NumberOfIssues]",Submission!$O:$O,Submission!$H:$N,""))</f>
        <v/>
      </c>
      <c r="I137" s="189" t="str">
        <f>_xlfn.CONCAT(_xlfn.XLOOKUP("[S06_InstallationsVerificationReportsIssueDetail]["&amp;1+ROW(B137)-ROW($B$133)&amp;"][ShareOfReportsConservativeEstimate]",Submission!$O:$O,Submission!$H:$N,""))</f>
        <v/>
      </c>
    </row>
    <row r="138" spans="1:9" ht="26.4" customHeight="1" x14ac:dyDescent="0.3">
      <c r="A138" s="13"/>
      <c r="C138" s="274" t="str">
        <f>_xlfn.CONCAT(_xlfn.XLOOKUP("[S06_InstallationsVerificationReportsIssueDetail]["&amp;1+ROW(B138)-ROW($B$133)&amp;"][AnnexIActivity]",Submission!$O:$O,Submission!$H:$N,""))</f>
        <v/>
      </c>
      <c r="D138" s="364"/>
      <c r="E138" s="274" t="str">
        <f>_xlfn.CONCAT(_xlfn.XLOOKUP("[S06_InstallationsVerificationReportsIssueDetail]["&amp;1+ROW(B138)-ROW($B$133)&amp;"][TypeOfIssue]",Submission!$O:$O,Submission!$H:$N,""))</f>
        <v/>
      </c>
      <c r="F138" s="364"/>
      <c r="G138" s="105" t="str">
        <f>_xlfn.CONCAT(_xlfn.XLOOKUP("[S06_InstallationsVerificationReportsIssueDetail]["&amp;1+ROW(B138)-ROW($B$133)&amp;"][NumberOfInstallations]",Submission!$O:$O,Submission!$H:$N,""))</f>
        <v/>
      </c>
      <c r="H138" s="108" t="str">
        <f>_xlfn.CONCAT(_xlfn.XLOOKUP("[S06_InstallationsVerificationReportsIssueDetail]["&amp;1+ROW(B138)-ROW($B$133)&amp;"][NumberOfIssues]",Submission!$O:$O,Submission!$H:$N,""))</f>
        <v/>
      </c>
      <c r="I138" s="189" t="str">
        <f>_xlfn.CONCAT(_xlfn.XLOOKUP("[S06_InstallationsVerificationReportsIssueDetail]["&amp;1+ROW(B138)-ROW($B$133)&amp;"][ShareOfReportsConservativeEstimate]",Submission!$O:$O,Submission!$H:$N,""))</f>
        <v/>
      </c>
    </row>
    <row r="139" spans="1:9" ht="26.4" customHeight="1" x14ac:dyDescent="0.3">
      <c r="A139" s="13"/>
      <c r="C139" s="274" t="str">
        <f>_xlfn.CONCAT(_xlfn.XLOOKUP("[S06_InstallationsVerificationReportsIssueDetail]["&amp;1+ROW(B139)-ROW($B$133)&amp;"][AnnexIActivity]",Submission!$O:$O,Submission!$H:$N,""))</f>
        <v/>
      </c>
      <c r="D139" s="364"/>
      <c r="E139" s="274" t="str">
        <f>_xlfn.CONCAT(_xlfn.XLOOKUP("[S06_InstallationsVerificationReportsIssueDetail]["&amp;1+ROW(B139)-ROW($B$133)&amp;"][TypeOfIssue]",Submission!$O:$O,Submission!$H:$N,""))</f>
        <v/>
      </c>
      <c r="F139" s="364"/>
      <c r="G139" s="105" t="str">
        <f>_xlfn.CONCAT(_xlfn.XLOOKUP("[S06_InstallationsVerificationReportsIssueDetail]["&amp;1+ROW(B139)-ROW($B$133)&amp;"][NumberOfInstallations]",Submission!$O:$O,Submission!$H:$N,""))</f>
        <v/>
      </c>
      <c r="H139" s="108" t="str">
        <f>_xlfn.CONCAT(_xlfn.XLOOKUP("[S06_InstallationsVerificationReportsIssueDetail]["&amp;1+ROW(B139)-ROW($B$133)&amp;"][NumberOfIssues]",Submission!$O:$O,Submission!$H:$N,""))</f>
        <v/>
      </c>
      <c r="I139" s="189" t="str">
        <f>_xlfn.CONCAT(_xlfn.XLOOKUP("[S06_InstallationsVerificationReportsIssueDetail]["&amp;1+ROW(B139)-ROW($B$133)&amp;"][ShareOfReportsConservativeEstimate]",Submission!$O:$O,Submission!$H:$N,""))</f>
        <v/>
      </c>
    </row>
    <row r="140" spans="1:9" ht="26.4" customHeight="1" x14ac:dyDescent="0.3">
      <c r="A140" s="13"/>
      <c r="C140" s="274" t="str">
        <f>_xlfn.CONCAT(_xlfn.XLOOKUP("[S06_InstallationsVerificationReportsIssueDetail]["&amp;1+ROW(B140)-ROW($B$133)&amp;"][AnnexIActivity]",Submission!$O:$O,Submission!$H:$N,""))</f>
        <v/>
      </c>
      <c r="D140" s="364"/>
      <c r="E140" s="274" t="str">
        <f>_xlfn.CONCAT(_xlfn.XLOOKUP("[S06_InstallationsVerificationReportsIssueDetail]["&amp;1+ROW(B140)-ROW($B$133)&amp;"][TypeOfIssue]",Submission!$O:$O,Submission!$H:$N,""))</f>
        <v/>
      </c>
      <c r="F140" s="364"/>
      <c r="G140" s="105" t="str">
        <f>_xlfn.CONCAT(_xlfn.XLOOKUP("[S06_InstallationsVerificationReportsIssueDetail]["&amp;1+ROW(B140)-ROW($B$133)&amp;"][NumberOfInstallations]",Submission!$O:$O,Submission!$H:$N,""))</f>
        <v/>
      </c>
      <c r="H140" s="108" t="str">
        <f>_xlfn.CONCAT(_xlfn.XLOOKUP("[S06_InstallationsVerificationReportsIssueDetail]["&amp;1+ROW(B140)-ROW($B$133)&amp;"][NumberOfIssues]",Submission!$O:$O,Submission!$H:$N,""))</f>
        <v/>
      </c>
      <c r="I140" s="189" t="str">
        <f>_xlfn.CONCAT(_xlfn.XLOOKUP("[S06_InstallationsVerificationReportsIssueDetail]["&amp;1+ROW(B140)-ROW($B$133)&amp;"][ShareOfReportsConservativeEstimate]",Submission!$O:$O,Submission!$H:$N,""))</f>
        <v/>
      </c>
    </row>
    <row r="141" spans="1:9" ht="26.4" customHeight="1" x14ac:dyDescent="0.3">
      <c r="A141" s="13"/>
      <c r="C141" s="274" t="str">
        <f>_xlfn.CONCAT(_xlfn.XLOOKUP("[S06_InstallationsVerificationReportsIssueDetail]["&amp;1+ROW(B141)-ROW($B$133)&amp;"][AnnexIActivity]",Submission!$O:$O,Submission!$H:$N,""))</f>
        <v/>
      </c>
      <c r="D141" s="364"/>
      <c r="E141" s="274" t="str">
        <f>_xlfn.CONCAT(_xlfn.XLOOKUP("[S06_InstallationsVerificationReportsIssueDetail]["&amp;1+ROW(B141)-ROW($B$133)&amp;"][TypeOfIssue]",Submission!$O:$O,Submission!$H:$N,""))</f>
        <v/>
      </c>
      <c r="F141" s="364"/>
      <c r="G141" s="105" t="str">
        <f>_xlfn.CONCAT(_xlfn.XLOOKUP("[S06_InstallationsVerificationReportsIssueDetail]["&amp;1+ROW(B141)-ROW($B$133)&amp;"][NumberOfInstallations]",Submission!$O:$O,Submission!$H:$N,""))</f>
        <v/>
      </c>
      <c r="H141" s="108" t="str">
        <f>_xlfn.CONCAT(_xlfn.XLOOKUP("[S06_InstallationsVerificationReportsIssueDetail]["&amp;1+ROW(B141)-ROW($B$133)&amp;"][NumberOfIssues]",Submission!$O:$O,Submission!$H:$N,""))</f>
        <v/>
      </c>
      <c r="I141" s="189" t="str">
        <f>_xlfn.CONCAT(_xlfn.XLOOKUP("[S06_InstallationsVerificationReportsIssueDetail]["&amp;1+ROW(B141)-ROW($B$133)&amp;"][ShareOfReportsConservativeEstimate]",Submission!$O:$O,Submission!$H:$N,""))</f>
        <v/>
      </c>
    </row>
    <row r="142" spans="1:9" ht="26.4" customHeight="1" x14ac:dyDescent="0.3">
      <c r="A142" s="13"/>
      <c r="C142" s="274" t="str">
        <f>_xlfn.CONCAT(_xlfn.XLOOKUP("[S06_InstallationsVerificationReportsIssueDetail]["&amp;1+ROW(B142)-ROW($B$133)&amp;"][AnnexIActivity]",Submission!$O:$O,Submission!$H:$N,""))</f>
        <v/>
      </c>
      <c r="D142" s="364"/>
      <c r="E142" s="274" t="str">
        <f>_xlfn.CONCAT(_xlfn.XLOOKUP("[S06_InstallationsVerificationReportsIssueDetail]["&amp;1+ROW(B142)-ROW($B$133)&amp;"][TypeOfIssue]",Submission!$O:$O,Submission!$H:$N,""))</f>
        <v/>
      </c>
      <c r="F142" s="364"/>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9" t="str">
        <f>_xlfn.CONCAT(_xlfn.XLOOKUP("[S06_InstallationsVerificationReportsIssueDetail]["&amp;1+ROW(B142)-ROW($B$133)&amp;"][ShareOfReportsConservativeEstimate]",Submission!$O:$O,Submission!$H:$N,""))</f>
        <v/>
      </c>
    </row>
    <row r="143" spans="1:9" ht="26.4" customHeight="1" x14ac:dyDescent="0.3">
      <c r="A143" s="13"/>
      <c r="C143" s="274" t="str">
        <f>_xlfn.CONCAT(_xlfn.XLOOKUP("[S06_InstallationsVerificationReportsIssueDetail]["&amp;1+ROW(B143)-ROW($B$133)&amp;"][AnnexIActivity]",Submission!$O:$O,Submission!$H:$N,""))</f>
        <v/>
      </c>
      <c r="D143" s="364"/>
      <c r="E143" s="274" t="str">
        <f>_xlfn.CONCAT(_xlfn.XLOOKUP("[S06_InstallationsVerificationReportsIssueDetail]["&amp;1+ROW(B143)-ROW($B$133)&amp;"][TypeOfIssue]",Submission!$O:$O,Submission!$H:$N,""))</f>
        <v/>
      </c>
      <c r="F143" s="364"/>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9" t="str">
        <f>_xlfn.CONCAT(_xlfn.XLOOKUP("[S06_InstallationsVerificationReportsIssueDetail]["&amp;1+ROW(B143)-ROW($B$133)&amp;"][ShareOfReportsConservativeEstimate]",Submission!$O:$O,Submission!$H:$N,""))</f>
        <v/>
      </c>
    </row>
    <row r="144" spans="1:9" ht="26.4" customHeight="1" x14ac:dyDescent="0.3">
      <c r="A144" s="13"/>
      <c r="C144" s="274" t="str">
        <f>_xlfn.CONCAT(_xlfn.XLOOKUP("[S06_InstallationsVerificationReportsIssueDetail]["&amp;1+ROW(B144)-ROW($B$133)&amp;"][AnnexIActivity]",Submission!$O:$O,Submission!$H:$N,""))</f>
        <v/>
      </c>
      <c r="D144" s="364"/>
      <c r="E144" s="274" t="str">
        <f>_xlfn.CONCAT(_xlfn.XLOOKUP("[S06_InstallationsVerificationReportsIssueDetail]["&amp;1+ROW(B144)-ROW($B$133)&amp;"][TypeOfIssue]",Submission!$O:$O,Submission!$H:$N,""))</f>
        <v/>
      </c>
      <c r="F144" s="364"/>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9" t="str">
        <f>_xlfn.CONCAT(_xlfn.XLOOKUP("[S06_InstallationsVerificationReportsIssueDetail]["&amp;1+ROW(B144)-ROW($B$133)&amp;"][ShareOfReportsConservativeEstimate]",Submission!$O:$O,Submission!$H:$N,""))</f>
        <v/>
      </c>
    </row>
    <row r="145" spans="1:9" ht="26.4" customHeight="1" x14ac:dyDescent="0.3">
      <c r="A145" s="13"/>
      <c r="C145" s="274" t="str">
        <f>_xlfn.CONCAT(_xlfn.XLOOKUP("[S06_InstallationsVerificationReportsIssueDetail]["&amp;1+ROW(B145)-ROW($B$133)&amp;"][AnnexIActivity]",Submission!$O:$O,Submission!$H:$N,""))</f>
        <v/>
      </c>
      <c r="D145" s="364"/>
      <c r="E145" s="274" t="str">
        <f>_xlfn.CONCAT(_xlfn.XLOOKUP("[S06_InstallationsVerificationReportsIssueDetail]["&amp;1+ROW(B145)-ROW($B$133)&amp;"][TypeOfIssue]",Submission!$O:$O,Submission!$H:$N,""))</f>
        <v/>
      </c>
      <c r="F145" s="364"/>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9" t="str">
        <f>_xlfn.CONCAT(_xlfn.XLOOKUP("[S06_InstallationsVerificationReportsIssueDetail]["&amp;1+ROW(B145)-ROW($B$133)&amp;"][ShareOfReportsConservativeEstimate]",Submission!$O:$O,Submission!$H:$N,""))</f>
        <v/>
      </c>
    </row>
    <row r="146" spans="1:9" ht="26.4" customHeight="1" x14ac:dyDescent="0.3">
      <c r="A146" s="13"/>
      <c r="C146" s="274" t="str">
        <f>_xlfn.CONCAT(_xlfn.XLOOKUP("[S06_InstallationsVerificationReportsIssueDetail]["&amp;1+ROW(B146)-ROW($B$133)&amp;"][AnnexIActivity]",Submission!$O:$O,Submission!$H:$N,""))</f>
        <v/>
      </c>
      <c r="D146" s="364"/>
      <c r="E146" s="274" t="str">
        <f>_xlfn.CONCAT(_xlfn.XLOOKUP("[S06_InstallationsVerificationReportsIssueDetail]["&amp;1+ROW(B146)-ROW($B$133)&amp;"][TypeOfIssue]",Submission!$O:$O,Submission!$H:$N,""))</f>
        <v/>
      </c>
      <c r="F146" s="364"/>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9" t="str">
        <f>_xlfn.CONCAT(_xlfn.XLOOKUP("[S06_InstallationsVerificationReportsIssueDetail]["&amp;1+ROW(B146)-ROW($B$133)&amp;"][ShareOfReportsConservativeEstimate]",Submission!$O:$O,Submission!$H:$N,""))</f>
        <v/>
      </c>
    </row>
    <row r="147" spans="1:9" ht="26.4" customHeight="1" x14ac:dyDescent="0.3">
      <c r="A147" s="13"/>
      <c r="C147" s="274" t="str">
        <f>_xlfn.CONCAT(_xlfn.XLOOKUP("[S06_InstallationsVerificationReportsIssueDetail]["&amp;1+ROW(B147)-ROW($B$133)&amp;"][AnnexIActivity]",Submission!$O:$O,Submission!$H:$N,""))</f>
        <v/>
      </c>
      <c r="D147" s="364"/>
      <c r="E147" s="274" t="str">
        <f>_xlfn.CONCAT(_xlfn.XLOOKUP("[S06_InstallationsVerificationReportsIssueDetail]["&amp;1+ROW(B147)-ROW($B$133)&amp;"][TypeOfIssue]",Submission!$O:$O,Submission!$H:$N,""))</f>
        <v/>
      </c>
      <c r="F147" s="364"/>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9" t="str">
        <f>_xlfn.CONCAT(_xlfn.XLOOKUP("[S06_InstallationsVerificationReportsIssueDetail]["&amp;1+ROW(B147)-ROW($B$133)&amp;"][ShareOfReportsConservativeEstimate]",Submission!$O:$O,Submission!$H:$N,""))</f>
        <v/>
      </c>
    </row>
    <row r="148" spans="1:9" ht="26.4" customHeight="1" x14ac:dyDescent="0.3">
      <c r="A148" s="13"/>
      <c r="C148" s="274" t="str">
        <f>_xlfn.CONCAT(_xlfn.XLOOKUP("[S06_InstallationsVerificationReportsIssueDetail]["&amp;1+ROW(B148)-ROW($B$133)&amp;"][AnnexIActivity]",Submission!$O:$O,Submission!$H:$N,""))</f>
        <v/>
      </c>
      <c r="D148" s="364"/>
      <c r="E148" s="274" t="str">
        <f>_xlfn.CONCAT(_xlfn.XLOOKUP("[S06_InstallationsVerificationReportsIssueDetail]["&amp;1+ROW(B148)-ROW($B$133)&amp;"][TypeOfIssue]",Submission!$O:$O,Submission!$H:$N,""))</f>
        <v/>
      </c>
      <c r="F148" s="364"/>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9" t="str">
        <f>_xlfn.CONCAT(_xlfn.XLOOKUP("[S06_InstallationsVerificationReportsIssueDetail]["&amp;1+ROW(B148)-ROW($B$133)&amp;"][ShareOfReportsConservativeEstimate]",Submission!$O:$O,Submission!$H:$N,""))</f>
        <v/>
      </c>
    </row>
    <row r="149" spans="1:9" ht="26.4" customHeight="1" x14ac:dyDescent="0.3">
      <c r="A149" s="13"/>
      <c r="C149" s="274" t="str">
        <f>_xlfn.CONCAT(_xlfn.XLOOKUP("[S06_InstallationsVerificationReportsIssueDetail]["&amp;1+ROW(B149)-ROW($B$133)&amp;"][AnnexIActivity]",Submission!$O:$O,Submission!$H:$N,""))</f>
        <v/>
      </c>
      <c r="D149" s="364"/>
      <c r="E149" s="274" t="str">
        <f>_xlfn.CONCAT(_xlfn.XLOOKUP("[S06_InstallationsVerificationReportsIssueDetail]["&amp;1+ROW(B149)-ROW($B$133)&amp;"][TypeOfIssue]",Submission!$O:$O,Submission!$H:$N,""))</f>
        <v/>
      </c>
      <c r="F149" s="364"/>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9" t="str">
        <f>_xlfn.CONCAT(_xlfn.XLOOKUP("[S06_InstallationsVerificationReportsIssueDetail]["&amp;1+ROW(B149)-ROW($B$133)&amp;"][ShareOfReportsConservativeEstimate]",Submission!$O:$O,Submission!$H:$N,""))</f>
        <v/>
      </c>
    </row>
    <row r="150" spans="1:9" ht="26.4" customHeight="1" x14ac:dyDescent="0.3">
      <c r="A150" s="13"/>
      <c r="C150" s="274" t="str">
        <f>_xlfn.CONCAT(_xlfn.XLOOKUP("[S06_InstallationsVerificationReportsIssueDetail]["&amp;1+ROW(B150)-ROW($B$133)&amp;"][AnnexIActivity]",Submission!$O:$O,Submission!$H:$N,""))</f>
        <v/>
      </c>
      <c r="D150" s="364"/>
      <c r="E150" s="274" t="str">
        <f>_xlfn.CONCAT(_xlfn.XLOOKUP("[S06_InstallationsVerificationReportsIssueDetail]["&amp;1+ROW(B150)-ROW($B$133)&amp;"][TypeOfIssue]",Submission!$O:$O,Submission!$H:$N,""))</f>
        <v/>
      </c>
      <c r="F150" s="364"/>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9" t="str">
        <f>_xlfn.CONCAT(_xlfn.XLOOKUP("[S06_InstallationsVerificationReportsIssueDetail]["&amp;1+ROW(B150)-ROW($B$133)&amp;"][ShareOfReportsConservativeEstimate]",Submission!$O:$O,Submission!$H:$N,""))</f>
        <v/>
      </c>
    </row>
    <row r="151" spans="1:9" ht="26.4" customHeight="1" x14ac:dyDescent="0.3">
      <c r="A151" s="13"/>
      <c r="C151" s="274" t="str">
        <f>_xlfn.CONCAT(_xlfn.XLOOKUP("[S06_InstallationsVerificationReportsIssueDetail]["&amp;1+ROW(B151)-ROW($B$133)&amp;"][AnnexIActivity]",Submission!$O:$O,Submission!$H:$N,""))</f>
        <v/>
      </c>
      <c r="D151" s="364"/>
      <c r="E151" s="274" t="str">
        <f>_xlfn.CONCAT(_xlfn.XLOOKUP("[S06_InstallationsVerificationReportsIssueDetail]["&amp;1+ROW(B151)-ROW($B$133)&amp;"][TypeOfIssue]",Submission!$O:$O,Submission!$H:$N,""))</f>
        <v/>
      </c>
      <c r="F151" s="364"/>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9" t="str">
        <f>_xlfn.CONCAT(_xlfn.XLOOKUP("[S06_InstallationsVerificationReportsIssueDetail]["&amp;1+ROW(B151)-ROW($B$133)&amp;"][ShareOfReportsConservativeEstimate]",Submission!$O:$O,Submission!$H:$N,""))</f>
        <v/>
      </c>
    </row>
    <row r="152" spans="1:9" ht="26.4" customHeight="1" x14ac:dyDescent="0.3">
      <c r="A152" s="13"/>
      <c r="C152" s="274" t="str">
        <f>_xlfn.CONCAT(_xlfn.XLOOKUP("[S06_InstallationsVerificationReportsIssueDetail]["&amp;1+ROW(B152)-ROW($B$133)&amp;"][AnnexIActivity]",Submission!$O:$O,Submission!$H:$N,""))</f>
        <v/>
      </c>
      <c r="D152" s="364"/>
      <c r="E152" s="274" t="str">
        <f>_xlfn.CONCAT(_xlfn.XLOOKUP("[S06_InstallationsVerificationReportsIssueDetail]["&amp;1+ROW(B152)-ROW($B$133)&amp;"][TypeOfIssue]",Submission!$O:$O,Submission!$H:$N,""))</f>
        <v/>
      </c>
      <c r="F152" s="364"/>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9" t="str">
        <f>_xlfn.CONCAT(_xlfn.XLOOKUP("[S06_InstallationsVerificationReportsIssueDetail]["&amp;1+ROW(B152)-ROW($B$133)&amp;"][ShareOfReportsConservativeEstimate]",Submission!$O:$O,Submission!$H:$N,""))</f>
        <v/>
      </c>
    </row>
    <row r="153" spans="1:9" ht="26.4" hidden="1" customHeight="1" outlineLevel="1" x14ac:dyDescent="0.3">
      <c r="A153" s="13"/>
      <c r="C153" s="274" t="str">
        <f>_xlfn.CONCAT(_xlfn.XLOOKUP("[S06_InstallationsVerificationReportsIssueDetail]["&amp;1+ROW(B153)-ROW($B$133)&amp;"][AnnexIActivity]",Submission!$O:$O,Submission!$H:$N,""))</f>
        <v/>
      </c>
      <c r="D153" s="364"/>
      <c r="E153" s="274" t="str">
        <f>_xlfn.CONCAT(_xlfn.XLOOKUP("[S06_InstallationsVerificationReportsIssueDetail]["&amp;1+ROW(B153)-ROW($B$133)&amp;"][TypeOfIssue]",Submission!$O:$O,Submission!$H:$N,""))</f>
        <v/>
      </c>
      <c r="F153" s="364"/>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9" t="str">
        <f>_xlfn.CONCAT(_xlfn.XLOOKUP("[S06_InstallationsVerificationReportsIssueDetail]["&amp;1+ROW(B153)-ROW($B$133)&amp;"][ShareOfReportsConservativeEstimate]",Submission!$O:$O,Submission!$H:$N,""))</f>
        <v/>
      </c>
    </row>
    <row r="154" spans="1:9" ht="26.4" hidden="1" customHeight="1" outlineLevel="1" x14ac:dyDescent="0.3">
      <c r="A154" s="13"/>
      <c r="C154" s="274" t="str">
        <f>_xlfn.CONCAT(_xlfn.XLOOKUP("[S06_InstallationsVerificationReportsIssueDetail]["&amp;1+ROW(B154)-ROW($B$133)&amp;"][AnnexIActivity]",Submission!$O:$O,Submission!$H:$N,""))</f>
        <v/>
      </c>
      <c r="D154" s="364"/>
      <c r="E154" s="274" t="str">
        <f>_xlfn.CONCAT(_xlfn.XLOOKUP("[S06_InstallationsVerificationReportsIssueDetail]["&amp;1+ROW(B154)-ROW($B$133)&amp;"][TypeOfIssue]",Submission!$O:$O,Submission!$H:$N,""))</f>
        <v/>
      </c>
      <c r="F154" s="364"/>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9" t="str">
        <f>_xlfn.CONCAT(_xlfn.XLOOKUP("[S06_InstallationsVerificationReportsIssueDetail]["&amp;1+ROW(B154)-ROW($B$133)&amp;"][ShareOfReportsConservativeEstimate]",Submission!$O:$O,Submission!$H:$N,""))</f>
        <v/>
      </c>
    </row>
    <row r="155" spans="1:9" ht="26.4" hidden="1" customHeight="1" outlineLevel="1" x14ac:dyDescent="0.3">
      <c r="A155" s="13"/>
      <c r="C155" s="274" t="str">
        <f>_xlfn.CONCAT(_xlfn.XLOOKUP("[S06_InstallationsVerificationReportsIssueDetail]["&amp;1+ROW(B155)-ROW($B$133)&amp;"][AnnexIActivity]",Submission!$O:$O,Submission!$H:$N,""))</f>
        <v/>
      </c>
      <c r="D155" s="364"/>
      <c r="E155" s="274" t="str">
        <f>_xlfn.CONCAT(_xlfn.XLOOKUP("[S06_InstallationsVerificationReportsIssueDetail]["&amp;1+ROW(B155)-ROW($B$133)&amp;"][TypeOfIssue]",Submission!$O:$O,Submission!$H:$N,""))</f>
        <v/>
      </c>
      <c r="F155" s="364"/>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9" t="str">
        <f>_xlfn.CONCAT(_xlfn.XLOOKUP("[S06_InstallationsVerificationReportsIssueDetail]["&amp;1+ROW(B155)-ROW($B$133)&amp;"][ShareOfReportsConservativeEstimate]",Submission!$O:$O,Submission!$H:$N,""))</f>
        <v/>
      </c>
    </row>
    <row r="156" spans="1:9" ht="26.4" hidden="1" customHeight="1" outlineLevel="1" x14ac:dyDescent="0.3">
      <c r="A156" s="13"/>
      <c r="C156" s="274" t="str">
        <f>_xlfn.CONCAT(_xlfn.XLOOKUP("[S06_InstallationsVerificationReportsIssueDetail]["&amp;1+ROW(B156)-ROW($B$133)&amp;"][AnnexIActivity]",Submission!$O:$O,Submission!$H:$N,""))</f>
        <v/>
      </c>
      <c r="D156" s="364"/>
      <c r="E156" s="274" t="str">
        <f>_xlfn.CONCAT(_xlfn.XLOOKUP("[S06_InstallationsVerificationReportsIssueDetail]["&amp;1+ROW(B156)-ROW($B$133)&amp;"][TypeOfIssue]",Submission!$O:$O,Submission!$H:$N,""))</f>
        <v/>
      </c>
      <c r="F156" s="364"/>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9" t="str">
        <f>_xlfn.CONCAT(_xlfn.XLOOKUP("[S06_InstallationsVerificationReportsIssueDetail]["&amp;1+ROW(B156)-ROW($B$133)&amp;"][ShareOfReportsConservativeEstimate]",Submission!$O:$O,Submission!$H:$N,""))</f>
        <v/>
      </c>
    </row>
    <row r="157" spans="1:9" ht="26.4" hidden="1" customHeight="1" outlineLevel="1" x14ac:dyDescent="0.3">
      <c r="A157" s="13"/>
      <c r="C157" s="274" t="str">
        <f>_xlfn.CONCAT(_xlfn.XLOOKUP("[S06_InstallationsVerificationReportsIssueDetail]["&amp;1+ROW(B157)-ROW($B$133)&amp;"][AnnexIActivity]",Submission!$O:$O,Submission!$H:$N,""))</f>
        <v/>
      </c>
      <c r="D157" s="364"/>
      <c r="E157" s="274" t="str">
        <f>_xlfn.CONCAT(_xlfn.XLOOKUP("[S06_InstallationsVerificationReportsIssueDetail]["&amp;1+ROW(B157)-ROW($B$133)&amp;"][TypeOfIssue]",Submission!$O:$O,Submission!$H:$N,""))</f>
        <v/>
      </c>
      <c r="F157" s="364"/>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9" t="str">
        <f>_xlfn.CONCAT(_xlfn.XLOOKUP("[S06_InstallationsVerificationReportsIssueDetail]["&amp;1+ROW(B157)-ROW($B$133)&amp;"][ShareOfReportsConservativeEstimate]",Submission!$O:$O,Submission!$H:$N,""))</f>
        <v/>
      </c>
    </row>
    <row r="158" spans="1:9" ht="26.4" hidden="1" customHeight="1" outlineLevel="1" x14ac:dyDescent="0.3">
      <c r="A158" s="13"/>
      <c r="C158" s="274" t="str">
        <f>_xlfn.CONCAT(_xlfn.XLOOKUP("[S06_InstallationsVerificationReportsIssueDetail]["&amp;1+ROW(B158)-ROW($B$133)&amp;"][AnnexIActivity]",Submission!$O:$O,Submission!$H:$N,""))</f>
        <v/>
      </c>
      <c r="D158" s="364"/>
      <c r="E158" s="274" t="str">
        <f>_xlfn.CONCAT(_xlfn.XLOOKUP("[S06_InstallationsVerificationReportsIssueDetail]["&amp;1+ROW(B158)-ROW($B$133)&amp;"][TypeOfIssue]",Submission!$O:$O,Submission!$H:$N,""))</f>
        <v/>
      </c>
      <c r="F158" s="364"/>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9" t="str">
        <f>_xlfn.CONCAT(_xlfn.XLOOKUP("[S06_InstallationsVerificationReportsIssueDetail]["&amp;1+ROW(B158)-ROW($B$133)&amp;"][ShareOfReportsConservativeEstimate]",Submission!$O:$O,Submission!$H:$N,""))</f>
        <v/>
      </c>
    </row>
    <row r="159" spans="1:9" ht="26.4" hidden="1" customHeight="1" outlineLevel="1" x14ac:dyDescent="0.3">
      <c r="A159" s="13"/>
      <c r="C159" s="274" t="str">
        <f>_xlfn.CONCAT(_xlfn.XLOOKUP("[S06_InstallationsVerificationReportsIssueDetail]["&amp;1+ROW(B159)-ROW($B$133)&amp;"][AnnexIActivity]",Submission!$O:$O,Submission!$H:$N,""))</f>
        <v/>
      </c>
      <c r="D159" s="364"/>
      <c r="E159" s="274" t="str">
        <f>_xlfn.CONCAT(_xlfn.XLOOKUP("[S06_InstallationsVerificationReportsIssueDetail]["&amp;1+ROW(B159)-ROW($B$133)&amp;"][TypeOfIssue]",Submission!$O:$O,Submission!$H:$N,""))</f>
        <v/>
      </c>
      <c r="F159" s="364"/>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9" t="str">
        <f>_xlfn.CONCAT(_xlfn.XLOOKUP("[S06_InstallationsVerificationReportsIssueDetail]["&amp;1+ROW(B159)-ROW($B$133)&amp;"][ShareOfReportsConservativeEstimate]",Submission!$O:$O,Submission!$H:$N,""))</f>
        <v/>
      </c>
    </row>
    <row r="160" spans="1:9" ht="26.4" hidden="1" customHeight="1" outlineLevel="1" x14ac:dyDescent="0.3">
      <c r="A160" s="13"/>
      <c r="C160" s="274" t="str">
        <f>_xlfn.CONCAT(_xlfn.XLOOKUP("[S06_InstallationsVerificationReportsIssueDetail]["&amp;1+ROW(B160)-ROW($B$133)&amp;"][AnnexIActivity]",Submission!$O:$O,Submission!$H:$N,""))</f>
        <v/>
      </c>
      <c r="D160" s="364"/>
      <c r="E160" s="274" t="str">
        <f>_xlfn.CONCAT(_xlfn.XLOOKUP("[S06_InstallationsVerificationReportsIssueDetail]["&amp;1+ROW(B160)-ROW($B$133)&amp;"][TypeOfIssue]",Submission!$O:$O,Submission!$H:$N,""))</f>
        <v/>
      </c>
      <c r="F160" s="364"/>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9" t="str">
        <f>_xlfn.CONCAT(_xlfn.XLOOKUP("[S06_InstallationsVerificationReportsIssueDetail]["&amp;1+ROW(B160)-ROW($B$133)&amp;"][ShareOfReportsConservativeEstimate]",Submission!$O:$O,Submission!$H:$N,""))</f>
        <v/>
      </c>
    </row>
    <row r="161" spans="1:9" ht="26.4" hidden="1" customHeight="1" outlineLevel="1" x14ac:dyDescent="0.3">
      <c r="A161" s="13"/>
      <c r="C161" s="274" t="str">
        <f>_xlfn.CONCAT(_xlfn.XLOOKUP("[S06_InstallationsVerificationReportsIssueDetail]["&amp;1+ROW(B161)-ROW($B$133)&amp;"][AnnexIActivity]",Submission!$O:$O,Submission!$H:$N,""))</f>
        <v/>
      </c>
      <c r="D161" s="364"/>
      <c r="E161" s="274" t="str">
        <f>_xlfn.CONCAT(_xlfn.XLOOKUP("[S06_InstallationsVerificationReportsIssueDetail]["&amp;1+ROW(B161)-ROW($B$133)&amp;"][TypeOfIssue]",Submission!$O:$O,Submission!$H:$N,""))</f>
        <v/>
      </c>
      <c r="F161" s="364"/>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9" t="str">
        <f>_xlfn.CONCAT(_xlfn.XLOOKUP("[S06_InstallationsVerificationReportsIssueDetail]["&amp;1+ROW(B161)-ROW($B$133)&amp;"][ShareOfReportsConservativeEstimate]",Submission!$O:$O,Submission!$H:$N,""))</f>
        <v/>
      </c>
    </row>
    <row r="162" spans="1:9" ht="26.4" hidden="1" customHeight="1" outlineLevel="1" x14ac:dyDescent="0.3">
      <c r="A162" s="13"/>
      <c r="C162" s="274" t="str">
        <f>_xlfn.CONCAT(_xlfn.XLOOKUP("[S06_InstallationsVerificationReportsIssueDetail]["&amp;1+ROW(B162)-ROW($B$133)&amp;"][AnnexIActivity]",Submission!$O:$O,Submission!$H:$N,""))</f>
        <v/>
      </c>
      <c r="D162" s="364"/>
      <c r="E162" s="274" t="str">
        <f>_xlfn.CONCAT(_xlfn.XLOOKUP("[S06_InstallationsVerificationReportsIssueDetail]["&amp;1+ROW(B162)-ROW($B$133)&amp;"][TypeOfIssue]",Submission!$O:$O,Submission!$H:$N,""))</f>
        <v/>
      </c>
      <c r="F162" s="364"/>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9" t="str">
        <f>_xlfn.CONCAT(_xlfn.XLOOKUP("[S06_InstallationsVerificationReportsIssueDetail]["&amp;1+ROW(B162)-ROW($B$133)&amp;"][ShareOfReportsConservativeEstimate]",Submission!$O:$O,Submission!$H:$N,""))</f>
        <v/>
      </c>
    </row>
    <row r="163" spans="1:9" ht="26.4" hidden="1" customHeight="1" outlineLevel="1" x14ac:dyDescent="0.3">
      <c r="A163" s="13"/>
      <c r="C163" s="274" t="str">
        <f>_xlfn.CONCAT(_xlfn.XLOOKUP("[S06_InstallationsVerificationReportsIssueDetail]["&amp;1+ROW(B163)-ROW($B$133)&amp;"][AnnexIActivity]",Submission!$O:$O,Submission!$H:$N,""))</f>
        <v/>
      </c>
      <c r="D163" s="364"/>
      <c r="E163" s="274" t="str">
        <f>_xlfn.CONCAT(_xlfn.XLOOKUP("[S06_InstallationsVerificationReportsIssueDetail]["&amp;1+ROW(B163)-ROW($B$133)&amp;"][TypeOfIssue]",Submission!$O:$O,Submission!$H:$N,""))</f>
        <v/>
      </c>
      <c r="F163" s="364"/>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9" t="str">
        <f>_xlfn.CONCAT(_xlfn.XLOOKUP("[S06_InstallationsVerificationReportsIssueDetail]["&amp;1+ROW(B163)-ROW($B$133)&amp;"][ShareOfReportsConservativeEstimate]",Submission!$O:$O,Submission!$H:$N,""))</f>
        <v/>
      </c>
    </row>
    <row r="164" spans="1:9" ht="26.4" hidden="1" customHeight="1" outlineLevel="1" x14ac:dyDescent="0.3">
      <c r="A164" s="13"/>
      <c r="C164" s="274" t="str">
        <f>_xlfn.CONCAT(_xlfn.XLOOKUP("[S06_InstallationsVerificationReportsIssueDetail]["&amp;1+ROW(B164)-ROW($B$133)&amp;"][AnnexIActivity]",Submission!$O:$O,Submission!$H:$N,""))</f>
        <v/>
      </c>
      <c r="D164" s="364"/>
      <c r="E164" s="274" t="str">
        <f>_xlfn.CONCAT(_xlfn.XLOOKUP("[S06_InstallationsVerificationReportsIssueDetail]["&amp;1+ROW(B164)-ROW($B$133)&amp;"][TypeOfIssue]",Submission!$O:$O,Submission!$H:$N,""))</f>
        <v/>
      </c>
      <c r="F164" s="364"/>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9" t="str">
        <f>_xlfn.CONCAT(_xlfn.XLOOKUP("[S06_InstallationsVerificationReportsIssueDetail]["&amp;1+ROW(B164)-ROW($B$133)&amp;"][ShareOfReportsConservativeEstimate]",Submission!$O:$O,Submission!$H:$N,""))</f>
        <v/>
      </c>
    </row>
    <row r="165" spans="1:9" ht="26.4" hidden="1" customHeight="1" outlineLevel="1" x14ac:dyDescent="0.3">
      <c r="A165" s="13"/>
      <c r="C165" s="274" t="str">
        <f>_xlfn.CONCAT(_xlfn.XLOOKUP("[S06_InstallationsVerificationReportsIssueDetail]["&amp;1+ROW(B165)-ROW($B$133)&amp;"][AnnexIActivity]",Submission!$O:$O,Submission!$H:$N,""))</f>
        <v/>
      </c>
      <c r="D165" s="364"/>
      <c r="E165" s="274" t="str">
        <f>_xlfn.CONCAT(_xlfn.XLOOKUP("[S06_InstallationsVerificationReportsIssueDetail]["&amp;1+ROW(B165)-ROW($B$133)&amp;"][TypeOfIssue]",Submission!$O:$O,Submission!$H:$N,""))</f>
        <v/>
      </c>
      <c r="F165" s="364"/>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9" t="str">
        <f>_xlfn.CONCAT(_xlfn.XLOOKUP("[S06_InstallationsVerificationReportsIssueDetail]["&amp;1+ROW(B165)-ROW($B$133)&amp;"][ShareOfReportsConservativeEstimate]",Submission!$O:$O,Submission!$H:$N,""))</f>
        <v/>
      </c>
    </row>
    <row r="166" spans="1:9" ht="26.4" hidden="1" customHeight="1" outlineLevel="1" x14ac:dyDescent="0.3">
      <c r="A166" s="13"/>
      <c r="C166" s="274" t="str">
        <f>_xlfn.CONCAT(_xlfn.XLOOKUP("[S06_InstallationsVerificationReportsIssueDetail]["&amp;1+ROW(B166)-ROW($B$133)&amp;"][AnnexIActivity]",Submission!$O:$O,Submission!$H:$N,""))</f>
        <v/>
      </c>
      <c r="D166" s="364"/>
      <c r="E166" s="274" t="str">
        <f>_xlfn.CONCAT(_xlfn.XLOOKUP("[S06_InstallationsVerificationReportsIssueDetail]["&amp;1+ROW(B166)-ROW($B$133)&amp;"][TypeOfIssue]",Submission!$O:$O,Submission!$H:$N,""))</f>
        <v/>
      </c>
      <c r="F166" s="364"/>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9" t="str">
        <f>_xlfn.CONCAT(_xlfn.XLOOKUP("[S06_InstallationsVerificationReportsIssueDetail]["&amp;1+ROW(B166)-ROW($B$133)&amp;"][ShareOfReportsConservativeEstimate]",Submission!$O:$O,Submission!$H:$N,""))</f>
        <v/>
      </c>
    </row>
    <row r="167" spans="1:9" ht="26.4" hidden="1" customHeight="1" outlineLevel="1" x14ac:dyDescent="0.3">
      <c r="A167" s="13"/>
      <c r="C167" s="274" t="str">
        <f>_xlfn.CONCAT(_xlfn.XLOOKUP("[S06_InstallationsVerificationReportsIssueDetail]["&amp;1+ROW(B167)-ROW($B$133)&amp;"][AnnexIActivity]",Submission!$O:$O,Submission!$H:$N,""))</f>
        <v/>
      </c>
      <c r="D167" s="364"/>
      <c r="E167" s="274" t="str">
        <f>_xlfn.CONCAT(_xlfn.XLOOKUP("[S06_InstallationsVerificationReportsIssueDetail]["&amp;1+ROW(B167)-ROW($B$133)&amp;"][TypeOfIssue]",Submission!$O:$O,Submission!$H:$N,""))</f>
        <v/>
      </c>
      <c r="F167" s="364"/>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9" t="str">
        <f>_xlfn.CONCAT(_xlfn.XLOOKUP("[S06_InstallationsVerificationReportsIssueDetail]["&amp;1+ROW(B167)-ROW($B$133)&amp;"][ShareOfReportsConservativeEstimate]",Submission!$O:$O,Submission!$H:$N,""))</f>
        <v/>
      </c>
    </row>
    <row r="168" spans="1:9" ht="26.4" hidden="1" customHeight="1" outlineLevel="1" x14ac:dyDescent="0.3">
      <c r="A168" s="13"/>
      <c r="C168" s="274" t="str">
        <f>_xlfn.CONCAT(_xlfn.XLOOKUP("[S06_InstallationsVerificationReportsIssueDetail]["&amp;1+ROW(B168)-ROW($B$133)&amp;"][AnnexIActivity]",Submission!$O:$O,Submission!$H:$N,""))</f>
        <v/>
      </c>
      <c r="D168" s="364"/>
      <c r="E168" s="274" t="str">
        <f>_xlfn.CONCAT(_xlfn.XLOOKUP("[S06_InstallationsVerificationReportsIssueDetail]["&amp;1+ROW(B168)-ROW($B$133)&amp;"][TypeOfIssue]",Submission!$O:$O,Submission!$H:$N,""))</f>
        <v/>
      </c>
      <c r="F168" s="364"/>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9" t="str">
        <f>_xlfn.CONCAT(_xlfn.XLOOKUP("[S06_InstallationsVerificationReportsIssueDetail]["&amp;1+ROW(B168)-ROW($B$133)&amp;"][ShareOfReportsConservativeEstimate]",Submission!$O:$O,Submission!$H:$N,""))</f>
        <v/>
      </c>
    </row>
    <row r="169" spans="1:9" ht="26.4" hidden="1" customHeight="1" outlineLevel="1" x14ac:dyDescent="0.3">
      <c r="A169" s="13"/>
      <c r="C169" s="274" t="str">
        <f>_xlfn.CONCAT(_xlfn.XLOOKUP("[S06_InstallationsVerificationReportsIssueDetail]["&amp;1+ROW(B169)-ROW($B$133)&amp;"][AnnexIActivity]",Submission!$O:$O,Submission!$H:$N,""))</f>
        <v/>
      </c>
      <c r="D169" s="364"/>
      <c r="E169" s="274" t="str">
        <f>_xlfn.CONCAT(_xlfn.XLOOKUP("[S06_InstallationsVerificationReportsIssueDetail]["&amp;1+ROW(B169)-ROW($B$133)&amp;"][TypeOfIssue]",Submission!$O:$O,Submission!$H:$N,""))</f>
        <v/>
      </c>
      <c r="F169" s="364"/>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9" t="str">
        <f>_xlfn.CONCAT(_xlfn.XLOOKUP("[S06_InstallationsVerificationReportsIssueDetail]["&amp;1+ROW(B169)-ROW($B$133)&amp;"][ShareOfReportsConservativeEstimate]",Submission!$O:$O,Submission!$H:$N,""))</f>
        <v/>
      </c>
    </row>
    <row r="170" spans="1:9" ht="26.4" hidden="1" customHeight="1" outlineLevel="1" x14ac:dyDescent="0.3">
      <c r="A170" s="13"/>
      <c r="C170" s="274" t="str">
        <f>_xlfn.CONCAT(_xlfn.XLOOKUP("[S06_InstallationsVerificationReportsIssueDetail]["&amp;1+ROW(B170)-ROW($B$133)&amp;"][AnnexIActivity]",Submission!$O:$O,Submission!$H:$N,""))</f>
        <v/>
      </c>
      <c r="D170" s="364"/>
      <c r="E170" s="274" t="str">
        <f>_xlfn.CONCAT(_xlfn.XLOOKUP("[S06_InstallationsVerificationReportsIssueDetail]["&amp;1+ROW(B170)-ROW($B$133)&amp;"][TypeOfIssue]",Submission!$O:$O,Submission!$H:$N,""))</f>
        <v/>
      </c>
      <c r="F170" s="364"/>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9" t="str">
        <f>_xlfn.CONCAT(_xlfn.XLOOKUP("[S06_InstallationsVerificationReportsIssueDetail]["&amp;1+ROW(B170)-ROW($B$133)&amp;"][ShareOfReportsConservativeEstimate]",Submission!$O:$O,Submission!$H:$N,""))</f>
        <v/>
      </c>
    </row>
    <row r="171" spans="1:9" ht="26.4" hidden="1" customHeight="1" outlineLevel="1" x14ac:dyDescent="0.3">
      <c r="A171" s="13"/>
      <c r="C171" s="274" t="str">
        <f>_xlfn.CONCAT(_xlfn.XLOOKUP("[S06_InstallationsVerificationReportsIssueDetail]["&amp;1+ROW(B171)-ROW($B$133)&amp;"][AnnexIActivity]",Submission!$O:$O,Submission!$H:$N,""))</f>
        <v/>
      </c>
      <c r="D171" s="364"/>
      <c r="E171" s="274" t="str">
        <f>_xlfn.CONCAT(_xlfn.XLOOKUP("[S06_InstallationsVerificationReportsIssueDetail]["&amp;1+ROW(B171)-ROW($B$133)&amp;"][TypeOfIssue]",Submission!$O:$O,Submission!$H:$N,""))</f>
        <v/>
      </c>
      <c r="F171" s="364"/>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9" t="str">
        <f>_xlfn.CONCAT(_xlfn.XLOOKUP("[S06_InstallationsVerificationReportsIssueDetail]["&amp;1+ROW(B171)-ROW($B$133)&amp;"][ShareOfReportsConservativeEstimate]",Submission!$O:$O,Submission!$H:$N,""))</f>
        <v/>
      </c>
    </row>
    <row r="172" spans="1:9" ht="26.4" hidden="1" customHeight="1" outlineLevel="1" x14ac:dyDescent="0.3">
      <c r="A172" s="13"/>
      <c r="C172" s="274" t="str">
        <f>_xlfn.CONCAT(_xlfn.XLOOKUP("[S06_InstallationsVerificationReportsIssueDetail]["&amp;1+ROW(B172)-ROW($B$133)&amp;"][AnnexIActivity]",Submission!$O:$O,Submission!$H:$N,""))</f>
        <v/>
      </c>
      <c r="D172" s="364"/>
      <c r="E172" s="274" t="str">
        <f>_xlfn.CONCAT(_xlfn.XLOOKUP("[S06_InstallationsVerificationReportsIssueDetail]["&amp;1+ROW(B172)-ROW($B$133)&amp;"][TypeOfIssue]",Submission!$O:$O,Submission!$H:$N,""))</f>
        <v/>
      </c>
      <c r="F172" s="364"/>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9" t="str">
        <f>_xlfn.CONCAT(_xlfn.XLOOKUP("[S06_InstallationsVerificationReportsIssueDetail]["&amp;1+ROW(B172)-ROW($B$133)&amp;"][ShareOfReportsConservativeEstimate]",Submission!$O:$O,Submission!$H:$N,""))</f>
        <v/>
      </c>
    </row>
    <row r="173" spans="1:9" ht="26.4" hidden="1" customHeight="1" outlineLevel="1" x14ac:dyDescent="0.3">
      <c r="A173" s="13"/>
      <c r="C173" s="274" t="str">
        <f>_xlfn.CONCAT(_xlfn.XLOOKUP("[S06_InstallationsVerificationReportsIssueDetail]["&amp;1+ROW(B173)-ROW($B$133)&amp;"][AnnexIActivity]",Submission!$O:$O,Submission!$H:$N,""))</f>
        <v/>
      </c>
      <c r="D173" s="364"/>
      <c r="E173" s="274" t="str">
        <f>_xlfn.CONCAT(_xlfn.XLOOKUP("[S06_InstallationsVerificationReportsIssueDetail]["&amp;1+ROW(B173)-ROW($B$133)&amp;"][TypeOfIssue]",Submission!$O:$O,Submission!$H:$N,""))</f>
        <v/>
      </c>
      <c r="F173" s="364"/>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9" t="str">
        <f>_xlfn.CONCAT(_xlfn.XLOOKUP("[S06_InstallationsVerificationReportsIssueDetail]["&amp;1+ROW(B173)-ROW($B$133)&amp;"][ShareOfReportsConservativeEstimate]",Submission!$O:$O,Submission!$H:$N,""))</f>
        <v/>
      </c>
    </row>
    <row r="174" spans="1:9" ht="26.4" hidden="1" customHeight="1" outlineLevel="1" x14ac:dyDescent="0.3">
      <c r="A174" s="13"/>
      <c r="C174" s="274" t="str">
        <f>_xlfn.CONCAT(_xlfn.XLOOKUP("[S06_InstallationsVerificationReportsIssueDetail]["&amp;1+ROW(B174)-ROW($B$133)&amp;"][AnnexIActivity]",Submission!$O:$O,Submission!$H:$N,""))</f>
        <v/>
      </c>
      <c r="D174" s="364"/>
      <c r="E174" s="274" t="str">
        <f>_xlfn.CONCAT(_xlfn.XLOOKUP("[S06_InstallationsVerificationReportsIssueDetail]["&amp;1+ROW(B174)-ROW($B$133)&amp;"][TypeOfIssue]",Submission!$O:$O,Submission!$H:$N,""))</f>
        <v/>
      </c>
      <c r="F174" s="364"/>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9" t="str">
        <f>_xlfn.CONCAT(_xlfn.XLOOKUP("[S06_InstallationsVerificationReportsIssueDetail]["&amp;1+ROW(B174)-ROW($B$133)&amp;"][ShareOfReportsConservativeEstimate]",Submission!$O:$O,Submission!$H:$N,""))</f>
        <v/>
      </c>
    </row>
    <row r="175" spans="1:9" ht="26.4" hidden="1" customHeight="1" outlineLevel="1" x14ac:dyDescent="0.3">
      <c r="A175" s="13"/>
      <c r="C175" s="274" t="str">
        <f>_xlfn.CONCAT(_xlfn.XLOOKUP("[S06_InstallationsVerificationReportsIssueDetail]["&amp;1+ROW(B175)-ROW($B$133)&amp;"][AnnexIActivity]",Submission!$O:$O,Submission!$H:$N,""))</f>
        <v/>
      </c>
      <c r="D175" s="364"/>
      <c r="E175" s="274" t="str">
        <f>_xlfn.CONCAT(_xlfn.XLOOKUP("[S06_InstallationsVerificationReportsIssueDetail]["&amp;1+ROW(B175)-ROW($B$133)&amp;"][TypeOfIssue]",Submission!$O:$O,Submission!$H:$N,""))</f>
        <v/>
      </c>
      <c r="F175" s="364"/>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9" t="str">
        <f>_xlfn.CONCAT(_xlfn.XLOOKUP("[S06_InstallationsVerificationReportsIssueDetail]["&amp;1+ROW(B175)-ROW($B$133)&amp;"][ShareOfReportsConservativeEstimate]",Submission!$O:$O,Submission!$H:$N,""))</f>
        <v/>
      </c>
    </row>
    <row r="176" spans="1:9" ht="26.4" hidden="1" customHeight="1" outlineLevel="1" x14ac:dyDescent="0.3">
      <c r="A176" s="13"/>
      <c r="C176" s="274" t="str">
        <f>_xlfn.CONCAT(_xlfn.XLOOKUP("[S06_InstallationsVerificationReportsIssueDetail]["&amp;1+ROW(B176)-ROW($B$133)&amp;"][AnnexIActivity]",Submission!$O:$O,Submission!$H:$N,""))</f>
        <v/>
      </c>
      <c r="D176" s="364"/>
      <c r="E176" s="274" t="str">
        <f>_xlfn.CONCAT(_xlfn.XLOOKUP("[S06_InstallationsVerificationReportsIssueDetail]["&amp;1+ROW(B176)-ROW($B$133)&amp;"][TypeOfIssue]",Submission!$O:$O,Submission!$H:$N,""))</f>
        <v/>
      </c>
      <c r="F176" s="364"/>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9" t="str">
        <f>_xlfn.CONCAT(_xlfn.XLOOKUP("[S06_InstallationsVerificationReportsIssueDetail]["&amp;1+ROW(B176)-ROW($B$133)&amp;"][ShareOfReportsConservativeEstimate]",Submission!$O:$O,Submission!$H:$N,""))</f>
        <v/>
      </c>
    </row>
    <row r="177" spans="1:9" ht="26.4" hidden="1" customHeight="1" outlineLevel="1" x14ac:dyDescent="0.3">
      <c r="A177" s="13"/>
      <c r="C177" s="274" t="str">
        <f>_xlfn.CONCAT(_xlfn.XLOOKUP("[S06_InstallationsVerificationReportsIssueDetail]["&amp;1+ROW(B177)-ROW($B$133)&amp;"][AnnexIActivity]",Submission!$O:$O,Submission!$H:$N,""))</f>
        <v/>
      </c>
      <c r="D177" s="364"/>
      <c r="E177" s="274" t="str">
        <f>_xlfn.CONCAT(_xlfn.XLOOKUP("[S06_InstallationsVerificationReportsIssueDetail]["&amp;1+ROW(B177)-ROW($B$133)&amp;"][TypeOfIssue]",Submission!$O:$O,Submission!$H:$N,""))</f>
        <v/>
      </c>
      <c r="F177" s="364"/>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9" t="str">
        <f>_xlfn.CONCAT(_xlfn.XLOOKUP("[S06_InstallationsVerificationReportsIssueDetail]["&amp;1+ROW(B177)-ROW($B$133)&amp;"][ShareOfReportsConservativeEstimate]",Submission!$O:$O,Submission!$H:$N,""))</f>
        <v/>
      </c>
    </row>
    <row r="178" spans="1:9" ht="26.4" hidden="1" customHeight="1" outlineLevel="1" x14ac:dyDescent="0.3">
      <c r="A178" s="13"/>
      <c r="C178" s="274" t="str">
        <f>_xlfn.CONCAT(_xlfn.XLOOKUP("[S06_InstallationsVerificationReportsIssueDetail]["&amp;1+ROW(B178)-ROW($B$133)&amp;"][AnnexIActivity]",Submission!$O:$O,Submission!$H:$N,""))</f>
        <v/>
      </c>
      <c r="D178" s="364"/>
      <c r="E178" s="274" t="str">
        <f>_xlfn.CONCAT(_xlfn.XLOOKUP("[S06_InstallationsVerificationReportsIssueDetail]["&amp;1+ROW(B178)-ROW($B$133)&amp;"][TypeOfIssue]",Submission!$O:$O,Submission!$H:$N,""))</f>
        <v/>
      </c>
      <c r="F178" s="364"/>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9" t="str">
        <f>_xlfn.CONCAT(_xlfn.XLOOKUP("[S06_InstallationsVerificationReportsIssueDetail]["&amp;1+ROW(B178)-ROW($B$133)&amp;"][ShareOfReportsConservativeEstimate]",Submission!$O:$O,Submission!$H:$N,""))</f>
        <v/>
      </c>
    </row>
    <row r="179" spans="1:9" ht="26.4" hidden="1" customHeight="1" outlineLevel="1" x14ac:dyDescent="0.3">
      <c r="A179" s="13"/>
      <c r="C179" s="274" t="str">
        <f>_xlfn.CONCAT(_xlfn.XLOOKUP("[S06_InstallationsVerificationReportsIssueDetail]["&amp;1+ROW(B179)-ROW($B$133)&amp;"][AnnexIActivity]",Submission!$O:$O,Submission!$H:$N,""))</f>
        <v/>
      </c>
      <c r="D179" s="364"/>
      <c r="E179" s="274" t="str">
        <f>_xlfn.CONCAT(_xlfn.XLOOKUP("[S06_InstallationsVerificationReportsIssueDetail]["&amp;1+ROW(B179)-ROW($B$133)&amp;"][TypeOfIssue]",Submission!$O:$O,Submission!$H:$N,""))</f>
        <v/>
      </c>
      <c r="F179" s="364"/>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9" t="str">
        <f>_xlfn.CONCAT(_xlfn.XLOOKUP("[S06_InstallationsVerificationReportsIssueDetail]["&amp;1+ROW(B179)-ROW($B$133)&amp;"][ShareOfReportsConservativeEstimate]",Submission!$O:$O,Submission!$H:$N,""))</f>
        <v/>
      </c>
    </row>
    <row r="180" spans="1:9" ht="26.4" hidden="1" customHeight="1" outlineLevel="1" x14ac:dyDescent="0.3">
      <c r="A180" s="13"/>
      <c r="C180" s="274" t="str">
        <f>_xlfn.CONCAT(_xlfn.XLOOKUP("[S06_InstallationsVerificationReportsIssueDetail]["&amp;1+ROW(B180)-ROW($B$133)&amp;"][AnnexIActivity]",Submission!$O:$O,Submission!$H:$N,""))</f>
        <v/>
      </c>
      <c r="D180" s="364"/>
      <c r="E180" s="274" t="str">
        <f>_xlfn.CONCAT(_xlfn.XLOOKUP("[S06_InstallationsVerificationReportsIssueDetail]["&amp;1+ROW(B180)-ROW($B$133)&amp;"][TypeOfIssue]",Submission!$O:$O,Submission!$H:$N,""))</f>
        <v/>
      </c>
      <c r="F180" s="364"/>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9" t="str">
        <f>_xlfn.CONCAT(_xlfn.XLOOKUP("[S06_InstallationsVerificationReportsIssueDetail]["&amp;1+ROW(B180)-ROW($B$133)&amp;"][ShareOfReportsConservativeEstimate]",Submission!$O:$O,Submission!$H:$N,""))</f>
        <v/>
      </c>
    </row>
    <row r="181" spans="1:9" ht="26.4" hidden="1" customHeight="1" outlineLevel="1" x14ac:dyDescent="0.3">
      <c r="A181" s="13"/>
      <c r="C181" s="274" t="str">
        <f>_xlfn.CONCAT(_xlfn.XLOOKUP("[S06_InstallationsVerificationReportsIssueDetail]["&amp;1+ROW(B181)-ROW($B$133)&amp;"][AnnexIActivity]",Submission!$O:$O,Submission!$H:$N,""))</f>
        <v/>
      </c>
      <c r="D181" s="364"/>
      <c r="E181" s="274" t="str">
        <f>_xlfn.CONCAT(_xlfn.XLOOKUP("[S06_InstallationsVerificationReportsIssueDetail]["&amp;1+ROW(B181)-ROW($B$133)&amp;"][TypeOfIssue]",Submission!$O:$O,Submission!$H:$N,""))</f>
        <v/>
      </c>
      <c r="F181" s="364"/>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9" t="str">
        <f>_xlfn.CONCAT(_xlfn.XLOOKUP("[S06_InstallationsVerificationReportsIssueDetail]["&amp;1+ROW(B181)-ROW($B$133)&amp;"][ShareOfReportsConservativeEstimate]",Submission!$O:$O,Submission!$H:$N,""))</f>
        <v/>
      </c>
    </row>
    <row r="182" spans="1:9" ht="26.4" hidden="1" customHeight="1" outlineLevel="1" x14ac:dyDescent="0.3">
      <c r="A182" s="13"/>
      <c r="C182" s="274" t="str">
        <f>_xlfn.CONCAT(_xlfn.XLOOKUP("[S06_InstallationsVerificationReportsIssueDetail]["&amp;1+ROW(B182)-ROW($B$133)&amp;"][AnnexIActivity]",Submission!$O:$O,Submission!$H:$N,""))</f>
        <v/>
      </c>
      <c r="D182" s="364"/>
      <c r="E182" s="274" t="str">
        <f>_xlfn.CONCAT(_xlfn.XLOOKUP("[S06_InstallationsVerificationReportsIssueDetail]["&amp;1+ROW(B182)-ROW($B$133)&amp;"][TypeOfIssue]",Submission!$O:$O,Submission!$H:$N,""))</f>
        <v/>
      </c>
      <c r="F182" s="364"/>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9" t="str">
        <f>_xlfn.CONCAT(_xlfn.XLOOKUP("[S06_InstallationsVerificationReportsIssueDetail]["&amp;1+ROW(B182)-ROW($B$133)&amp;"][ShareOfReportsConservativeEstimate]",Submission!$O:$O,Submission!$H:$N,""))</f>
        <v/>
      </c>
    </row>
    <row r="183" spans="1:9" ht="26.4" hidden="1" customHeight="1" outlineLevel="1" x14ac:dyDescent="0.3">
      <c r="A183" s="13"/>
      <c r="C183" s="274" t="str">
        <f>_xlfn.CONCAT(_xlfn.XLOOKUP("[S06_InstallationsVerificationReportsIssueDetail]["&amp;1+ROW(B183)-ROW($B$133)&amp;"][AnnexIActivity]",Submission!$O:$O,Submission!$H:$N,""))</f>
        <v/>
      </c>
      <c r="D183" s="364"/>
      <c r="E183" s="274" t="str">
        <f>_xlfn.CONCAT(_xlfn.XLOOKUP("[S06_InstallationsVerificationReportsIssueDetail]["&amp;1+ROW(B183)-ROW($B$133)&amp;"][TypeOfIssue]",Submission!$O:$O,Submission!$H:$N,""))</f>
        <v/>
      </c>
      <c r="F183" s="364"/>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9" t="str">
        <f>_xlfn.CONCAT(_xlfn.XLOOKUP("[S06_InstallationsVerificationReportsIssueDetail]["&amp;1+ROW(B183)-ROW($B$133)&amp;"][ShareOfReportsConservativeEstimate]",Submission!$O:$O,Submission!$H:$N,""))</f>
        <v/>
      </c>
    </row>
    <row r="184" spans="1:9" ht="26.4" hidden="1" customHeight="1" outlineLevel="1" x14ac:dyDescent="0.3">
      <c r="A184" s="13"/>
      <c r="C184" s="274" t="str">
        <f>_xlfn.CONCAT(_xlfn.XLOOKUP("[S06_InstallationsVerificationReportsIssueDetail]["&amp;1+ROW(B184)-ROW($B$133)&amp;"][AnnexIActivity]",Submission!$O:$O,Submission!$H:$N,""))</f>
        <v/>
      </c>
      <c r="D184" s="364"/>
      <c r="E184" s="274" t="str">
        <f>_xlfn.CONCAT(_xlfn.XLOOKUP("[S06_InstallationsVerificationReportsIssueDetail]["&amp;1+ROW(B184)-ROW($B$133)&amp;"][TypeOfIssue]",Submission!$O:$O,Submission!$H:$N,""))</f>
        <v/>
      </c>
      <c r="F184" s="364"/>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9" t="str">
        <f>_xlfn.CONCAT(_xlfn.XLOOKUP("[S06_InstallationsVerificationReportsIssueDetail]["&amp;1+ROW(B184)-ROW($B$133)&amp;"][ShareOfReportsConservativeEstimate]",Submission!$O:$O,Submission!$H:$N,""))</f>
        <v/>
      </c>
    </row>
    <row r="185" spans="1:9" ht="26.4" hidden="1" customHeight="1" outlineLevel="1" x14ac:dyDescent="0.3">
      <c r="A185" s="13"/>
      <c r="C185" s="274" t="str">
        <f>_xlfn.CONCAT(_xlfn.XLOOKUP("[S06_InstallationsVerificationReportsIssueDetail]["&amp;1+ROW(B185)-ROW($B$133)&amp;"][AnnexIActivity]",Submission!$O:$O,Submission!$H:$N,""))</f>
        <v/>
      </c>
      <c r="D185" s="364"/>
      <c r="E185" s="274" t="str">
        <f>_xlfn.CONCAT(_xlfn.XLOOKUP("[S06_InstallationsVerificationReportsIssueDetail]["&amp;1+ROW(B185)-ROW($B$133)&amp;"][TypeOfIssue]",Submission!$O:$O,Submission!$H:$N,""))</f>
        <v/>
      </c>
      <c r="F185" s="364"/>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9" t="str">
        <f>_xlfn.CONCAT(_xlfn.XLOOKUP("[S06_InstallationsVerificationReportsIssueDetail]["&amp;1+ROW(B185)-ROW($B$133)&amp;"][ShareOfReportsConservativeEstimate]",Submission!$O:$O,Submission!$H:$N,""))</f>
        <v/>
      </c>
    </row>
    <row r="186" spans="1:9" ht="26.4" hidden="1" customHeight="1" outlineLevel="1" x14ac:dyDescent="0.3">
      <c r="A186" s="13"/>
      <c r="C186" s="274" t="str">
        <f>_xlfn.CONCAT(_xlfn.XLOOKUP("[S06_InstallationsVerificationReportsIssueDetail]["&amp;1+ROW(B186)-ROW($B$133)&amp;"][AnnexIActivity]",Submission!$O:$O,Submission!$H:$N,""))</f>
        <v/>
      </c>
      <c r="D186" s="364"/>
      <c r="E186" s="274" t="str">
        <f>_xlfn.CONCAT(_xlfn.XLOOKUP("[S06_InstallationsVerificationReportsIssueDetail]["&amp;1+ROW(B186)-ROW($B$133)&amp;"][TypeOfIssue]",Submission!$O:$O,Submission!$H:$N,""))</f>
        <v/>
      </c>
      <c r="F186" s="364"/>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9" t="str">
        <f>_xlfn.CONCAT(_xlfn.XLOOKUP("[S06_InstallationsVerificationReportsIssueDetail]["&amp;1+ROW(B186)-ROW($B$133)&amp;"][ShareOfReportsConservativeEstimate]",Submission!$O:$O,Submission!$H:$N,""))</f>
        <v/>
      </c>
    </row>
    <row r="187" spans="1:9" ht="26.4" hidden="1" customHeight="1" outlineLevel="1" x14ac:dyDescent="0.3">
      <c r="A187" s="13"/>
      <c r="C187" s="274" t="str">
        <f>_xlfn.CONCAT(_xlfn.XLOOKUP("[S06_InstallationsVerificationReportsIssueDetail]["&amp;1+ROW(B187)-ROW($B$133)&amp;"][AnnexIActivity]",Submission!$O:$O,Submission!$H:$N,""))</f>
        <v/>
      </c>
      <c r="D187" s="364"/>
      <c r="E187" s="274" t="str">
        <f>_xlfn.CONCAT(_xlfn.XLOOKUP("[S06_InstallationsVerificationReportsIssueDetail]["&amp;1+ROW(B187)-ROW($B$133)&amp;"][TypeOfIssue]",Submission!$O:$O,Submission!$H:$N,""))</f>
        <v/>
      </c>
      <c r="F187" s="364"/>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9" t="str">
        <f>_xlfn.CONCAT(_xlfn.XLOOKUP("[S06_InstallationsVerificationReportsIssueDetail]["&amp;1+ROW(B187)-ROW($B$133)&amp;"][ShareOfReportsConservativeEstimate]",Submission!$O:$O,Submission!$H:$N,""))</f>
        <v/>
      </c>
    </row>
    <row r="188" spans="1:9" ht="26.4" hidden="1" customHeight="1" outlineLevel="1" x14ac:dyDescent="0.3">
      <c r="A188" s="13"/>
      <c r="C188" s="274" t="str">
        <f>_xlfn.CONCAT(_xlfn.XLOOKUP("[S06_InstallationsVerificationReportsIssueDetail]["&amp;1+ROW(B188)-ROW($B$133)&amp;"][AnnexIActivity]",Submission!$O:$O,Submission!$H:$N,""))</f>
        <v/>
      </c>
      <c r="D188" s="364"/>
      <c r="E188" s="274" t="str">
        <f>_xlfn.CONCAT(_xlfn.XLOOKUP("[S06_InstallationsVerificationReportsIssueDetail]["&amp;1+ROW(B188)-ROW($B$133)&amp;"][TypeOfIssue]",Submission!$O:$O,Submission!$H:$N,""))</f>
        <v/>
      </c>
      <c r="F188" s="364"/>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9" t="str">
        <f>_xlfn.CONCAT(_xlfn.XLOOKUP("[S06_InstallationsVerificationReportsIssueDetail]["&amp;1+ROW(B188)-ROW($B$133)&amp;"][ShareOfReportsConservativeEstimate]",Submission!$O:$O,Submission!$H:$N,""))</f>
        <v/>
      </c>
    </row>
    <row r="189" spans="1:9" ht="26.4" hidden="1" customHeight="1" outlineLevel="1" x14ac:dyDescent="0.3">
      <c r="A189" s="13"/>
      <c r="C189" s="274" t="str">
        <f>_xlfn.CONCAT(_xlfn.XLOOKUP("[S06_InstallationsVerificationReportsIssueDetail]["&amp;1+ROW(B189)-ROW($B$133)&amp;"][AnnexIActivity]",Submission!$O:$O,Submission!$H:$N,""))</f>
        <v/>
      </c>
      <c r="D189" s="364"/>
      <c r="E189" s="274" t="str">
        <f>_xlfn.CONCAT(_xlfn.XLOOKUP("[S06_InstallationsVerificationReportsIssueDetail]["&amp;1+ROW(B189)-ROW($B$133)&amp;"][TypeOfIssue]",Submission!$O:$O,Submission!$H:$N,""))</f>
        <v/>
      </c>
      <c r="F189" s="364"/>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9" t="str">
        <f>_xlfn.CONCAT(_xlfn.XLOOKUP("[S06_InstallationsVerificationReportsIssueDetail]["&amp;1+ROW(B189)-ROW($B$133)&amp;"][ShareOfReportsConservativeEstimate]",Submission!$O:$O,Submission!$H:$N,""))</f>
        <v/>
      </c>
    </row>
    <row r="190" spans="1:9" ht="26.4" hidden="1" customHeight="1" outlineLevel="1" x14ac:dyDescent="0.3">
      <c r="A190" s="13"/>
      <c r="C190" s="274" t="str">
        <f>_xlfn.CONCAT(_xlfn.XLOOKUP("[S06_InstallationsVerificationReportsIssueDetail]["&amp;1+ROW(B190)-ROW($B$133)&amp;"][AnnexIActivity]",Submission!$O:$O,Submission!$H:$N,""))</f>
        <v/>
      </c>
      <c r="D190" s="364"/>
      <c r="E190" s="274" t="str">
        <f>_xlfn.CONCAT(_xlfn.XLOOKUP("[S06_InstallationsVerificationReportsIssueDetail]["&amp;1+ROW(B190)-ROW($B$133)&amp;"][TypeOfIssue]",Submission!$O:$O,Submission!$H:$N,""))</f>
        <v/>
      </c>
      <c r="F190" s="364"/>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9" t="str">
        <f>_xlfn.CONCAT(_xlfn.XLOOKUP("[S06_InstallationsVerificationReportsIssueDetail]["&amp;1+ROW(B190)-ROW($B$133)&amp;"][ShareOfReportsConservativeEstimate]",Submission!$O:$O,Submission!$H:$N,""))</f>
        <v/>
      </c>
    </row>
    <row r="191" spans="1:9" ht="26.4" hidden="1" customHeight="1" outlineLevel="1" x14ac:dyDescent="0.3">
      <c r="A191" s="13"/>
      <c r="C191" s="274" t="str">
        <f>_xlfn.CONCAT(_xlfn.XLOOKUP("[S06_InstallationsVerificationReportsIssueDetail]["&amp;1+ROW(B191)-ROW($B$133)&amp;"][AnnexIActivity]",Submission!$O:$O,Submission!$H:$N,""))</f>
        <v/>
      </c>
      <c r="D191" s="364"/>
      <c r="E191" s="274" t="str">
        <f>_xlfn.CONCAT(_xlfn.XLOOKUP("[S06_InstallationsVerificationReportsIssueDetail]["&amp;1+ROW(B191)-ROW($B$133)&amp;"][TypeOfIssue]",Submission!$O:$O,Submission!$H:$N,""))</f>
        <v/>
      </c>
      <c r="F191" s="364"/>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9" t="str">
        <f>_xlfn.CONCAT(_xlfn.XLOOKUP("[S06_InstallationsVerificationReportsIssueDetail]["&amp;1+ROW(B191)-ROW($B$133)&amp;"][ShareOfReportsConservativeEstimate]",Submission!$O:$O,Submission!$H:$N,""))</f>
        <v/>
      </c>
    </row>
    <row r="192" spans="1:9" ht="26.4" hidden="1" customHeight="1" outlineLevel="1" x14ac:dyDescent="0.3">
      <c r="A192" s="13"/>
      <c r="C192" s="274" t="str">
        <f>_xlfn.CONCAT(_xlfn.XLOOKUP("[S06_InstallationsVerificationReportsIssueDetail]["&amp;1+ROW(B192)-ROW($B$133)&amp;"][AnnexIActivity]",Submission!$O:$O,Submission!$H:$N,""))</f>
        <v/>
      </c>
      <c r="D192" s="364"/>
      <c r="E192" s="274" t="str">
        <f>_xlfn.CONCAT(_xlfn.XLOOKUP("[S06_InstallationsVerificationReportsIssueDetail]["&amp;1+ROW(B192)-ROW($B$133)&amp;"][TypeOfIssue]",Submission!$O:$O,Submission!$H:$N,""))</f>
        <v/>
      </c>
      <c r="F192" s="364"/>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9" t="str">
        <f>_xlfn.CONCAT(_xlfn.XLOOKUP("[S06_InstallationsVerificationReportsIssueDetail]["&amp;1+ROW(B192)-ROW($B$133)&amp;"][ShareOfReportsConservativeEstimate]",Submission!$O:$O,Submission!$H:$N,""))</f>
        <v/>
      </c>
    </row>
    <row r="193" spans="1:9" ht="26.4" hidden="1" customHeight="1" outlineLevel="1" x14ac:dyDescent="0.3">
      <c r="A193" s="13"/>
      <c r="C193" s="274" t="str">
        <f>_xlfn.CONCAT(_xlfn.XLOOKUP("[S06_InstallationsVerificationReportsIssueDetail]["&amp;1+ROW(B193)-ROW($B$133)&amp;"][AnnexIActivity]",Submission!$O:$O,Submission!$H:$N,""))</f>
        <v/>
      </c>
      <c r="D193" s="364"/>
      <c r="E193" s="274" t="str">
        <f>_xlfn.CONCAT(_xlfn.XLOOKUP("[S06_InstallationsVerificationReportsIssueDetail]["&amp;1+ROW(B193)-ROW($B$133)&amp;"][TypeOfIssue]",Submission!$O:$O,Submission!$H:$N,""))</f>
        <v/>
      </c>
      <c r="F193" s="364"/>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9" t="str">
        <f>_xlfn.CONCAT(_xlfn.XLOOKUP("[S06_InstallationsVerificationReportsIssueDetail]["&amp;1+ROW(B193)-ROW($B$133)&amp;"][ShareOfReportsConservativeEstimate]",Submission!$O:$O,Submission!$H:$N,""))</f>
        <v/>
      </c>
    </row>
    <row r="194" spans="1:9" ht="26.4" hidden="1" customHeight="1" outlineLevel="1" x14ac:dyDescent="0.3">
      <c r="A194" s="13"/>
      <c r="C194" s="274" t="str">
        <f>_xlfn.CONCAT(_xlfn.XLOOKUP("[S06_InstallationsVerificationReportsIssueDetail]["&amp;1+ROW(B194)-ROW($B$133)&amp;"][AnnexIActivity]",Submission!$O:$O,Submission!$H:$N,""))</f>
        <v/>
      </c>
      <c r="D194" s="364"/>
      <c r="E194" s="274" t="str">
        <f>_xlfn.CONCAT(_xlfn.XLOOKUP("[S06_InstallationsVerificationReportsIssueDetail]["&amp;1+ROW(B194)-ROW($B$133)&amp;"][TypeOfIssue]",Submission!$O:$O,Submission!$H:$N,""))</f>
        <v/>
      </c>
      <c r="F194" s="364"/>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9" t="str">
        <f>_xlfn.CONCAT(_xlfn.XLOOKUP("[S06_InstallationsVerificationReportsIssueDetail]["&amp;1+ROW(B194)-ROW($B$133)&amp;"][ShareOfReportsConservativeEstimate]",Submission!$O:$O,Submission!$H:$N,""))</f>
        <v/>
      </c>
    </row>
    <row r="195" spans="1:9" ht="26.4" hidden="1" customHeight="1" outlineLevel="1" x14ac:dyDescent="0.3">
      <c r="A195" s="13"/>
      <c r="C195" s="274" t="str">
        <f>_xlfn.CONCAT(_xlfn.XLOOKUP("[S06_InstallationsVerificationReportsIssueDetail]["&amp;1+ROW(B195)-ROW($B$133)&amp;"][AnnexIActivity]",Submission!$O:$O,Submission!$H:$N,""))</f>
        <v/>
      </c>
      <c r="D195" s="364"/>
      <c r="E195" s="274" t="str">
        <f>_xlfn.CONCAT(_xlfn.XLOOKUP("[S06_InstallationsVerificationReportsIssueDetail]["&amp;1+ROW(B195)-ROW($B$133)&amp;"][TypeOfIssue]",Submission!$O:$O,Submission!$H:$N,""))</f>
        <v/>
      </c>
      <c r="F195" s="364"/>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9" t="str">
        <f>_xlfn.CONCAT(_xlfn.XLOOKUP("[S06_InstallationsVerificationReportsIssueDetail]["&amp;1+ROW(B195)-ROW($B$133)&amp;"][ShareOfReportsConservativeEstimate]",Submission!$O:$O,Submission!$H:$N,""))</f>
        <v/>
      </c>
    </row>
    <row r="196" spans="1:9" ht="26.4" hidden="1" customHeight="1" outlineLevel="1" x14ac:dyDescent="0.3">
      <c r="A196" s="13"/>
      <c r="C196" s="274" t="str">
        <f>_xlfn.CONCAT(_xlfn.XLOOKUP("[S06_InstallationsVerificationReportsIssueDetail]["&amp;1+ROW(B196)-ROW($B$133)&amp;"][AnnexIActivity]",Submission!$O:$O,Submission!$H:$N,""))</f>
        <v/>
      </c>
      <c r="D196" s="364"/>
      <c r="E196" s="274" t="str">
        <f>_xlfn.CONCAT(_xlfn.XLOOKUP("[S06_InstallationsVerificationReportsIssueDetail]["&amp;1+ROW(B196)-ROW($B$133)&amp;"][TypeOfIssue]",Submission!$O:$O,Submission!$H:$N,""))</f>
        <v/>
      </c>
      <c r="F196" s="364"/>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9" t="str">
        <f>_xlfn.CONCAT(_xlfn.XLOOKUP("[S06_InstallationsVerificationReportsIssueDetail]["&amp;1+ROW(B196)-ROW($B$133)&amp;"][ShareOfReportsConservativeEstimate]",Submission!$O:$O,Submission!$H:$N,""))</f>
        <v/>
      </c>
    </row>
    <row r="197" spans="1:9" ht="26.4" hidden="1" customHeight="1" outlineLevel="1" x14ac:dyDescent="0.3">
      <c r="A197" s="13"/>
      <c r="C197" s="274" t="str">
        <f>_xlfn.CONCAT(_xlfn.XLOOKUP("[S06_InstallationsVerificationReportsIssueDetail]["&amp;1+ROW(B197)-ROW($B$133)&amp;"][AnnexIActivity]",Submission!$O:$O,Submission!$H:$N,""))</f>
        <v/>
      </c>
      <c r="D197" s="364"/>
      <c r="E197" s="274" t="str">
        <f>_xlfn.CONCAT(_xlfn.XLOOKUP("[S06_InstallationsVerificationReportsIssueDetail]["&amp;1+ROW(B197)-ROW($B$133)&amp;"][TypeOfIssue]",Submission!$O:$O,Submission!$H:$N,""))</f>
        <v/>
      </c>
      <c r="F197" s="364"/>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9" t="str">
        <f>_xlfn.CONCAT(_xlfn.XLOOKUP("[S06_InstallationsVerificationReportsIssueDetail]["&amp;1+ROW(B197)-ROW($B$133)&amp;"][ShareOfReportsConservativeEstimate]",Submission!$O:$O,Submission!$H:$N,""))</f>
        <v/>
      </c>
    </row>
    <row r="198" spans="1:9" ht="26.4" hidden="1" customHeight="1" outlineLevel="1" x14ac:dyDescent="0.3">
      <c r="A198" s="13"/>
      <c r="C198" s="274" t="str">
        <f>_xlfn.CONCAT(_xlfn.XLOOKUP("[S06_InstallationsVerificationReportsIssueDetail]["&amp;1+ROW(B198)-ROW($B$133)&amp;"][AnnexIActivity]",Submission!$O:$O,Submission!$H:$N,""))</f>
        <v/>
      </c>
      <c r="D198" s="364"/>
      <c r="E198" s="274" t="str">
        <f>_xlfn.CONCAT(_xlfn.XLOOKUP("[S06_InstallationsVerificationReportsIssueDetail]["&amp;1+ROW(B198)-ROW($B$133)&amp;"][TypeOfIssue]",Submission!$O:$O,Submission!$H:$N,""))</f>
        <v/>
      </c>
      <c r="F198" s="364"/>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9" t="str">
        <f>_xlfn.CONCAT(_xlfn.XLOOKUP("[S06_InstallationsVerificationReportsIssueDetail]["&amp;1+ROW(B198)-ROW($B$133)&amp;"][ShareOfReportsConservativeEstimate]",Submission!$O:$O,Submission!$H:$N,""))</f>
        <v/>
      </c>
    </row>
    <row r="199" spans="1:9" ht="26.4" hidden="1" customHeight="1" outlineLevel="1" x14ac:dyDescent="0.3">
      <c r="A199" s="13"/>
      <c r="C199" s="274" t="str">
        <f>_xlfn.CONCAT(_xlfn.XLOOKUP("[S06_InstallationsVerificationReportsIssueDetail]["&amp;1+ROW(B199)-ROW($B$133)&amp;"][AnnexIActivity]",Submission!$O:$O,Submission!$H:$N,""))</f>
        <v/>
      </c>
      <c r="D199" s="364"/>
      <c r="E199" s="274" t="str">
        <f>_xlfn.CONCAT(_xlfn.XLOOKUP("[S06_InstallationsVerificationReportsIssueDetail]["&amp;1+ROW(B199)-ROW($B$133)&amp;"][TypeOfIssue]",Submission!$O:$O,Submission!$H:$N,""))</f>
        <v/>
      </c>
      <c r="F199" s="364"/>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9" t="str">
        <f>_xlfn.CONCAT(_xlfn.XLOOKUP("[S06_InstallationsVerificationReportsIssueDetail]["&amp;1+ROW(B199)-ROW($B$133)&amp;"][ShareOfReportsConservativeEstimate]",Submission!$O:$O,Submission!$H:$N,""))</f>
        <v/>
      </c>
    </row>
    <row r="200" spans="1:9" ht="26.4" hidden="1" customHeight="1" outlineLevel="1" x14ac:dyDescent="0.3">
      <c r="A200" s="13"/>
      <c r="C200" s="274" t="str">
        <f>_xlfn.CONCAT(_xlfn.XLOOKUP("[S06_InstallationsVerificationReportsIssueDetail]["&amp;1+ROW(B200)-ROW($B$133)&amp;"][AnnexIActivity]",Submission!$O:$O,Submission!$H:$N,""))</f>
        <v/>
      </c>
      <c r="D200" s="364"/>
      <c r="E200" s="274" t="str">
        <f>_xlfn.CONCAT(_xlfn.XLOOKUP("[S06_InstallationsVerificationReportsIssueDetail]["&amp;1+ROW(B200)-ROW($B$133)&amp;"][TypeOfIssue]",Submission!$O:$O,Submission!$H:$N,""))</f>
        <v/>
      </c>
      <c r="F200" s="364"/>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9" t="str">
        <f>_xlfn.CONCAT(_xlfn.XLOOKUP("[S06_InstallationsVerificationReportsIssueDetail]["&amp;1+ROW(B200)-ROW($B$133)&amp;"][ShareOfReportsConservativeEstimate]",Submission!$O:$O,Submission!$H:$N,""))</f>
        <v/>
      </c>
    </row>
    <row r="201" spans="1:9" ht="26.4" hidden="1" customHeight="1" outlineLevel="1" x14ac:dyDescent="0.3">
      <c r="A201" s="13"/>
      <c r="C201" s="274" t="str">
        <f>_xlfn.CONCAT(_xlfn.XLOOKUP("[S06_InstallationsVerificationReportsIssueDetail]["&amp;1+ROW(B201)-ROW($B$133)&amp;"][AnnexIActivity]",Submission!$O:$O,Submission!$H:$N,""))</f>
        <v/>
      </c>
      <c r="D201" s="364"/>
      <c r="E201" s="274" t="str">
        <f>_xlfn.CONCAT(_xlfn.XLOOKUP("[S06_InstallationsVerificationReportsIssueDetail]["&amp;1+ROW(B201)-ROW($B$133)&amp;"][TypeOfIssue]",Submission!$O:$O,Submission!$H:$N,""))</f>
        <v/>
      </c>
      <c r="F201" s="364"/>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9" t="str">
        <f>_xlfn.CONCAT(_xlfn.XLOOKUP("[S06_InstallationsVerificationReportsIssueDetail]["&amp;1+ROW(B201)-ROW($B$133)&amp;"][ShareOfReportsConservativeEstimate]",Submission!$O:$O,Submission!$H:$N,""))</f>
        <v/>
      </c>
    </row>
    <row r="202" spans="1:9" ht="26.4" hidden="1" customHeight="1" outlineLevel="1" x14ac:dyDescent="0.3">
      <c r="A202" s="13"/>
      <c r="C202" s="274" t="str">
        <f>_xlfn.CONCAT(_xlfn.XLOOKUP("[S06_InstallationsVerificationReportsIssueDetail]["&amp;1+ROW(B202)-ROW($B$133)&amp;"][AnnexIActivity]",Submission!$O:$O,Submission!$H:$N,""))</f>
        <v/>
      </c>
      <c r="D202" s="364"/>
      <c r="E202" s="274" t="str">
        <f>_xlfn.CONCAT(_xlfn.XLOOKUP("[S06_InstallationsVerificationReportsIssueDetail]["&amp;1+ROW(B202)-ROW($B$133)&amp;"][TypeOfIssue]",Submission!$O:$O,Submission!$H:$N,""))</f>
        <v/>
      </c>
      <c r="F202" s="364"/>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9" t="str">
        <f>_xlfn.CONCAT(_xlfn.XLOOKUP("[S06_InstallationsVerificationReportsIssueDetail]["&amp;1+ROW(B202)-ROW($B$133)&amp;"][ShareOfReportsConservativeEstimate]",Submission!$O:$O,Submission!$H:$N,""))</f>
        <v/>
      </c>
    </row>
    <row r="203" spans="1:9" ht="26.4" hidden="1" customHeight="1" outlineLevel="1" x14ac:dyDescent="0.3">
      <c r="A203" s="13"/>
      <c r="C203" s="274" t="str">
        <f>_xlfn.CONCAT(_xlfn.XLOOKUP("[S06_InstallationsVerificationReportsIssueDetail]["&amp;1+ROW(B203)-ROW($B$133)&amp;"][AnnexIActivity]",Submission!$O:$O,Submission!$H:$N,""))</f>
        <v/>
      </c>
      <c r="D203" s="364"/>
      <c r="E203" s="274" t="str">
        <f>_xlfn.CONCAT(_xlfn.XLOOKUP("[S06_InstallationsVerificationReportsIssueDetail]["&amp;1+ROW(B203)-ROW($B$133)&amp;"][TypeOfIssue]",Submission!$O:$O,Submission!$H:$N,""))</f>
        <v/>
      </c>
      <c r="F203" s="364"/>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9" t="str">
        <f>_xlfn.CONCAT(_xlfn.XLOOKUP("[S06_InstallationsVerificationReportsIssueDetail]["&amp;1+ROW(B203)-ROW($B$133)&amp;"][ShareOfReportsConservativeEstimate]",Submission!$O:$O,Submission!$H:$N,""))</f>
        <v/>
      </c>
    </row>
    <row r="204" spans="1:9" ht="26.4" hidden="1" customHeight="1" outlineLevel="1" x14ac:dyDescent="0.3">
      <c r="A204" s="13"/>
      <c r="C204" s="274" t="str">
        <f>_xlfn.CONCAT(_xlfn.XLOOKUP("[S06_InstallationsVerificationReportsIssueDetail]["&amp;1+ROW(B204)-ROW($B$133)&amp;"][AnnexIActivity]",Submission!$O:$O,Submission!$H:$N,""))</f>
        <v/>
      </c>
      <c r="D204" s="364"/>
      <c r="E204" s="274" t="str">
        <f>_xlfn.CONCAT(_xlfn.XLOOKUP("[S06_InstallationsVerificationReportsIssueDetail]["&amp;1+ROW(B204)-ROW($B$133)&amp;"][TypeOfIssue]",Submission!$O:$O,Submission!$H:$N,""))</f>
        <v/>
      </c>
      <c r="F204" s="364"/>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9" t="str">
        <f>_xlfn.CONCAT(_xlfn.XLOOKUP("[S06_InstallationsVerificationReportsIssueDetail]["&amp;1+ROW(B204)-ROW($B$133)&amp;"][ShareOfReportsConservativeEstimate]",Submission!$O:$O,Submission!$H:$N,""))</f>
        <v/>
      </c>
    </row>
    <row r="205" spans="1:9" ht="26.4" hidden="1" customHeight="1" outlineLevel="1" x14ac:dyDescent="0.3">
      <c r="A205" s="13"/>
      <c r="C205" s="274" t="str">
        <f>_xlfn.CONCAT(_xlfn.XLOOKUP("[S06_InstallationsVerificationReportsIssueDetail]["&amp;1+ROW(B205)-ROW($B$133)&amp;"][AnnexIActivity]",Submission!$O:$O,Submission!$H:$N,""))</f>
        <v/>
      </c>
      <c r="D205" s="364"/>
      <c r="E205" s="274" t="str">
        <f>_xlfn.CONCAT(_xlfn.XLOOKUP("[S06_InstallationsVerificationReportsIssueDetail]["&amp;1+ROW(B205)-ROW($B$133)&amp;"][TypeOfIssue]",Submission!$O:$O,Submission!$H:$N,""))</f>
        <v/>
      </c>
      <c r="F205" s="364"/>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9" t="str">
        <f>_xlfn.CONCAT(_xlfn.XLOOKUP("[S06_InstallationsVerificationReportsIssueDetail]["&amp;1+ROW(B205)-ROW($B$133)&amp;"][ShareOfReportsConservativeEstimate]",Submission!$O:$O,Submission!$H:$N,""))</f>
        <v/>
      </c>
    </row>
    <row r="206" spans="1:9" ht="26.4" hidden="1" customHeight="1" outlineLevel="1" x14ac:dyDescent="0.3">
      <c r="A206" s="13"/>
      <c r="C206" s="274" t="str">
        <f>_xlfn.CONCAT(_xlfn.XLOOKUP("[S06_InstallationsVerificationReportsIssueDetail]["&amp;1+ROW(B206)-ROW($B$133)&amp;"][AnnexIActivity]",Submission!$O:$O,Submission!$H:$N,""))</f>
        <v/>
      </c>
      <c r="D206" s="364"/>
      <c r="E206" s="274" t="str">
        <f>_xlfn.CONCAT(_xlfn.XLOOKUP("[S06_InstallationsVerificationReportsIssueDetail]["&amp;1+ROW(B206)-ROW($B$133)&amp;"][TypeOfIssue]",Submission!$O:$O,Submission!$H:$N,""))</f>
        <v/>
      </c>
      <c r="F206" s="364"/>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9" t="str">
        <f>_xlfn.CONCAT(_xlfn.XLOOKUP("[S06_InstallationsVerificationReportsIssueDetail]["&amp;1+ROW(B206)-ROW($B$133)&amp;"][ShareOfReportsConservativeEstimate]",Submission!$O:$O,Submission!$H:$N,""))</f>
        <v/>
      </c>
    </row>
    <row r="207" spans="1:9" ht="26.4" hidden="1" customHeight="1" outlineLevel="1" x14ac:dyDescent="0.3">
      <c r="A207" s="13"/>
      <c r="C207" s="274" t="str">
        <f>_xlfn.CONCAT(_xlfn.XLOOKUP("[S06_InstallationsVerificationReportsIssueDetail]["&amp;1+ROW(B207)-ROW($B$133)&amp;"][AnnexIActivity]",Submission!$O:$O,Submission!$H:$N,""))</f>
        <v/>
      </c>
      <c r="D207" s="364"/>
      <c r="E207" s="274" t="str">
        <f>_xlfn.CONCAT(_xlfn.XLOOKUP("[S06_InstallationsVerificationReportsIssueDetail]["&amp;1+ROW(B207)-ROW($B$133)&amp;"][TypeOfIssue]",Submission!$O:$O,Submission!$H:$N,""))</f>
        <v/>
      </c>
      <c r="F207" s="364"/>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9" t="str">
        <f>_xlfn.CONCAT(_xlfn.XLOOKUP("[S06_InstallationsVerificationReportsIssueDetail]["&amp;1+ROW(B207)-ROW($B$133)&amp;"][ShareOfReportsConservativeEstimate]",Submission!$O:$O,Submission!$H:$N,""))</f>
        <v/>
      </c>
    </row>
    <row r="208" spans="1:9" ht="26.4" hidden="1" customHeight="1" outlineLevel="1" x14ac:dyDescent="0.3">
      <c r="A208" s="13"/>
      <c r="C208" s="274" t="str">
        <f>_xlfn.CONCAT(_xlfn.XLOOKUP("[S06_InstallationsVerificationReportsIssueDetail]["&amp;1+ROW(B208)-ROW($B$133)&amp;"][AnnexIActivity]",Submission!$O:$O,Submission!$H:$N,""))</f>
        <v/>
      </c>
      <c r="D208" s="364"/>
      <c r="E208" s="274" t="str">
        <f>_xlfn.CONCAT(_xlfn.XLOOKUP("[S06_InstallationsVerificationReportsIssueDetail]["&amp;1+ROW(B208)-ROW($B$133)&amp;"][TypeOfIssue]",Submission!$O:$O,Submission!$H:$N,""))</f>
        <v/>
      </c>
      <c r="F208" s="364"/>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9" t="str">
        <f>_xlfn.CONCAT(_xlfn.XLOOKUP("[S06_InstallationsVerificationReportsIssueDetail]["&amp;1+ROW(B208)-ROW($B$133)&amp;"][ShareOfReportsConservativeEstimate]",Submission!$O:$O,Submission!$H:$N,""))</f>
        <v/>
      </c>
    </row>
    <row r="209" spans="1:9" ht="26.4" hidden="1" customHeight="1" outlineLevel="1" x14ac:dyDescent="0.3">
      <c r="A209" s="13"/>
      <c r="C209" s="274" t="str">
        <f>_xlfn.CONCAT(_xlfn.XLOOKUP("[S06_InstallationsVerificationReportsIssueDetail]["&amp;1+ROW(B209)-ROW($B$133)&amp;"][AnnexIActivity]",Submission!$O:$O,Submission!$H:$N,""))</f>
        <v/>
      </c>
      <c r="D209" s="364"/>
      <c r="E209" s="274" t="str">
        <f>_xlfn.CONCAT(_xlfn.XLOOKUP("[S06_InstallationsVerificationReportsIssueDetail]["&amp;1+ROW(B209)-ROW($B$133)&amp;"][TypeOfIssue]",Submission!$O:$O,Submission!$H:$N,""))</f>
        <v/>
      </c>
      <c r="F209" s="364"/>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9" t="str">
        <f>_xlfn.CONCAT(_xlfn.XLOOKUP("[S06_InstallationsVerificationReportsIssueDetail]["&amp;1+ROW(B209)-ROW($B$133)&amp;"][ShareOfReportsConservativeEstimate]",Submission!$O:$O,Submission!$H:$N,""))</f>
        <v/>
      </c>
    </row>
    <row r="210" spans="1:9" ht="26.4" hidden="1" customHeight="1" outlineLevel="1" x14ac:dyDescent="0.3">
      <c r="A210" s="13"/>
      <c r="C210" s="274" t="str">
        <f>_xlfn.CONCAT(_xlfn.XLOOKUP("[S06_InstallationsVerificationReportsIssueDetail]["&amp;1+ROW(B210)-ROW($B$133)&amp;"][AnnexIActivity]",Submission!$O:$O,Submission!$H:$N,""))</f>
        <v/>
      </c>
      <c r="D210" s="364"/>
      <c r="E210" s="274" t="str">
        <f>_xlfn.CONCAT(_xlfn.XLOOKUP("[S06_InstallationsVerificationReportsIssueDetail]["&amp;1+ROW(B210)-ROW($B$133)&amp;"][TypeOfIssue]",Submission!$O:$O,Submission!$H:$N,""))</f>
        <v/>
      </c>
      <c r="F210" s="364"/>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9" t="str">
        <f>_xlfn.CONCAT(_xlfn.XLOOKUP("[S06_InstallationsVerificationReportsIssueDetail]["&amp;1+ROW(B210)-ROW($B$133)&amp;"][ShareOfReportsConservativeEstimate]",Submission!$O:$O,Submission!$H:$N,""))</f>
        <v/>
      </c>
    </row>
    <row r="211" spans="1:9" ht="26.4" hidden="1" customHeight="1" outlineLevel="1" x14ac:dyDescent="0.3">
      <c r="A211" s="13"/>
      <c r="C211" s="274" t="str">
        <f>_xlfn.CONCAT(_xlfn.XLOOKUP("[S06_InstallationsVerificationReportsIssueDetail]["&amp;1+ROW(B211)-ROW($B$133)&amp;"][AnnexIActivity]",Submission!$O:$O,Submission!$H:$N,""))</f>
        <v/>
      </c>
      <c r="D211" s="364"/>
      <c r="E211" s="274" t="str">
        <f>_xlfn.CONCAT(_xlfn.XLOOKUP("[S06_InstallationsVerificationReportsIssueDetail]["&amp;1+ROW(B211)-ROW($B$133)&amp;"][TypeOfIssue]",Submission!$O:$O,Submission!$H:$N,""))</f>
        <v/>
      </c>
      <c r="F211" s="364"/>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74" t="str">
        <f>_xlfn.CONCAT(_xlfn.XLOOKUP("[S06_InstallationsVerificationReportsIssueDetail]["&amp;1+ROW(B212)-ROW($B$133)&amp;"][AnnexIActivity]",Submission!$O:$O,Submission!$H:$N,""))</f>
        <v/>
      </c>
      <c r="D212" s="364"/>
      <c r="E212" s="274" t="str">
        <f>_xlfn.CONCAT(_xlfn.XLOOKUP("[S06_InstallationsVerificationReportsIssueDetail]["&amp;1+ROW(B212)-ROW($B$133)&amp;"][TypeOfIssue]",Submission!$O:$O,Submission!$H:$N,""))</f>
        <v/>
      </c>
      <c r="F212" s="364"/>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74" t="str">
        <f>_xlfn.CONCAT(_xlfn.XLOOKUP("[S06_InstallationsVerificationReportsIssueDetail]["&amp;1+ROW(B213)-ROW($B$133)&amp;"][AnnexIActivity]",Submission!$O:$O,Submission!$H:$N,""))</f>
        <v/>
      </c>
      <c r="D213" s="364"/>
      <c r="E213" s="274" t="str">
        <f>_xlfn.CONCAT(_xlfn.XLOOKUP("[S06_InstallationsVerificationReportsIssueDetail]["&amp;1+ROW(B213)-ROW($B$133)&amp;"][TypeOfIssue]",Submission!$O:$O,Submission!$H:$N,""))</f>
        <v/>
      </c>
      <c r="F213" s="364"/>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74" t="str">
        <f>_xlfn.CONCAT(_xlfn.XLOOKUP("[S06_InstallationsVerificationReportsIssueDetail]["&amp;1+ROW(B214)-ROW($B$133)&amp;"][AnnexIActivity]",Submission!$O:$O,Submission!$H:$N,""))</f>
        <v/>
      </c>
      <c r="D214" s="364"/>
      <c r="E214" s="274" t="str">
        <f>_xlfn.CONCAT(_xlfn.XLOOKUP("[S06_InstallationsVerificationReportsIssueDetail]["&amp;1+ROW(B214)-ROW($B$133)&amp;"][TypeOfIssue]",Submission!$O:$O,Submission!$H:$N,""))</f>
        <v/>
      </c>
      <c r="F214" s="364"/>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74" t="str">
        <f>_xlfn.CONCAT(_xlfn.XLOOKUP("[S06_InstallationsVerificationReportsIssueDetail]["&amp;1+ROW(B215)-ROW($B$133)&amp;"][AnnexIActivity]",Submission!$O:$O,Submission!$H:$N,""))</f>
        <v/>
      </c>
      <c r="D215" s="364"/>
      <c r="E215" s="274" t="str">
        <f>_xlfn.CONCAT(_xlfn.XLOOKUP("[S06_InstallationsVerificationReportsIssueDetail]["&amp;1+ROW(B215)-ROW($B$133)&amp;"][TypeOfIssue]",Submission!$O:$O,Submission!$H:$N,""))</f>
        <v/>
      </c>
      <c r="F215" s="364"/>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74" t="str">
        <f>_xlfn.CONCAT(_xlfn.XLOOKUP("[S06_InstallationsVerificationReportsIssueDetail]["&amp;1+ROW(B216)-ROW($B$133)&amp;"][AnnexIActivity]",Submission!$O:$O,Submission!$H:$N,""))</f>
        <v/>
      </c>
      <c r="D216" s="364"/>
      <c r="E216" s="274" t="str">
        <f>_xlfn.CONCAT(_xlfn.XLOOKUP("[S06_InstallationsVerificationReportsIssueDetail]["&amp;1+ROW(B216)-ROW($B$133)&amp;"][TypeOfIssue]",Submission!$O:$O,Submission!$H:$N,""))</f>
        <v/>
      </c>
      <c r="F216" s="364"/>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74" t="str">
        <f>_xlfn.CONCAT(_xlfn.XLOOKUP("[S06_InstallationsVerificationReportsIssueDetail]["&amp;1+ROW(B217)-ROW($B$133)&amp;"][AnnexIActivity]",Submission!$O:$O,Submission!$H:$N,""))</f>
        <v/>
      </c>
      <c r="D217" s="364"/>
      <c r="E217" s="274" t="str">
        <f>_xlfn.CONCAT(_xlfn.XLOOKUP("[S06_InstallationsVerificationReportsIssueDetail]["&amp;1+ROW(B217)-ROW($B$133)&amp;"][TypeOfIssue]",Submission!$O:$O,Submission!$H:$N,""))</f>
        <v/>
      </c>
      <c r="F217" s="364"/>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74" t="str">
        <f>_xlfn.CONCAT(_xlfn.XLOOKUP("[S06_InstallationsVerificationReportsIssueDetail]["&amp;1+ROW(B218)-ROW($B$133)&amp;"][AnnexIActivity]",Submission!$O:$O,Submission!$H:$N,""))</f>
        <v/>
      </c>
      <c r="D218" s="364"/>
      <c r="E218" s="274" t="str">
        <f>_xlfn.CONCAT(_xlfn.XLOOKUP("[S06_InstallationsVerificationReportsIssueDetail]["&amp;1+ROW(B218)-ROW($B$133)&amp;"][TypeOfIssue]",Submission!$O:$O,Submission!$H:$N,""))</f>
        <v/>
      </c>
      <c r="F218" s="364"/>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74" t="str">
        <f>_xlfn.CONCAT(_xlfn.XLOOKUP("[S06_InstallationsVerificationReportsIssueDetail]["&amp;1+ROW(B219)-ROW($B$133)&amp;"][AnnexIActivity]",Submission!$O:$O,Submission!$H:$N,""))</f>
        <v/>
      </c>
      <c r="D219" s="364"/>
      <c r="E219" s="274" t="str">
        <f>_xlfn.CONCAT(_xlfn.XLOOKUP("[S06_InstallationsVerificationReportsIssueDetail]["&amp;1+ROW(B219)-ROW($B$133)&amp;"][TypeOfIssue]",Submission!$O:$O,Submission!$H:$N,""))</f>
        <v/>
      </c>
      <c r="F219" s="364"/>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74" t="str">
        <f>_xlfn.CONCAT(_xlfn.XLOOKUP("[S06_InstallationsVerificationReportsIssueDetail]["&amp;1+ROW(B220)-ROW($B$133)&amp;"][AnnexIActivity]",Submission!$O:$O,Submission!$H:$N,""))</f>
        <v/>
      </c>
      <c r="D220" s="364"/>
      <c r="E220" s="274" t="str">
        <f>_xlfn.CONCAT(_xlfn.XLOOKUP("[S06_InstallationsVerificationReportsIssueDetail]["&amp;1+ROW(B220)-ROW($B$133)&amp;"][TypeOfIssue]",Submission!$O:$O,Submission!$H:$N,""))</f>
        <v/>
      </c>
      <c r="F220" s="364"/>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74" t="str">
        <f>_xlfn.CONCAT(_xlfn.XLOOKUP("[S06_InstallationsVerificationReportsIssueDetail]["&amp;1+ROW(B221)-ROW($B$133)&amp;"][AnnexIActivity]",Submission!$O:$O,Submission!$H:$N,""))</f>
        <v/>
      </c>
      <c r="D221" s="364"/>
      <c r="E221" s="274" t="str">
        <f>_xlfn.CONCAT(_xlfn.XLOOKUP("[S06_InstallationsVerificationReportsIssueDetail]["&amp;1+ROW(B221)-ROW($B$133)&amp;"][TypeOfIssue]",Submission!$O:$O,Submission!$H:$N,""))</f>
        <v/>
      </c>
      <c r="F221" s="364"/>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74" t="str">
        <f>_xlfn.CONCAT(_xlfn.XLOOKUP("[S06_InstallationsVerificationReportsIssueDetail]["&amp;1+ROW(B222)-ROW($B$133)&amp;"][AnnexIActivity]",Submission!$O:$O,Submission!$H:$N,""))</f>
        <v/>
      </c>
      <c r="D222" s="364"/>
      <c r="E222" s="274" t="str">
        <f>_xlfn.CONCAT(_xlfn.XLOOKUP("[S06_InstallationsVerificationReportsIssueDetail]["&amp;1+ROW(B222)-ROW($B$133)&amp;"][TypeOfIssue]",Submission!$O:$O,Submission!$H:$N,""))</f>
        <v/>
      </c>
      <c r="F222" s="364"/>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79" t="s">
        <v>1048</v>
      </c>
      <c r="D224" s="280"/>
      <c r="E224" s="280"/>
      <c r="F224" s="280"/>
      <c r="G224" s="280"/>
      <c r="H224" s="280"/>
      <c r="I224" s="280"/>
    </row>
    <row r="225" spans="1:9" ht="15.9" customHeight="1" x14ac:dyDescent="0.3">
      <c r="A225" s="13"/>
    </row>
    <row r="226" spans="1:9" ht="15.9" customHeight="1" x14ac:dyDescent="0.3">
      <c r="A226" s="12" t="s">
        <v>382</v>
      </c>
      <c r="B226" s="338" t="s">
        <v>1049</v>
      </c>
      <c r="C226" s="308"/>
      <c r="D226" s="308"/>
      <c r="E226" s="308"/>
      <c r="F226" s="308"/>
      <c r="G226" s="308"/>
      <c r="H226" s="345"/>
      <c r="I226" s="41" t="str">
        <f>_xlfn.CONCAT(_xlfn.XLOOKUP("[InstallationsVerificationReportChecks][0][InstallationsVerificationReportChecks]",Submission!$O:$O,Submission!$H:$N,""))</f>
        <v>No</v>
      </c>
    </row>
    <row r="227" spans="1:9" ht="18" customHeight="1" x14ac:dyDescent="0.3">
      <c r="A227" s="12"/>
      <c r="B227" s="275" t="s">
        <v>1050</v>
      </c>
      <c r="C227" s="276"/>
      <c r="D227" s="276"/>
      <c r="E227" s="276"/>
      <c r="F227" s="276"/>
      <c r="G227" s="276"/>
      <c r="H227" s="276"/>
      <c r="I227" s="276"/>
    </row>
    <row r="228" spans="1:9" ht="15.9" customHeight="1" x14ac:dyDescent="0.3">
      <c r="C228" s="317" t="s">
        <v>1051</v>
      </c>
      <c r="D228" s="370"/>
      <c r="E228" s="370"/>
      <c r="F228" s="370"/>
      <c r="G228" s="370"/>
      <c r="H228" s="370"/>
      <c r="I228" s="318"/>
    </row>
    <row r="229" spans="1:9" s="58" customFormat="1" ht="27.6" customHeight="1" x14ac:dyDescent="0.3">
      <c r="A229" s="75"/>
      <c r="C229" s="249" t="s">
        <v>1052</v>
      </c>
      <c r="D229" s="257"/>
      <c r="E229" s="257"/>
      <c r="F229" s="250"/>
      <c r="G229" s="133" t="str">
        <f>_xlfn.CONCAT(_xlfn.XLOOKUP("[S06_InstallationsVerificationReportChecksDetail1][1][PercentageShare]",Submission!$O:$O,Submission!$H:$N,""))</f>
        <v/>
      </c>
      <c r="H229" s="426"/>
      <c r="I229" s="427"/>
    </row>
    <row r="230" spans="1:9" s="58" customFormat="1" ht="27.6" customHeight="1" x14ac:dyDescent="0.3">
      <c r="C230" s="249" t="s">
        <v>1053</v>
      </c>
      <c r="D230" s="257"/>
      <c r="E230" s="257"/>
      <c r="F230" s="250"/>
      <c r="G230" s="133" t="str">
        <f>_xlfn.CONCAT(_xlfn.XLOOKUP("[S06_InstallationsVerificationReportChecksDetail1][2][PercentageShare]",Submission!$O:$O,Submission!$H:$N,""))</f>
        <v/>
      </c>
      <c r="H230" s="426"/>
      <c r="I230" s="427"/>
    </row>
    <row r="231" spans="1:9" s="58" customFormat="1" ht="27.6" customHeight="1" x14ac:dyDescent="0.3">
      <c r="C231" s="249" t="s">
        <v>1054</v>
      </c>
      <c r="D231" s="257"/>
      <c r="E231" s="257"/>
      <c r="F231" s="250"/>
      <c r="G231" s="133" t="str">
        <f>_xlfn.CONCAT(_xlfn.XLOOKUP("[S06_InstallationsVerificationReportChecksDetail1][3][PercentageShare]",Submission!$O:$O,Submission!$H:$N,""))</f>
        <v/>
      </c>
      <c r="H231" s="426"/>
      <c r="I231" s="427"/>
    </row>
    <row r="232" spans="1:9" s="58" customFormat="1" ht="27.6" customHeight="1" x14ac:dyDescent="0.3">
      <c r="C232" s="249" t="s">
        <v>1055</v>
      </c>
      <c r="D232" s="257"/>
      <c r="E232" s="257"/>
      <c r="F232" s="250"/>
      <c r="G232" s="133" t="str">
        <f>_xlfn.CONCAT(_xlfn.XLOOKUP("[S06_InstallationsVerificationReportChecksDetail1][4][PercentageShare]",Submission!$O:$O,Submission!$H:$N,""))</f>
        <v/>
      </c>
      <c r="H232" s="255" t="str">
        <f>_xlfn.CONCAT(_xlfn.XLOOKUP("[S06_InstallationsVerificationReportChecksDetail1][4][FurtherInformation]",Submission!$O:$O,Submission!$H:$N,""))</f>
        <v/>
      </c>
      <c r="I232" s="256"/>
    </row>
    <row r="233" spans="1:9" s="58" customFormat="1" ht="57.6" customHeight="1" x14ac:dyDescent="0.3">
      <c r="C233" s="249" t="s">
        <v>1056</v>
      </c>
      <c r="D233" s="257"/>
      <c r="E233" s="257"/>
      <c r="F233" s="250"/>
      <c r="G233" s="133" t="str">
        <f>_xlfn.CONCAT(_xlfn.XLOOKUP("[S06_InstallationsVerificationReportChecksDetail1][5][PercentageShare]",Submission!$O:$O,Submission!$H:$N,""))</f>
        <v/>
      </c>
      <c r="H233" s="129" t="str">
        <f>_xlfn.CONCAT(_xlfn.XLOOKUP("[S06_InstallationsVerificationReportChecksDetail1][5][SelectingCriteria]",Submission!$O:$O,Submission!$H:$N,""))</f>
        <v/>
      </c>
      <c r="I233" s="130" t="str">
        <f>_xlfn.CONCAT(_xlfn.XLOOKUP("[S06_InstallationsVerificationReportChecksDetail1][5][FurtherInformation]",Submission!$O:$O,Submission!$H:$N,""))</f>
        <v/>
      </c>
    </row>
    <row r="234" spans="1:9" s="58" customFormat="1" ht="27.6" customHeight="1" x14ac:dyDescent="0.3">
      <c r="C234" s="249" t="s">
        <v>1057</v>
      </c>
      <c r="D234" s="257"/>
      <c r="E234" s="257"/>
      <c r="F234" s="250"/>
      <c r="G234" s="135" t="str">
        <f>_xlfn.CONCAT(_xlfn.XLOOKUP("[S06_InstallationsVerificationReportChecksDetail2][1][NumberOfReports]",Submission!$O:$O,Submission!$H:$N,""))</f>
        <v/>
      </c>
      <c r="H234" s="426"/>
      <c r="I234" s="427"/>
    </row>
    <row r="235" spans="1:9" s="58" customFormat="1" ht="27.6" customHeight="1" x14ac:dyDescent="0.3">
      <c r="C235" s="249" t="s">
        <v>1058</v>
      </c>
      <c r="D235" s="257"/>
      <c r="E235" s="257"/>
      <c r="F235" s="250"/>
      <c r="G235" s="135" t="str">
        <f>_xlfn.CONCAT(_xlfn.XLOOKUP("[S06_InstallationsVerificationReportChecksDetail2][2][NumberOfReports]",Submission!$O:$O,Submission!$H:$N,""))</f>
        <v/>
      </c>
      <c r="H235" s="255" t="str">
        <f>_xlfn.CONCAT(_xlfn.XLOOKUP("[S06_InstallationsVerificationReportChecksDetail2][2][FurtherInformation]",Submission!$O:$O,Submission!$H:$N,""))</f>
        <v/>
      </c>
      <c r="I235" s="256"/>
    </row>
    <row r="236" spans="1:9" s="58" customFormat="1" ht="27.6" customHeight="1" x14ac:dyDescent="0.3">
      <c r="C236" s="249" t="s">
        <v>1059</v>
      </c>
      <c r="D236" s="257"/>
      <c r="E236" s="257"/>
      <c r="F236" s="250"/>
      <c r="G236" s="258" t="str">
        <f>_xlfn.CONCAT(_xlfn.XLOOKUP("[S06_InstallationsVerificationReportChecksDetail3][1][ActionsTaken]",Submission!$O:$O,Submission!$H:$N,""))</f>
        <v/>
      </c>
      <c r="H236" s="353"/>
      <c r="I236" s="260"/>
    </row>
    <row r="237" spans="1:9" s="58" customFormat="1" ht="27.6" customHeight="1" x14ac:dyDescent="0.3">
      <c r="C237" s="249" t="s">
        <v>1060</v>
      </c>
      <c r="D237" s="257"/>
      <c r="E237" s="257"/>
      <c r="F237" s="250"/>
      <c r="G237" s="258" t="str">
        <f>_xlfn.CONCAT(_xlfn.XLOOKUP("[S06_InstallationsVerificationReportChecksDetail3][2][ActionsTaken]",Submission!$O:$O,Submission!$H:$N,""))</f>
        <v/>
      </c>
      <c r="H237" s="353"/>
      <c r="I237" s="260"/>
    </row>
    <row r="238" spans="1:9" ht="15.9" customHeight="1" x14ac:dyDescent="0.3">
      <c r="A238" s="13"/>
      <c r="C238" s="397" t="s">
        <v>1061</v>
      </c>
      <c r="D238" s="398"/>
      <c r="E238" s="398"/>
      <c r="F238" s="398"/>
      <c r="G238" s="398"/>
      <c r="H238" s="398"/>
      <c r="I238" s="398"/>
    </row>
    <row r="239" spans="1:9" ht="15.9" customHeight="1" x14ac:dyDescent="0.3"/>
    <row r="240" spans="1:9" ht="17.100000000000001" customHeight="1" x14ac:dyDescent="0.3">
      <c r="A240" s="12" t="s">
        <v>387</v>
      </c>
      <c r="B240" s="338" t="s">
        <v>1062</v>
      </c>
      <c r="C240" s="308"/>
      <c r="D240" s="308"/>
      <c r="E240" s="308"/>
      <c r="F240" s="308"/>
      <c r="G240" s="308"/>
      <c r="H240" s="345"/>
      <c r="I240" s="41" t="str">
        <f>_xlfn.CONCAT(_xlfn.XLOOKUP("[InstallationVisitsWaivedHighEmitters][0][InstallationVisitsWaivedHighEmitters]",Submission!$O:$O,Submission!$H:$N,""))</f>
        <v>No</v>
      </c>
    </row>
    <row r="241" spans="1:9" ht="18.600000000000001" customHeight="1" x14ac:dyDescent="0.3">
      <c r="A241" s="12"/>
      <c r="B241" s="275" t="s">
        <v>1063</v>
      </c>
      <c r="C241" s="276"/>
      <c r="D241" s="276"/>
      <c r="E241" s="276"/>
      <c r="F241" s="276"/>
      <c r="G241" s="276"/>
      <c r="H241" s="276"/>
      <c r="I241" s="276"/>
    </row>
    <row r="242" spans="1:9" ht="32.4" customHeight="1" x14ac:dyDescent="0.3">
      <c r="C242" s="314" t="s">
        <v>1064</v>
      </c>
      <c r="D242" s="334"/>
      <c r="E242" s="314" t="s">
        <v>879</v>
      </c>
      <c r="F242" s="315"/>
      <c r="G242" s="316"/>
      <c r="H242" s="314" t="s">
        <v>1045</v>
      </c>
      <c r="I242" s="316"/>
    </row>
    <row r="243" spans="1:9" ht="15.9" customHeight="1" x14ac:dyDescent="0.3">
      <c r="C243" s="419" t="str">
        <f>_xlfn.CONCAT(_xlfn.XLOOKUP("[S06_InstallationsVisitsWaivedHighEmittersDetail][1][ConditionForWaiving]",Submission!$O:$O,Submission!$H:$N,""))</f>
        <v/>
      </c>
      <c r="D243" s="421"/>
      <c r="E243" s="274" t="str">
        <f>_xlfn.CONCAT(_xlfn.XLOOKUP("[S06_InstallationsVisitsWaivedHighEmittersDetail][1][AnnexIActivity]",Submission!$O:$O,Submission!$H:$N,""))</f>
        <v/>
      </c>
      <c r="F243" s="353"/>
      <c r="G243" s="260"/>
      <c r="H243" s="335" t="str">
        <f>_xlfn.CONCAT(_xlfn.XLOOKUP("[S06_InstallationsVisitsWaivedHighEmittersDetail][1][NumberOfInstallations]",Submission!$O:$O,Submission!$H:$N,""))</f>
        <v/>
      </c>
      <c r="I243" s="337"/>
    </row>
    <row r="244" spans="1:9" ht="15.9" customHeight="1" x14ac:dyDescent="0.3">
      <c r="A244" s="13"/>
      <c r="C244" s="419" t="str">
        <f>_xlfn.CONCAT(_xlfn.XLOOKUP("[S06_InstallationsVisitsWaivedHighEmittersDetail][2][ConditionForWaiving]",Submission!$O:$O,Submission!$H:$N,""))</f>
        <v/>
      </c>
      <c r="D244" s="421"/>
      <c r="E244" s="274" t="str">
        <f>_xlfn.CONCAT(_xlfn.XLOOKUP("[S06_InstallationsVisitsWaivedHighEmittersDetail][2][AnnexIActivity]",Submission!$O:$O,Submission!$H:$N,""))</f>
        <v/>
      </c>
      <c r="F244" s="353"/>
      <c r="G244" s="260"/>
      <c r="H244" s="335" t="str">
        <f>_xlfn.CONCAT(_xlfn.XLOOKUP("[S06_InstallationsVisitsWaivedHighEmittersDetail][2][NumberOfInstallations]",Submission!$O:$O,Submission!$H:$N,""))</f>
        <v/>
      </c>
      <c r="I244" s="337"/>
    </row>
    <row r="245" spans="1:9" ht="15.9" customHeight="1" x14ac:dyDescent="0.3">
      <c r="A245" s="13"/>
      <c r="C245" s="419" t="str">
        <f>_xlfn.CONCAT(_xlfn.XLOOKUP("[S06_InstallationsVisitsWaivedHighEmittersDetail][3][ConditionForWaiving]",Submission!$O:$O,Submission!$H:$N,""))</f>
        <v/>
      </c>
      <c r="D245" s="421"/>
      <c r="E245" s="274" t="str">
        <f>_xlfn.CONCAT(_xlfn.XLOOKUP("[S06_InstallationsVisitsWaivedHighEmittersDetail][3][AnnexIActivity]",Submission!$O:$O,Submission!$H:$N,""))</f>
        <v/>
      </c>
      <c r="F245" s="353"/>
      <c r="G245" s="260"/>
      <c r="H245" s="440" t="str">
        <f>_xlfn.CONCAT(_xlfn.XLOOKUP("[S06_InstallationsVisitsWaivedHighEmittersDetail][3][NumberOfInstallations]",Submission!$O:$O,Submission!$H:$N,""))</f>
        <v/>
      </c>
      <c r="I245" s="441"/>
    </row>
    <row r="246" spans="1:9" ht="15.9" customHeight="1" x14ac:dyDescent="0.3">
      <c r="A246" s="13"/>
      <c r="C246" s="419" t="str">
        <f>_xlfn.CONCAT(_xlfn.XLOOKUP("[S06_InstallationsVisitsWaivedHighEmittersDetail][4][ConditionForWaiving]",Submission!$O:$O,Submission!$H:$N,""))</f>
        <v/>
      </c>
      <c r="D246" s="421"/>
      <c r="E246" s="274" t="str">
        <f>_xlfn.CONCAT(_xlfn.XLOOKUP("[S06_InstallationsVisitsWaivedHighEmittersDetail][4][AnnexIActivity]",Submission!$O:$O,Submission!$H:$N,""))</f>
        <v/>
      </c>
      <c r="F246" s="353"/>
      <c r="G246" s="260"/>
      <c r="H246" s="335" t="str">
        <f>_xlfn.CONCAT(_xlfn.XLOOKUP("[S06_InstallationsVisitsWaivedHighEmittersDetail][4][NumberOfInstallations]",Submission!$O:$O,Submission!$H:$N,""))</f>
        <v/>
      </c>
      <c r="I246" s="337"/>
    </row>
    <row r="247" spans="1:9" ht="15.9" hidden="1" customHeight="1" outlineLevel="1" x14ac:dyDescent="0.3">
      <c r="A247" s="13"/>
      <c r="C247" s="419" t="str">
        <f>_xlfn.CONCAT(_xlfn.XLOOKUP("[S06_InstallationsVisitsWaivedHighEmittersDetail][5][ConditionForWaiving]",Submission!$O:$O,Submission!$H:$N,""))</f>
        <v/>
      </c>
      <c r="D247" s="421"/>
      <c r="E247" s="274" t="str">
        <f>_xlfn.CONCAT(_xlfn.XLOOKUP("[S06_InstallationsVisitsWaivedHighEmittersDetail][5][AnnexIActivity]",Submission!$O:$O,Submission!$H:$N,""))</f>
        <v/>
      </c>
      <c r="F247" s="353"/>
      <c r="G247" s="260"/>
      <c r="H247" s="440" t="str">
        <f>_xlfn.CONCAT(_xlfn.XLOOKUP("[S06_InstallationsVisitsWaivedHighEmittersDetail][5][NumberOfInstallations]",Submission!$O:$O,Submission!$H:$N,""))</f>
        <v/>
      </c>
      <c r="I247" s="441"/>
    </row>
    <row r="248" spans="1:9" ht="15.9" hidden="1" customHeight="1" outlineLevel="1" x14ac:dyDescent="0.3">
      <c r="C248" s="419" t="str">
        <f>_xlfn.CONCAT(_xlfn.XLOOKUP("[S06_InstallationsVisitsWaivedHighEmittersDetail][6][ConditionForWaiving]",Submission!$O:$O,Submission!$H:$N,""))</f>
        <v/>
      </c>
      <c r="D248" s="421"/>
      <c r="E248" s="274" t="str">
        <f>_xlfn.CONCAT(_xlfn.XLOOKUP("[S06_InstallationsVisitsWaivedHighEmittersDetail][6][AnnexIActivity]",Submission!$O:$O,Submission!$H:$N,""))</f>
        <v/>
      </c>
      <c r="F248" s="353"/>
      <c r="G248" s="260"/>
      <c r="H248" s="335" t="str">
        <f>_xlfn.CONCAT(_xlfn.XLOOKUP("[S06_InstallationsVisitsWaivedHighEmittersDetail][6][NumberOfInstallations]",Submission!$O:$O,Submission!$H:$N,""))</f>
        <v/>
      </c>
      <c r="I248" s="337"/>
    </row>
    <row r="249" spans="1:9" ht="15.9" hidden="1" customHeight="1" outlineLevel="1" x14ac:dyDescent="0.3">
      <c r="A249" s="13"/>
      <c r="C249" s="419" t="str">
        <f>_xlfn.CONCAT(_xlfn.XLOOKUP("[S06_InstallationsVisitsWaivedHighEmittersDetail][7][ConditionForWaiving]",Submission!$O:$O,Submission!$H:$N,""))</f>
        <v/>
      </c>
      <c r="D249" s="421"/>
      <c r="E249" s="274" t="str">
        <f>_xlfn.CONCAT(_xlfn.XLOOKUP("[S06_InstallationsVisitsWaivedHighEmittersDetail][7][AnnexIActivity]",Submission!$O:$O,Submission!$H:$N,""))</f>
        <v/>
      </c>
      <c r="F249" s="353"/>
      <c r="G249" s="260"/>
      <c r="H249" s="335" t="str">
        <f>_xlfn.CONCAT(_xlfn.XLOOKUP("[S06_InstallationsVisitsWaivedHighEmittersDetail][7][NumberOfInstallations]",Submission!$O:$O,Submission!$H:$N,""))</f>
        <v/>
      </c>
      <c r="I249" s="337"/>
    </row>
    <row r="250" spans="1:9" ht="15.9" hidden="1" customHeight="1" outlineLevel="1" x14ac:dyDescent="0.3">
      <c r="A250" s="13"/>
      <c r="C250" s="419" t="str">
        <f>_xlfn.CONCAT(_xlfn.XLOOKUP("[S06_InstallationsVisitsWaivedHighEmittersDetail][8][ConditionForWaiving]",Submission!$O:$O,Submission!$H:$N,""))</f>
        <v/>
      </c>
      <c r="D250" s="421"/>
      <c r="E250" s="274" t="str">
        <f>_xlfn.CONCAT(_xlfn.XLOOKUP("[S06_InstallationsVisitsWaivedHighEmittersDetail][8][AnnexIActivity]",Submission!$O:$O,Submission!$H:$N,""))</f>
        <v/>
      </c>
      <c r="F250" s="353"/>
      <c r="G250" s="260"/>
      <c r="H250" s="440" t="str">
        <f>_xlfn.CONCAT(_xlfn.XLOOKUP("[S06_InstallationsVisitsWaivedHighEmittersDetail][8][NumberOfInstallations]",Submission!$O:$O,Submission!$H:$N,""))</f>
        <v/>
      </c>
      <c r="I250" s="441"/>
    </row>
    <row r="251" spans="1:9" ht="15.9" hidden="1" customHeight="1" outlineLevel="1" x14ac:dyDescent="0.3">
      <c r="A251" s="13"/>
      <c r="C251" s="419" t="str">
        <f>_xlfn.CONCAT(_xlfn.XLOOKUP("[S06_InstallationsVisitsWaivedHighEmittersDetail][9][ConditionForWaiving]",Submission!$O:$O,Submission!$H:$N,""))</f>
        <v/>
      </c>
      <c r="D251" s="421"/>
      <c r="E251" s="274" t="str">
        <f>_xlfn.CONCAT(_xlfn.XLOOKUP("[S06_InstallationsVisitsWaivedHighEmittersDetail][9][AnnexIActivity]",Submission!$O:$O,Submission!$H:$N,""))</f>
        <v/>
      </c>
      <c r="F251" s="353"/>
      <c r="G251" s="260"/>
      <c r="H251" s="335" t="str">
        <f>_xlfn.CONCAT(_xlfn.XLOOKUP("[S06_InstallationsVisitsWaivedHighEmittersDetail][9][NumberOfInstallations]",Submission!$O:$O,Submission!$H:$N,""))</f>
        <v/>
      </c>
      <c r="I251" s="337"/>
    </row>
    <row r="252" spans="1:9" ht="15.9" hidden="1" customHeight="1" outlineLevel="1" x14ac:dyDescent="0.3">
      <c r="A252" s="13"/>
      <c r="C252" s="419" t="str">
        <f>_xlfn.CONCAT(_xlfn.XLOOKUP("[S06_InstallationsVisitsWaivedHighEmittersDetail][10][ConditionForWaiving]",Submission!$O:$O,Submission!$H:$N,""))</f>
        <v/>
      </c>
      <c r="D252" s="421"/>
      <c r="E252" s="274" t="str">
        <f>_xlfn.CONCAT(_xlfn.XLOOKUP("[S06_InstallationsVisitsWaivedHighEmittersDetail][10][AnnexIActivity]",Submission!$O:$O,Submission!$H:$N,""))</f>
        <v/>
      </c>
      <c r="F252" s="353"/>
      <c r="G252" s="260"/>
      <c r="H252" s="440" t="str">
        <f>_xlfn.CONCAT(_xlfn.XLOOKUP("[S06_InstallationsVisitsWaivedHighEmittersDetail][10][NumberOfInstallations]",Submission!$O:$O,Submission!$H:$N,""))</f>
        <v/>
      </c>
      <c r="I252" s="441"/>
    </row>
    <row r="253" spans="1:9" ht="15.9" hidden="1" customHeight="1" outlineLevel="1" x14ac:dyDescent="0.3">
      <c r="C253" s="419" t="str">
        <f>_xlfn.CONCAT(_xlfn.XLOOKUP("[S06_InstallationsVisitsWaivedHighEmittersDetail][11][ConditionForWaiving]",Submission!$O:$O,Submission!$H:$N,""))</f>
        <v/>
      </c>
      <c r="D253" s="421"/>
      <c r="E253" s="274" t="str">
        <f>_xlfn.CONCAT(_xlfn.XLOOKUP("[S06_InstallationsVisitsWaivedHighEmittersDetail][11][AnnexIActivity]",Submission!$O:$O,Submission!$H:$N,""))</f>
        <v/>
      </c>
      <c r="F253" s="353"/>
      <c r="G253" s="260"/>
      <c r="H253" s="335" t="str">
        <f>_xlfn.CONCAT(_xlfn.XLOOKUP("[S06_InstallationsVisitsWaivedHighEmittersDetail][11][NumberOfInstallations]",Submission!$O:$O,Submission!$H:$N,""))</f>
        <v/>
      </c>
      <c r="I253" s="337"/>
    </row>
    <row r="254" spans="1:9" ht="15.9" hidden="1" customHeight="1" outlineLevel="1" x14ac:dyDescent="0.3">
      <c r="A254" s="13"/>
      <c r="C254" s="419" t="str">
        <f>_xlfn.CONCAT(_xlfn.XLOOKUP("[S06_InstallationsVisitsWaivedHighEmittersDetail][12][ConditionForWaiving]",Submission!$O:$O,Submission!$H:$N,""))</f>
        <v/>
      </c>
      <c r="D254" s="421"/>
      <c r="E254" s="274" t="str">
        <f>_xlfn.CONCAT(_xlfn.XLOOKUP("[S06_InstallationsVisitsWaivedHighEmittersDetail][12][AnnexIActivity]",Submission!$O:$O,Submission!$H:$N,""))</f>
        <v/>
      </c>
      <c r="F254" s="353"/>
      <c r="G254" s="260"/>
      <c r="H254" s="335" t="str">
        <f>_xlfn.CONCAT(_xlfn.XLOOKUP("[S06_InstallationsVisitsWaivedHighEmittersDetail][12][NumberOfInstallations]",Submission!$O:$O,Submission!$H:$N,""))</f>
        <v/>
      </c>
      <c r="I254" s="337"/>
    </row>
    <row r="255" spans="1:9" ht="15.9" hidden="1" customHeight="1" outlineLevel="1" x14ac:dyDescent="0.3">
      <c r="A255" s="13"/>
      <c r="C255" s="419" t="str">
        <f>_xlfn.CONCAT(_xlfn.XLOOKUP("[S06_InstallationsVisitsWaivedHighEmittersDetail][13][ConditionForWaiving]",Submission!$O:$O,Submission!$H:$N,""))</f>
        <v/>
      </c>
      <c r="D255" s="421"/>
      <c r="E255" s="274" t="str">
        <f>_xlfn.CONCAT(_xlfn.XLOOKUP("[S06_InstallationsVisitsWaivedHighEmittersDetail][13][AnnexIActivity]",Submission!$O:$O,Submission!$H:$N,""))</f>
        <v/>
      </c>
      <c r="F255" s="353"/>
      <c r="G255" s="260"/>
      <c r="H255" s="440" t="str">
        <f>_xlfn.CONCAT(_xlfn.XLOOKUP("[S06_InstallationsVisitsWaivedHighEmittersDetail][13][NumberOfInstallations]",Submission!$O:$O,Submission!$H:$N,""))</f>
        <v/>
      </c>
      <c r="I255" s="441"/>
    </row>
    <row r="256" spans="1:9" ht="15.9" hidden="1" customHeight="1" outlineLevel="1" x14ac:dyDescent="0.3">
      <c r="A256" s="13"/>
      <c r="C256" s="419" t="str">
        <f>_xlfn.CONCAT(_xlfn.XLOOKUP("[S06_InstallationsVisitsWaivedHighEmittersDetail][14][ConditionForWaiving]",Submission!$O:$O,Submission!$H:$N,""))</f>
        <v/>
      </c>
      <c r="D256" s="421"/>
      <c r="E256" s="274" t="str">
        <f>_xlfn.CONCAT(_xlfn.XLOOKUP("[S06_InstallationsVisitsWaivedHighEmittersDetail][14][AnnexIActivity]",Submission!$O:$O,Submission!$H:$N,""))</f>
        <v/>
      </c>
      <c r="F256" s="353"/>
      <c r="G256" s="260"/>
      <c r="H256" s="335" t="str">
        <f>_xlfn.CONCAT(_xlfn.XLOOKUP("[S06_InstallationsVisitsWaivedHighEmittersDetail][14][NumberOfInstallations]",Submission!$O:$O,Submission!$H:$N,""))</f>
        <v/>
      </c>
      <c r="I256" s="337"/>
    </row>
    <row r="257" spans="1:9" ht="15.9" hidden="1" customHeight="1" outlineLevel="1" x14ac:dyDescent="0.3">
      <c r="A257" s="13"/>
      <c r="C257" s="419" t="str">
        <f>_xlfn.CONCAT(_xlfn.XLOOKUP("[S06_InstallationsVisitsWaivedHighEmittersDetail][15][ConditionForWaiving]",Submission!$O:$O,Submission!$H:$N,""))</f>
        <v/>
      </c>
      <c r="D257" s="421"/>
      <c r="E257" s="274" t="str">
        <f>_xlfn.CONCAT(_xlfn.XLOOKUP("[S06_InstallationsVisitsWaivedHighEmittersDetail][15][AnnexIActivity]",Submission!$O:$O,Submission!$H:$N,""))</f>
        <v/>
      </c>
      <c r="F257" s="353"/>
      <c r="G257" s="260"/>
      <c r="H257" s="440" t="str">
        <f>_xlfn.CONCAT(_xlfn.XLOOKUP("[S06_InstallationsVisitsWaivedHighEmittersDetail][15][NumberOfInstallations]",Submission!$O:$O,Submission!$H:$N,""))</f>
        <v/>
      </c>
      <c r="I257" s="441"/>
    </row>
    <row r="258" spans="1:9" ht="15.9" hidden="1" customHeight="1" outlineLevel="1" x14ac:dyDescent="0.3">
      <c r="C258" s="419" t="str">
        <f>_xlfn.CONCAT(_xlfn.XLOOKUP("[S06_InstallationsVisitsWaivedHighEmittersDetail][16][ConditionForWaiving]",Submission!$O:$O,Submission!$H:$N,""))</f>
        <v/>
      </c>
      <c r="D258" s="421"/>
      <c r="E258" s="274" t="str">
        <f>_xlfn.CONCAT(_xlfn.XLOOKUP("[S06_InstallationsVisitsWaivedHighEmittersDetail][16][AnnexIActivity]",Submission!$O:$O,Submission!$H:$N,""))</f>
        <v/>
      </c>
      <c r="F258" s="353"/>
      <c r="G258" s="260"/>
      <c r="H258" s="335" t="str">
        <f>_xlfn.CONCAT(_xlfn.XLOOKUP("[S06_InstallationsVisitsWaivedHighEmittersDetail][16][NumberOfInstallations]",Submission!$O:$O,Submission!$H:$N,""))</f>
        <v/>
      </c>
      <c r="I258" s="337"/>
    </row>
    <row r="259" spans="1:9" ht="15.9" hidden="1" customHeight="1" outlineLevel="1" x14ac:dyDescent="0.3">
      <c r="A259" s="13"/>
      <c r="C259" s="419" t="str">
        <f>_xlfn.CONCAT(_xlfn.XLOOKUP("[S06_InstallationsVisitsWaivedHighEmittersDetail][17][ConditionForWaiving]",Submission!$O:$O,Submission!$H:$N,""))</f>
        <v/>
      </c>
      <c r="D259" s="421"/>
      <c r="E259" s="274" t="str">
        <f>_xlfn.CONCAT(_xlfn.XLOOKUP("[S06_InstallationsVisitsWaivedHighEmittersDetail][17][AnnexIActivity]",Submission!$O:$O,Submission!$H:$N,""))</f>
        <v/>
      </c>
      <c r="F259" s="353"/>
      <c r="G259" s="260"/>
      <c r="H259" s="335" t="str">
        <f>_xlfn.CONCAT(_xlfn.XLOOKUP("[S06_InstallationsVisitsWaivedHighEmittersDetail][17][NumberOfInstallations]",Submission!$O:$O,Submission!$H:$N,""))</f>
        <v/>
      </c>
      <c r="I259" s="337"/>
    </row>
    <row r="260" spans="1:9" ht="15.9" hidden="1" customHeight="1" outlineLevel="1" x14ac:dyDescent="0.3">
      <c r="A260" s="13"/>
      <c r="C260" s="419" t="str">
        <f>_xlfn.CONCAT(_xlfn.XLOOKUP("[S06_InstallationsVisitsWaivedHighEmittersDetail][18][ConditionForWaiving]",Submission!$O:$O,Submission!$H:$N,""))</f>
        <v/>
      </c>
      <c r="D260" s="421"/>
      <c r="E260" s="274" t="str">
        <f>_xlfn.CONCAT(_xlfn.XLOOKUP("[S06_InstallationsVisitsWaivedHighEmittersDetail][18][AnnexIActivity]",Submission!$O:$O,Submission!$H:$N,""))</f>
        <v/>
      </c>
      <c r="F260" s="353"/>
      <c r="G260" s="260"/>
      <c r="H260" s="440" t="str">
        <f>_xlfn.CONCAT(_xlfn.XLOOKUP("[S06_InstallationsVisitsWaivedHighEmittersDetail][18][NumberOfInstallations]",Submission!$O:$O,Submission!$H:$N,""))</f>
        <v/>
      </c>
      <c r="I260" s="441"/>
    </row>
    <row r="261" spans="1:9" ht="15.9" hidden="1" customHeight="1" outlineLevel="1" x14ac:dyDescent="0.3">
      <c r="A261" s="13"/>
      <c r="C261" s="419" t="str">
        <f>_xlfn.CONCAT(_xlfn.XLOOKUP("[S06_InstallationsVisitsWaivedHighEmittersDetail][19][ConditionForWaiving]",Submission!$O:$O,Submission!$H:$N,""))</f>
        <v/>
      </c>
      <c r="D261" s="421"/>
      <c r="E261" s="274" t="str">
        <f>_xlfn.CONCAT(_xlfn.XLOOKUP("[S06_InstallationsVisitsWaivedHighEmittersDetail][19][AnnexIActivity]",Submission!$O:$O,Submission!$H:$N,""))</f>
        <v/>
      </c>
      <c r="F261" s="353"/>
      <c r="G261" s="260"/>
      <c r="H261" s="335" t="str">
        <f>_xlfn.CONCAT(_xlfn.XLOOKUP("[S06_InstallationsVisitsWaivedHighEmittersDetail][19][NumberOfInstallations]",Submission!$O:$O,Submission!$H:$N,""))</f>
        <v/>
      </c>
      <c r="I261" s="337"/>
    </row>
    <row r="262" spans="1:9" ht="15.9" hidden="1" customHeight="1" outlineLevel="1" x14ac:dyDescent="0.3">
      <c r="A262" s="13"/>
      <c r="C262" s="419" t="str">
        <f>_xlfn.CONCAT(_xlfn.XLOOKUP("[S06_InstallationsVisitsWaivedHighEmittersDetail][20][ConditionForWaiving]",Submission!$O:$O,Submission!$H:$N,""))</f>
        <v/>
      </c>
      <c r="D262" s="421"/>
      <c r="E262" s="274" t="str">
        <f>_xlfn.CONCAT(_xlfn.XLOOKUP("[S06_InstallationsVisitsWaivedHighEmittersDetail][20][AnnexIActivity]",Submission!$O:$O,Submission!$H:$N,""))</f>
        <v/>
      </c>
      <c r="F262" s="353"/>
      <c r="G262" s="260"/>
      <c r="H262" s="440" t="str">
        <f>_xlfn.CONCAT(_xlfn.XLOOKUP("[S06_InstallationsVisitsWaivedHighEmittersDetail][20][NumberOfInstallations]",Submission!$O:$O,Submission!$H:$N,""))</f>
        <v/>
      </c>
      <c r="I262" s="441"/>
    </row>
    <row r="263" spans="1:9" ht="15.9" customHeight="1" collapsed="1" x14ac:dyDescent="0.3">
      <c r="A263" s="13"/>
      <c r="B263" s="26" t="s">
        <v>1000</v>
      </c>
      <c r="C263" s="19"/>
      <c r="D263" s="11"/>
      <c r="E263" s="11"/>
      <c r="F263" s="11"/>
      <c r="G263" s="11"/>
      <c r="H263" s="11"/>
    </row>
    <row r="264" spans="1:9" ht="15.9" customHeight="1" x14ac:dyDescent="0.3">
      <c r="A264" s="13"/>
      <c r="C264" s="279" t="s">
        <v>1065</v>
      </c>
      <c r="D264" s="280"/>
      <c r="E264" s="280"/>
      <c r="F264" s="280"/>
      <c r="G264" s="280"/>
      <c r="H264" s="280"/>
      <c r="I264" s="280"/>
    </row>
    <row r="265" spans="1:9" ht="15.9" customHeight="1" x14ac:dyDescent="0.3">
      <c r="A265" s="13"/>
    </row>
    <row r="266" spans="1:9" ht="15.9" customHeight="1" x14ac:dyDescent="0.3">
      <c r="A266" s="13"/>
      <c r="B266" s="338" t="s">
        <v>1066</v>
      </c>
      <c r="C266" s="308"/>
      <c r="D266" s="308"/>
      <c r="E266" s="308"/>
      <c r="F266" s="308"/>
      <c r="G266" s="308"/>
      <c r="H266" s="345"/>
      <c r="I266" s="41" t="str">
        <f>_xlfn.CONCAT(_xlfn.XLOOKUP("[InstallationsVisitsWaivedLowEmitters][0][InstallationsVisitsWaivedLowEmitters]",Submission!$O:$O,Submission!$H:$N,""))</f>
        <v>No</v>
      </c>
    </row>
    <row r="267" spans="1:9" ht="18.600000000000001" customHeight="1" x14ac:dyDescent="0.3">
      <c r="B267" s="338" t="s">
        <v>1067</v>
      </c>
      <c r="C267" s="308"/>
      <c r="D267" s="308"/>
      <c r="E267" s="308"/>
      <c r="F267" s="308"/>
      <c r="G267" s="308"/>
      <c r="H267" s="308"/>
      <c r="I267" s="308"/>
    </row>
    <row r="268" spans="1:9" ht="15.9" customHeight="1" x14ac:dyDescent="0.3">
      <c r="B268" s="11"/>
      <c r="C268" s="317" t="s">
        <v>1068</v>
      </c>
      <c r="D268" s="370"/>
      <c r="E268" s="370"/>
      <c r="F268" s="370"/>
      <c r="G268" s="318"/>
      <c r="H268" s="351" t="str">
        <f>_xlfn.CONCAT(_xlfn.XLOOKUP("[InstallationsVisitsWaivedLowEmittersDetail][0][InstallationsVisitsWaivedLowEmittersDetail]",Submission!$O:$O,Submission!$H:$N,""))</f>
        <v/>
      </c>
      <c r="I268" s="352"/>
    </row>
    <row r="269" spans="1:9" ht="15.9" customHeight="1" x14ac:dyDescent="0.3">
      <c r="B269" s="11"/>
      <c r="C269" s="121"/>
      <c r="D269" s="122"/>
      <c r="E269" s="122"/>
      <c r="F269" s="122"/>
      <c r="G269" s="122"/>
      <c r="H269" s="121"/>
      <c r="I269" s="122"/>
    </row>
    <row r="270" spans="1:9" ht="17.100000000000001" customHeight="1" x14ac:dyDescent="0.3">
      <c r="A270" s="12" t="s">
        <v>397</v>
      </c>
      <c r="B270" s="338" t="s">
        <v>1069</v>
      </c>
      <c r="C270" s="308"/>
      <c r="D270" s="308"/>
      <c r="E270" s="308"/>
      <c r="F270" s="308"/>
      <c r="G270" s="308"/>
      <c r="H270" s="345"/>
      <c r="I270" s="41" t="str">
        <f>_xlfn.CONCAT(_xlfn.XLOOKUP("[VirtualVisitsInstallations][0][VirtualVisitsInstallations]",Submission!$O:$O,Submission!$H:$N,""))</f>
        <v>No</v>
      </c>
    </row>
    <row r="271" spans="1:9" ht="15.9" customHeight="1" x14ac:dyDescent="0.3">
      <c r="A271" s="12"/>
      <c r="B271" s="275" t="s">
        <v>1070</v>
      </c>
      <c r="C271" s="276"/>
      <c r="D271" s="276"/>
      <c r="E271" s="276"/>
      <c r="F271" s="276"/>
      <c r="G271" s="276"/>
      <c r="H271" s="276"/>
      <c r="I271" s="276"/>
    </row>
    <row r="272" spans="1:9" ht="16.2" customHeight="1" x14ac:dyDescent="0.3">
      <c r="A272" s="12"/>
      <c r="B272" s="15" t="s">
        <v>8</v>
      </c>
      <c r="C272" s="411" t="s">
        <v>1071</v>
      </c>
      <c r="D272" s="411"/>
      <c r="E272" s="411"/>
      <c r="F272" s="411"/>
      <c r="G272" s="411"/>
      <c r="H272" s="411"/>
      <c r="I272" s="411"/>
    </row>
    <row r="273" spans="1:9" ht="16.2" customHeight="1" x14ac:dyDescent="0.3">
      <c r="A273" s="12"/>
      <c r="B273" s="15" t="s">
        <v>8</v>
      </c>
      <c r="C273" s="411" t="s">
        <v>1072</v>
      </c>
      <c r="D273" s="411"/>
      <c r="E273" s="411"/>
      <c r="F273" s="411"/>
      <c r="G273" s="411"/>
      <c r="H273" s="411"/>
      <c r="I273" s="411"/>
    </row>
    <row r="274" spans="1:9" ht="16.2" customHeight="1" x14ac:dyDescent="0.3">
      <c r="A274" s="12"/>
      <c r="B274" s="15" t="s">
        <v>8</v>
      </c>
      <c r="C274" s="412" t="s">
        <v>1073</v>
      </c>
      <c r="D274" s="412"/>
      <c r="E274" s="412"/>
      <c r="F274" s="412"/>
      <c r="G274" s="412"/>
      <c r="H274" s="412"/>
      <c r="I274" s="412"/>
    </row>
    <row r="275" spans="1:9" ht="31.2" customHeight="1" x14ac:dyDescent="0.3">
      <c r="A275" s="12"/>
      <c r="B275" s="15"/>
      <c r="C275" s="46" t="s">
        <v>1074</v>
      </c>
      <c r="D275" s="317" t="s">
        <v>1075</v>
      </c>
      <c r="E275" s="329"/>
      <c r="F275" s="317" t="s">
        <v>1076</v>
      </c>
      <c r="G275" s="329"/>
      <c r="H275" s="317" t="s">
        <v>1077</v>
      </c>
      <c r="I275" s="329"/>
    </row>
    <row r="276" spans="1:9" ht="25.2" customHeight="1" x14ac:dyDescent="0.3">
      <c r="C276" s="72" t="str">
        <f>_xlfn.CONCAT(_xlfn.XLOOKUP("[S06_VirtualVisitsInstallationsDetails][1][TypeForceMajeur]",Submission!$O:$O,Submission!$H:$N,""))</f>
        <v/>
      </c>
      <c r="D276" s="444" t="str">
        <f>_xlfn.CONCAT(_xlfn.XLOOKUP("[S06_VirtualVisitsInstallationsDetails][1][NumberOfInstallationsVV]",Submission!$O:$O,Submission!$H:$N,""))</f>
        <v/>
      </c>
      <c r="E276" s="445"/>
      <c r="F276" s="258" t="str">
        <f>_xlfn.CONCAT(_xlfn.XLOOKUP("[S06_VirtualVisitsInstallationsDetails][1][AuthorityApproval]",Submission!$O:$O,Submission!$H:$N,""))</f>
        <v/>
      </c>
      <c r="G276" s="260"/>
      <c r="H276" s="258" t="str">
        <f>_xlfn.CONCAT(_xlfn.XLOOKUP("[S06_VirtualVisitsInstallationsDetails][1][ConfirmationConditionsMet]",Submission!$O:$O,Submission!$H:$N,""))</f>
        <v/>
      </c>
      <c r="I276" s="260"/>
    </row>
    <row r="277" spans="1:9" ht="25.2" customHeight="1" x14ac:dyDescent="0.3">
      <c r="C277" s="72" t="str">
        <f>_xlfn.CONCAT(_xlfn.XLOOKUP("[S06_VirtualVisitsInstallationsDetails][2][TypeForceMajeur]",Submission!$O:$O,Submission!$H:$N,""))</f>
        <v/>
      </c>
      <c r="D277" s="444" t="str">
        <f>_xlfn.CONCAT(_xlfn.XLOOKUP("[S06_VirtualVisitsInstallationsDetails][2][NumberOfInstallationsVV]",Submission!$O:$O,Submission!$H:$N,""))</f>
        <v/>
      </c>
      <c r="E277" s="445"/>
      <c r="F277" s="258" t="str">
        <f>_xlfn.CONCAT(_xlfn.XLOOKUP("[S06_VirtualVisitsInstallationsDetails][2][AuthorityApproval]",Submission!$O:$O,Submission!$H:$N,""))</f>
        <v/>
      </c>
      <c r="G277" s="260"/>
      <c r="H277" s="258" t="str">
        <f>_xlfn.CONCAT(_xlfn.XLOOKUP("[S06_VirtualVisitsInstallationsDetails][2][ConfirmationConditionsMet]",Submission!$O:$O,Submission!$H:$N,""))</f>
        <v/>
      </c>
      <c r="I277" s="260"/>
    </row>
    <row r="278" spans="1:9" ht="25.2" customHeight="1" x14ac:dyDescent="0.3">
      <c r="C278" s="72" t="str">
        <f>_xlfn.CONCAT(_xlfn.XLOOKUP("[S06_VirtualVisitsInstallationsDetails][3][TypeForceMajeur]",Submission!$O:$O,Submission!$H:$N,""))</f>
        <v/>
      </c>
      <c r="D278" s="444" t="str">
        <f>_xlfn.CONCAT(_xlfn.XLOOKUP("[S06_VirtualVisitsInstallationsDetails][3][NumberOfInstallationsVV]",Submission!$O:$O,Submission!$H:$N,""))</f>
        <v/>
      </c>
      <c r="E278" s="445"/>
      <c r="F278" s="258" t="str">
        <f>_xlfn.CONCAT(_xlfn.XLOOKUP("[S06_VirtualVisitsInstallationsDetails][3][AuthorityApproval]",Submission!$O:$O,Submission!$H:$N,""))</f>
        <v/>
      </c>
      <c r="G278" s="260"/>
      <c r="H278" s="258" t="str">
        <f>_xlfn.CONCAT(_xlfn.XLOOKUP("[S06_VirtualVisitsInstallationsDetails][3][ConfirmationConditionsMet]",Submission!$O:$O,Submission!$H:$N,""))</f>
        <v/>
      </c>
      <c r="I278" s="260"/>
    </row>
    <row r="279" spans="1:9" ht="25.2" customHeight="1" x14ac:dyDescent="0.3">
      <c r="C279" s="72" t="str">
        <f>_xlfn.CONCAT(_xlfn.XLOOKUP("[S06_VirtualVisitsInstallationsDetails][4][TypeForceMajeur]",Submission!$O:$O,Submission!$H:$N,""))</f>
        <v/>
      </c>
      <c r="D279" s="444" t="str">
        <f>_xlfn.CONCAT(_xlfn.XLOOKUP("[S06_VirtualVisitsInstallationsDetails][4][NumberOfInstallationsVV]",Submission!$O:$O,Submission!$H:$N,""))</f>
        <v/>
      </c>
      <c r="E279" s="445"/>
      <c r="F279" s="258" t="str">
        <f>_xlfn.CONCAT(_xlfn.XLOOKUP("[S06_VirtualVisitsInstallationsDetails][4][AuthorityApproval]",Submission!$O:$O,Submission!$H:$N,""))</f>
        <v/>
      </c>
      <c r="G279" s="260"/>
      <c r="H279" s="258" t="str">
        <f>_xlfn.CONCAT(_xlfn.XLOOKUP("[S06_VirtualVisitsInstallationsDetails][4][ConfirmationConditionsMet]",Submission!$O:$O,Submission!$H:$N,""))</f>
        <v/>
      </c>
      <c r="I279" s="260"/>
    </row>
    <row r="280" spans="1:9" ht="25.2" hidden="1" customHeight="1" outlineLevel="1" x14ac:dyDescent="0.3">
      <c r="C280" s="72" t="str">
        <f>_xlfn.CONCAT(_xlfn.XLOOKUP("[S06_VirtualVisitsInstallationsDetails][5][TypeForceMajeur]",Submission!$O:$O,Submission!$H:$N,""))</f>
        <v/>
      </c>
      <c r="D280" s="444" t="str">
        <f>_xlfn.CONCAT(_xlfn.XLOOKUP("[S06_VirtualVisitsInstallationsDetails][5][NumberOfInstallationsVV]",Submission!$O:$O,Submission!$H:$N,""))</f>
        <v/>
      </c>
      <c r="E280" s="445"/>
      <c r="F280" s="258" t="str">
        <f>_xlfn.CONCAT(_xlfn.XLOOKUP("[S06_VirtualVisitsInstallationsDetails][5][AuthorityApproval]",Submission!$O:$O,Submission!$H:$N,""))</f>
        <v/>
      </c>
      <c r="G280" s="260"/>
      <c r="H280" s="258" t="str">
        <f>_xlfn.CONCAT(_xlfn.XLOOKUP("[S06_VirtualVisitsInstallationsDetails][5][ConfirmationConditionsMet]",Submission!$O:$O,Submission!$H:$N,""))</f>
        <v/>
      </c>
      <c r="I280" s="260"/>
    </row>
    <row r="281" spans="1:9" ht="25.2" hidden="1" customHeight="1" outlineLevel="1" x14ac:dyDescent="0.3">
      <c r="C281" s="72" t="str">
        <f>_xlfn.CONCAT(_xlfn.XLOOKUP("[S06_VirtualVisitsInstallationsDetails][6][TypeForceMajeur]",Submission!$O:$O,Submission!$H:$N,""))</f>
        <v/>
      </c>
      <c r="D281" s="444" t="str">
        <f>_xlfn.CONCAT(_xlfn.XLOOKUP("[S06_VirtualVisitsInstallationsDetails][6][NumberOfInstallationsVV]",Submission!$O:$O,Submission!$H:$N,""))</f>
        <v/>
      </c>
      <c r="E281" s="445"/>
      <c r="F281" s="258" t="str">
        <f>_xlfn.CONCAT(_xlfn.XLOOKUP("[S06_VirtualVisitsInstallationsDetails][6][AuthorityApproval]",Submission!$O:$O,Submission!$H:$N,""))</f>
        <v/>
      </c>
      <c r="G281" s="260"/>
      <c r="H281" s="258" t="str">
        <f>_xlfn.CONCAT(_xlfn.XLOOKUP("[S06_VirtualVisitsInstallationsDetails][6][ConfirmationConditionsMet]",Submission!$O:$O,Submission!$H:$N,""))</f>
        <v/>
      </c>
      <c r="I281" s="260"/>
    </row>
    <row r="282" spans="1:9" ht="25.2" hidden="1" customHeight="1" outlineLevel="1" x14ac:dyDescent="0.3">
      <c r="C282" s="72" t="str">
        <f>_xlfn.CONCAT(_xlfn.XLOOKUP("[S06_VirtualVisitsInstallationsDetails][7][TypeForceMajeur]",Submission!$O:$O,Submission!$H:$N,""))</f>
        <v/>
      </c>
      <c r="D282" s="444" t="str">
        <f>_xlfn.CONCAT(_xlfn.XLOOKUP("[S06_VirtualVisitsInstallationsDetails][7][NumberOfInstallationsVV]",Submission!$O:$O,Submission!$H:$N,""))</f>
        <v/>
      </c>
      <c r="E282" s="445"/>
      <c r="F282" s="258" t="str">
        <f>_xlfn.CONCAT(_xlfn.XLOOKUP("[S06_VirtualVisitsInstallationsDetails][7][AuthorityApproval]",Submission!$O:$O,Submission!$H:$N,""))</f>
        <v/>
      </c>
      <c r="G282" s="260"/>
      <c r="H282" s="258" t="str">
        <f>_xlfn.CONCAT(_xlfn.XLOOKUP("[S06_VirtualVisitsInstallationsDetails][7][ConfirmationConditionsMet]",Submission!$O:$O,Submission!$H:$N,""))</f>
        <v/>
      </c>
      <c r="I282" s="260"/>
    </row>
    <row r="283" spans="1:9" ht="25.2" hidden="1" customHeight="1" outlineLevel="1" x14ac:dyDescent="0.3">
      <c r="C283" s="72" t="str">
        <f>_xlfn.CONCAT(_xlfn.XLOOKUP("[S06_VirtualVisitsInstallationsDetails][8][TypeForceMajeur]",Submission!$O:$O,Submission!$H:$N,""))</f>
        <v/>
      </c>
      <c r="D283" s="444" t="str">
        <f>_xlfn.CONCAT(_xlfn.XLOOKUP("[S06_VirtualVisitsInstallationsDetails][8][NumberOfInstallationsVV]",Submission!$O:$O,Submission!$H:$N,""))</f>
        <v/>
      </c>
      <c r="E283" s="445"/>
      <c r="F283" s="258" t="str">
        <f>_xlfn.CONCAT(_xlfn.XLOOKUP("[S06_VirtualVisitsInstallationsDetails][8][AuthorityApproval]",Submission!$O:$O,Submission!$H:$N,""))</f>
        <v/>
      </c>
      <c r="G283" s="260"/>
      <c r="H283" s="258" t="str">
        <f>_xlfn.CONCAT(_xlfn.XLOOKUP("[S06_VirtualVisitsInstallationsDetails][8][ConfirmationConditionsMet]",Submission!$O:$O,Submission!$H:$N,""))</f>
        <v/>
      </c>
      <c r="I283" s="260"/>
    </row>
    <row r="284" spans="1:9" ht="25.2" hidden="1" customHeight="1" outlineLevel="1" x14ac:dyDescent="0.3">
      <c r="C284" s="72" t="str">
        <f>_xlfn.CONCAT(_xlfn.XLOOKUP("[S06_VirtualVisitsInstallationsDetails][9][TypeForceMajeur]",Submission!$O:$O,Submission!$H:$N,""))</f>
        <v/>
      </c>
      <c r="D284" s="444" t="str">
        <f>_xlfn.CONCAT(_xlfn.XLOOKUP("[S06_VirtualVisitsInstallationsDetails][9][NumberOfInstallationsVV]",Submission!$O:$O,Submission!$H:$N,""))</f>
        <v/>
      </c>
      <c r="E284" s="445"/>
      <c r="F284" s="258" t="str">
        <f>_xlfn.CONCAT(_xlfn.XLOOKUP("[S06_VirtualVisitsInstallationsDetails][9][AuthorityApproval]",Submission!$O:$O,Submission!$H:$N,""))</f>
        <v/>
      </c>
      <c r="G284" s="260"/>
      <c r="H284" s="258" t="str">
        <f>_xlfn.CONCAT(_xlfn.XLOOKUP("[S06_VirtualVisitsInstallationsDetails][9][ConfirmationConditionsMet]",Submission!$O:$O,Submission!$H:$N,""))</f>
        <v/>
      </c>
      <c r="I284" s="260"/>
    </row>
    <row r="285" spans="1:9" ht="25.2" hidden="1" customHeight="1" outlineLevel="1" x14ac:dyDescent="0.3">
      <c r="C285" s="72" t="str">
        <f>_xlfn.CONCAT(_xlfn.XLOOKUP("[S06_VirtualVisitsInstallationsDetails][10][TypeForceMajeur]",Submission!$O:$O,Submission!$H:$N,""))</f>
        <v/>
      </c>
      <c r="D285" s="444" t="str">
        <f>_xlfn.CONCAT(_xlfn.XLOOKUP("[S06_VirtualVisitsInstallationsDetails][10][NumberOfInstallationsVV]",Submission!$O:$O,Submission!$H:$N,""))</f>
        <v/>
      </c>
      <c r="E285" s="445"/>
      <c r="F285" s="258" t="str">
        <f>_xlfn.CONCAT(_xlfn.XLOOKUP("[S06_VirtualVisitsInstallationsDetails][10][AuthorityApproval]",Submission!$O:$O,Submission!$H:$N,""))</f>
        <v/>
      </c>
      <c r="G285" s="260"/>
      <c r="H285" s="258" t="str">
        <f>_xlfn.CONCAT(_xlfn.XLOOKUP("[S06_VirtualVisitsInstallationsDetails][10][ConfirmationConditionsMet]",Submission!$O:$O,Submission!$H:$N,""))</f>
        <v/>
      </c>
      <c r="I285" s="260"/>
    </row>
    <row r="286" spans="1:9" ht="25.2" hidden="1" customHeight="1" outlineLevel="1" x14ac:dyDescent="0.3">
      <c r="C286" s="72" t="str">
        <f>_xlfn.CONCAT(_xlfn.XLOOKUP("[S06_VirtualVisitsInstallationsDetails][11][TypeForceMajeur]",Submission!$O:$O,Submission!$H:$N,""))</f>
        <v/>
      </c>
      <c r="D286" s="444" t="str">
        <f>_xlfn.CONCAT(_xlfn.XLOOKUP("[S06_VirtualVisitsInstallationsDetails][11][NumberOfInstallationsVV]",Submission!$O:$O,Submission!$H:$N,""))</f>
        <v/>
      </c>
      <c r="E286" s="445"/>
      <c r="F286" s="258" t="str">
        <f>_xlfn.CONCAT(_xlfn.XLOOKUP("[S06_VirtualVisitsInstallationsDetails][11][AuthorityApproval]",Submission!$O:$O,Submission!$H:$N,""))</f>
        <v/>
      </c>
      <c r="G286" s="260"/>
      <c r="H286" s="258" t="str">
        <f>_xlfn.CONCAT(_xlfn.XLOOKUP("[S06_VirtualVisitsInstallationsDetails][11][ConfirmationConditionsMet]",Submission!$O:$O,Submission!$H:$N,""))</f>
        <v/>
      </c>
      <c r="I286" s="260"/>
    </row>
    <row r="287" spans="1:9" ht="25.2" hidden="1" customHeight="1" outlineLevel="1" x14ac:dyDescent="0.3">
      <c r="C287" s="72" t="str">
        <f>_xlfn.CONCAT(_xlfn.XLOOKUP("[S06_VirtualVisitsInstallationsDetails][12][TypeForceMajeur]",Submission!$O:$O,Submission!$H:$N,""))</f>
        <v/>
      </c>
      <c r="D287" s="444" t="str">
        <f>_xlfn.CONCAT(_xlfn.XLOOKUP("[S06_VirtualVisitsInstallationsDetails][12][NumberOfInstallationsVV]",Submission!$O:$O,Submission!$H:$N,""))</f>
        <v/>
      </c>
      <c r="E287" s="445"/>
      <c r="F287" s="258" t="str">
        <f>_xlfn.CONCAT(_xlfn.XLOOKUP("[S06_VirtualVisitsInstallationsDetails][12][AuthorityApproval]",Submission!$O:$O,Submission!$H:$N,""))</f>
        <v/>
      </c>
      <c r="G287" s="260"/>
      <c r="H287" s="258" t="str">
        <f>_xlfn.CONCAT(_xlfn.XLOOKUP("[S06_VirtualVisitsInstallationsDetails][12][ConfirmationConditionsMet]",Submission!$O:$O,Submission!$H:$N,""))</f>
        <v/>
      </c>
      <c r="I287" s="260"/>
    </row>
    <row r="288" spans="1:9" ht="25.2" hidden="1" customHeight="1" outlineLevel="1" x14ac:dyDescent="0.3">
      <c r="C288" s="72" t="str">
        <f>_xlfn.CONCAT(_xlfn.XLOOKUP("[S06_VirtualVisitsInstallationsDetails][13][TypeForceMajeur]",Submission!$O:$O,Submission!$H:$N,""))</f>
        <v/>
      </c>
      <c r="D288" s="444" t="str">
        <f>_xlfn.CONCAT(_xlfn.XLOOKUP("[S06_VirtualVisitsInstallationsDetails][13][NumberOfInstallationsVV]",Submission!$O:$O,Submission!$H:$N,""))</f>
        <v/>
      </c>
      <c r="E288" s="445"/>
      <c r="F288" s="258" t="str">
        <f>_xlfn.CONCAT(_xlfn.XLOOKUP("[S06_VirtualVisitsInstallationsDetails][13][AuthorityApproval]",Submission!$O:$O,Submission!$H:$N,""))</f>
        <v/>
      </c>
      <c r="G288" s="260"/>
      <c r="H288" s="258" t="str">
        <f>_xlfn.CONCAT(_xlfn.XLOOKUP("[S06_VirtualVisitsInstallationsDetails][13][ConfirmationConditionsMet]",Submission!$O:$O,Submission!$H:$N,""))</f>
        <v/>
      </c>
      <c r="I288" s="260"/>
    </row>
    <row r="289" spans="1:11" ht="15.9" customHeight="1" collapsed="1" x14ac:dyDescent="0.3">
      <c r="A289" s="13"/>
      <c r="B289" s="26" t="s">
        <v>1000</v>
      </c>
      <c r="C289" s="19"/>
      <c r="D289" s="11"/>
      <c r="E289" s="11"/>
      <c r="F289" s="11"/>
      <c r="G289" s="11"/>
      <c r="H289" s="11"/>
    </row>
    <row r="290" spans="1:11" ht="15.9" customHeight="1" x14ac:dyDescent="0.3">
      <c r="A290" s="13"/>
      <c r="B290" s="446" t="s">
        <v>1078</v>
      </c>
      <c r="C290" s="447"/>
      <c r="D290" s="447"/>
      <c r="E290" s="447"/>
      <c r="F290" s="447"/>
      <c r="G290" s="447"/>
      <c r="H290" s="447"/>
      <c r="I290" s="447"/>
    </row>
    <row r="291" spans="1:11" ht="15.9" customHeight="1" x14ac:dyDescent="0.3">
      <c r="B291" s="22"/>
      <c r="C291" s="24"/>
      <c r="D291" s="24"/>
      <c r="E291" s="24"/>
      <c r="F291" s="24"/>
      <c r="G291" s="24"/>
      <c r="H291" s="24"/>
      <c r="I291" s="24"/>
    </row>
    <row r="292" spans="1:11" ht="18.899999999999999" customHeight="1" x14ac:dyDescent="0.35">
      <c r="A292" s="85" t="s">
        <v>1079</v>
      </c>
      <c r="B292" s="310" t="s">
        <v>1080</v>
      </c>
      <c r="C292" s="310"/>
      <c r="D292" s="310"/>
      <c r="E292" s="310"/>
      <c r="F292" s="310"/>
      <c r="G292" s="310"/>
      <c r="H292" s="310"/>
      <c r="I292" s="311"/>
    </row>
    <row r="293" spans="1:11" ht="33" customHeight="1" x14ac:dyDescent="0.3">
      <c r="A293" s="12" t="s">
        <v>407</v>
      </c>
      <c r="B293" s="312" t="s">
        <v>1081</v>
      </c>
      <c r="C293" s="312"/>
      <c r="D293" s="312"/>
      <c r="E293" s="312"/>
      <c r="F293" s="312"/>
      <c r="G293" s="312"/>
      <c r="H293" s="312"/>
      <c r="I293" s="312"/>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79" t="s">
        <v>1087</v>
      </c>
      <c r="D317" s="280"/>
      <c r="E317" s="280"/>
      <c r="F317" s="280"/>
      <c r="G317" s="280"/>
      <c r="H317" s="280"/>
      <c r="I317" s="280"/>
    </row>
    <row r="318" spans="1:9" s="11" customFormat="1" ht="46.5" customHeight="1" x14ac:dyDescent="0.3">
      <c r="C318" s="358" t="s">
        <v>1088</v>
      </c>
      <c r="D318" s="359"/>
      <c r="E318" s="359"/>
      <c r="F318" s="359"/>
      <c r="G318" s="359"/>
      <c r="H318" s="359"/>
      <c r="I318" s="359"/>
    </row>
    <row r="319" spans="1:9" s="11" customFormat="1" ht="26.1" customHeight="1" x14ac:dyDescent="0.3">
      <c r="C319" s="358" t="s">
        <v>1089</v>
      </c>
      <c r="D319" s="359"/>
      <c r="E319" s="359"/>
      <c r="F319" s="359"/>
      <c r="G319" s="359"/>
      <c r="H319" s="359"/>
      <c r="I319" s="359"/>
    </row>
    <row r="320" spans="1:9" s="11" customFormat="1" ht="16.95" customHeight="1" x14ac:dyDescent="0.3">
      <c r="C320" s="19"/>
      <c r="D320" s="31"/>
      <c r="E320" s="31"/>
      <c r="F320" s="31"/>
      <c r="G320" s="31"/>
      <c r="H320" s="31"/>
      <c r="I320" s="31"/>
    </row>
    <row r="321" spans="1:9" s="11" customFormat="1" ht="18" customHeight="1" x14ac:dyDescent="0.3">
      <c r="C321" s="307" t="s">
        <v>1090</v>
      </c>
      <c r="D321" s="307"/>
      <c r="E321" s="307"/>
      <c r="F321" s="307"/>
      <c r="G321" s="307"/>
      <c r="H321" s="307"/>
      <c r="I321" s="307"/>
    </row>
    <row r="322" spans="1:9" ht="15.9" customHeight="1" x14ac:dyDescent="0.3">
      <c r="C322" s="314" t="s">
        <v>1037</v>
      </c>
      <c r="D322" s="315"/>
      <c r="E322" s="315"/>
      <c r="F322" s="315"/>
      <c r="G322" s="316"/>
      <c r="H322" s="438" t="s">
        <v>99</v>
      </c>
      <c r="I322" s="439"/>
    </row>
    <row r="323" spans="1:9" ht="15.9" customHeight="1" x14ac:dyDescent="0.3">
      <c r="C323" s="249" t="s">
        <v>1038</v>
      </c>
      <c r="D323" s="257"/>
      <c r="E323" s="257"/>
      <c r="F323" s="257"/>
      <c r="G323" s="250"/>
      <c r="H323" s="351" t="str">
        <f>_xlfn.CONCAT(_xlfn.XLOOKUP("[S06_NegativeOpinionAircraft][1][CountNegativeOpinions]",Submission!$O:$O,Submission!$H:$N,""))</f>
        <v/>
      </c>
      <c r="I323" s="361"/>
    </row>
    <row r="324" spans="1:9" x14ac:dyDescent="0.3">
      <c r="C324" s="249" t="s">
        <v>1091</v>
      </c>
      <c r="D324" s="257"/>
      <c r="E324" s="257"/>
      <c r="F324" s="257"/>
      <c r="G324" s="250"/>
      <c r="H324" s="351" t="str">
        <f>_xlfn.CONCAT(_xlfn.XLOOKUP("[S06_NegativeOpinionAircraft][2][CountNegativeOpinions]",Submission!$O:$O,Submission!$H:$N,""))</f>
        <v/>
      </c>
      <c r="I324" s="361"/>
    </row>
    <row r="325" spans="1:9" ht="15.9" customHeight="1" x14ac:dyDescent="0.3">
      <c r="C325" s="249" t="s">
        <v>1040</v>
      </c>
      <c r="D325" s="257"/>
      <c r="E325" s="257"/>
      <c r="F325" s="257"/>
      <c r="G325" s="250"/>
      <c r="H325" s="351" t="str">
        <f>_xlfn.CONCAT(_xlfn.XLOOKUP("[S06_NegativeOpinionAircraft][3][CountNegativeOpinions]",Submission!$O:$O,Submission!$H:$N,""))</f>
        <v/>
      </c>
      <c r="I325" s="361"/>
    </row>
    <row r="326" spans="1:9" ht="18" customHeight="1" x14ac:dyDescent="0.3">
      <c r="C326" s="249" t="s">
        <v>1041</v>
      </c>
      <c r="D326" s="257"/>
      <c r="E326" s="257"/>
      <c r="F326" s="257"/>
      <c r="G326" s="250"/>
      <c r="H326" s="351" t="str">
        <f>_xlfn.CONCAT(_xlfn.XLOOKUP("[S06_NegativeOpinionAircraft][4][CountNegativeOpinions]",Submission!$O:$O,Submission!$H:$N,""))</f>
        <v/>
      </c>
      <c r="I326" s="361"/>
    </row>
    <row r="327" spans="1:9" s="11" customFormat="1" ht="14.4" x14ac:dyDescent="0.3">
      <c r="C327" s="20"/>
      <c r="D327" s="24"/>
      <c r="E327" s="24"/>
      <c r="F327" s="24"/>
      <c r="G327" s="24"/>
      <c r="H327" s="24"/>
      <c r="I327" s="24"/>
    </row>
    <row r="328" spans="1:9" ht="32.1" customHeight="1" x14ac:dyDescent="0.3">
      <c r="A328" s="12" t="s">
        <v>412</v>
      </c>
      <c r="B328" s="338" t="s">
        <v>1092</v>
      </c>
      <c r="C328" s="308"/>
      <c r="D328" s="308"/>
      <c r="E328" s="308"/>
      <c r="F328" s="308"/>
      <c r="G328" s="308"/>
      <c r="H328" s="345"/>
      <c r="I328" s="41" t="str">
        <f>_xlfn.CONCAT(_xlfn.XLOOKUP("[AircraftOperatorsVerificationReportIssues][0][AircraftOperatorsVerificationReportIssues]",Submission!$O:$O,Submission!$H:$N,""))</f>
        <v>No</v>
      </c>
    </row>
    <row r="329" spans="1:9" ht="16.2" customHeight="1" x14ac:dyDescent="0.3">
      <c r="A329" s="12"/>
      <c r="B329" s="275" t="s">
        <v>1093</v>
      </c>
      <c r="C329" s="276"/>
      <c r="D329" s="276"/>
      <c r="E329" s="276"/>
      <c r="F329" s="276"/>
      <c r="G329" s="276"/>
      <c r="H329" s="276"/>
      <c r="I329" s="276"/>
    </row>
    <row r="330" spans="1:9" ht="15.6" customHeight="1" x14ac:dyDescent="0.3">
      <c r="A330" s="12"/>
      <c r="B330" s="22"/>
      <c r="C330" s="434" t="s">
        <v>1094</v>
      </c>
      <c r="D330" s="434"/>
      <c r="E330" s="434"/>
      <c r="F330" s="434"/>
      <c r="G330" s="434"/>
      <c r="H330" s="434"/>
      <c r="I330" s="434"/>
    </row>
    <row r="331" spans="1:9" ht="43.95" customHeight="1" x14ac:dyDescent="0.3">
      <c r="A331" s="12"/>
      <c r="B331" s="23"/>
      <c r="C331" s="314" t="s">
        <v>1044</v>
      </c>
      <c r="D331" s="333"/>
      <c r="E331" s="334"/>
      <c r="F331" s="51" t="s">
        <v>945</v>
      </c>
      <c r="G331" s="51" t="s">
        <v>1046</v>
      </c>
      <c r="H331" s="314" t="s">
        <v>1047</v>
      </c>
      <c r="I331" s="334"/>
    </row>
    <row r="332" spans="1:9" ht="15.9" customHeight="1" x14ac:dyDescent="0.3">
      <c r="A332" s="12"/>
      <c r="B332" s="23"/>
      <c r="C332" s="419" t="str">
        <f>_xlfn.CONCAT(_xlfn.XLOOKUP("[S06_AircraftOperatorsVerificationReportIssuesEmissions][1][TypeOfIssue]",Submission!$O:$O,Submission!$H:$N,""))</f>
        <v/>
      </c>
      <c r="D332" s="420"/>
      <c r="E332" s="421"/>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42" t="str">
        <f>_xlfn.CONCAT(_xlfn.XLOOKUP("[S06_AircraftOperatorsVerificationReportIssuesEmissions][1][ShareOfReportsConservativeEstimate]",Submission!$O:$O,Submission!$H:$N,""))</f>
        <v/>
      </c>
      <c r="I332" s="443"/>
    </row>
    <row r="333" spans="1:9" ht="15.9" customHeight="1" x14ac:dyDescent="0.3">
      <c r="A333" s="12"/>
      <c r="B333" s="23"/>
      <c r="C333" s="419" t="str">
        <f>_xlfn.CONCAT(_xlfn.XLOOKUP("[S06_AircraftOperatorsVerificationReportIssuesEmissions][2][TypeOfIssue]",Submission!$O:$O,Submission!$H:$N,""))</f>
        <v/>
      </c>
      <c r="D333" s="420"/>
      <c r="E333" s="421"/>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42" t="str">
        <f>_xlfn.CONCAT(_xlfn.XLOOKUP("[S06_AircraftOperatorsVerificationReportIssuesEmissions][2][ShareOfReportsConservativeEstimate]",Submission!$O:$O,Submission!$H:$N,""))</f>
        <v/>
      </c>
      <c r="I333" s="443"/>
    </row>
    <row r="334" spans="1:9" ht="15.9" hidden="1" customHeight="1" outlineLevel="1" x14ac:dyDescent="0.3">
      <c r="A334" s="12"/>
      <c r="B334" s="23"/>
      <c r="C334" s="419" t="str">
        <f>_xlfn.CONCAT(_xlfn.XLOOKUP("[S06_AircraftOperatorsVerificationReportIssuesEmissions][3][TypeOfIssue]",Submission!$O:$O,Submission!$H:$N,""))</f>
        <v/>
      </c>
      <c r="D334" s="420"/>
      <c r="E334" s="421"/>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42" t="str">
        <f>_xlfn.CONCAT(_xlfn.XLOOKUP("[S06_AircraftOperatorsVerificationReportIssuesEmissions][3][ShareOfReportsConservativeEstimate]",Submission!$O:$O,Submission!$H:$N,""))</f>
        <v/>
      </c>
      <c r="I334" s="443"/>
    </row>
    <row r="335" spans="1:9" ht="15.9" hidden="1" customHeight="1" outlineLevel="1" x14ac:dyDescent="0.3">
      <c r="A335" s="12"/>
      <c r="B335" s="23"/>
      <c r="C335" s="419" t="str">
        <f>_xlfn.CONCAT(_xlfn.XLOOKUP("[S06_AircraftOperatorsVerificationReportIssuesEmissions][4][TypeOfIssue]",Submission!$O:$O,Submission!$H:$N,""))</f>
        <v/>
      </c>
      <c r="D335" s="420"/>
      <c r="E335" s="421"/>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42" t="str">
        <f>_xlfn.CONCAT(_xlfn.XLOOKUP("[S06_AircraftOperatorsVerificationReportIssuesEmissions][4][ShareOfReportsConservativeEstimate]",Submission!$O:$O,Submission!$H:$N,""))</f>
        <v/>
      </c>
      <c r="I335" s="443"/>
    </row>
    <row r="336" spans="1:9" ht="15.9" customHeight="1" collapsed="1" x14ac:dyDescent="0.3">
      <c r="A336" s="12"/>
      <c r="B336" s="26" t="s">
        <v>1000</v>
      </c>
      <c r="C336" s="19"/>
      <c r="D336" s="11"/>
      <c r="E336" s="11"/>
      <c r="F336" s="11"/>
      <c r="G336" s="11"/>
      <c r="H336" s="11"/>
    </row>
    <row r="337" spans="1:9" ht="27" customHeight="1" x14ac:dyDescent="0.3">
      <c r="A337" s="12"/>
      <c r="C337" s="279" t="s">
        <v>1095</v>
      </c>
      <c r="D337" s="280"/>
      <c r="E337" s="280"/>
      <c r="F337" s="280"/>
      <c r="G337" s="280"/>
      <c r="H337" s="280"/>
      <c r="I337" s="280"/>
    </row>
    <row r="338" spans="1:9" ht="15.9" customHeight="1" x14ac:dyDescent="0.3">
      <c r="A338" s="12"/>
      <c r="C338" s="20"/>
      <c r="D338" s="24"/>
      <c r="E338" s="24"/>
      <c r="F338" s="24"/>
      <c r="G338" s="24"/>
      <c r="H338" s="24"/>
      <c r="I338" s="24"/>
    </row>
    <row r="339" spans="1:9" ht="15.9" customHeight="1" x14ac:dyDescent="0.3">
      <c r="A339" s="12"/>
      <c r="C339" s="434" t="s">
        <v>1096</v>
      </c>
      <c r="D339" s="434"/>
      <c r="E339" s="434"/>
      <c r="F339" s="434"/>
      <c r="G339" s="434"/>
      <c r="H339" s="434"/>
      <c r="I339" s="434"/>
    </row>
    <row r="340" spans="1:9" ht="15.9" customHeight="1" x14ac:dyDescent="0.3">
      <c r="A340" s="12"/>
      <c r="B340" s="23"/>
      <c r="C340" s="314" t="s">
        <v>1044</v>
      </c>
      <c r="D340" s="333"/>
      <c r="E340" s="334"/>
      <c r="F340" s="51" t="s">
        <v>945</v>
      </c>
      <c r="G340" s="435" t="s">
        <v>1046</v>
      </c>
      <c r="H340" s="436"/>
      <c r="I340" s="437"/>
    </row>
    <row r="341" spans="1:9" ht="15.9" customHeight="1" x14ac:dyDescent="0.3">
      <c r="A341" s="12"/>
      <c r="B341" s="23"/>
      <c r="C341" s="419" t="str">
        <f>_xlfn.CONCAT(_xlfn.XLOOKUP("[S06_AircraftOperatorsVerificationReportIssuesTKM][1][TypeOfIssue]",Submission!$O:$O,Submission!$H:$N,""))</f>
        <v/>
      </c>
      <c r="D341" s="420"/>
      <c r="E341" s="421"/>
      <c r="F341" s="132" t="str">
        <f>_xlfn.CONCAT(_xlfn.XLOOKUP("[S06_AircraftOperatorsVerificationReportIssuesTKM][1][NumberOfAircraftOperators]",Submission!$O:$O,Submission!$H:$N,""))</f>
        <v/>
      </c>
      <c r="G341" s="335" t="str">
        <f>_xlfn.CONCAT(_xlfn.XLOOKUP("[S06_AircraftOperatorsVerificationReportIssuesTKM][1][NumberOfIssues]",Submission!$O:$O,Submission!$H:$N,""))</f>
        <v/>
      </c>
      <c r="H341" s="336"/>
      <c r="I341" s="337"/>
    </row>
    <row r="342" spans="1:9" ht="15.9" customHeight="1" x14ac:dyDescent="0.3">
      <c r="A342" s="12"/>
      <c r="B342" s="23"/>
      <c r="C342" s="419" t="str">
        <f>_xlfn.CONCAT(_xlfn.XLOOKUP("[S06_AircraftOperatorsVerificationReportIssuesTKM][2][TypeOfIssue]",Submission!$O:$O,Submission!$H:$N,""))</f>
        <v/>
      </c>
      <c r="D342" s="420"/>
      <c r="E342" s="421"/>
      <c r="F342" s="132" t="str">
        <f>_xlfn.CONCAT(_xlfn.XLOOKUP("[S06_AircraftOperatorsVerificationReportIssuesTKM][2][NumberOfAircraftOperators]",Submission!$O:$O,Submission!$H:$N,""))</f>
        <v/>
      </c>
      <c r="G342" s="335" t="str">
        <f>_xlfn.CONCAT(_xlfn.XLOOKUP("[S06_AircraftOperatorsVerificationReportIssuesTKM][2][NumberOfIssues]",Submission!$O:$O,Submission!$H:$N,""))</f>
        <v/>
      </c>
      <c r="H342" s="336"/>
      <c r="I342" s="337"/>
    </row>
    <row r="343" spans="1:9" ht="15.9" hidden="1" customHeight="1" outlineLevel="1" x14ac:dyDescent="0.3">
      <c r="A343" s="12"/>
      <c r="B343" s="23"/>
      <c r="C343" s="419" t="str">
        <f>_xlfn.CONCAT(_xlfn.XLOOKUP("[S06_AircraftOperatorsVerificationReportIssuesTKM][3][TypeOfIssue]",Submission!$O:$O,Submission!$H:$N,""))</f>
        <v/>
      </c>
      <c r="D343" s="420"/>
      <c r="E343" s="421"/>
      <c r="F343" s="132" t="str">
        <f>_xlfn.CONCAT(_xlfn.XLOOKUP("[S06_AircraftOperatorsVerificationReportIssuesTKM][3][NumberOfAircraftOperators]",Submission!$O:$O,Submission!$H:$N,""))</f>
        <v/>
      </c>
      <c r="G343" s="335" t="str">
        <f>_xlfn.CONCAT(_xlfn.XLOOKUP("[S06_AircraftOperatorsVerificationReportIssuesTKM][3][NumberOfIssues]",Submission!$O:$O,Submission!$H:$N,""))</f>
        <v/>
      </c>
      <c r="H343" s="336"/>
      <c r="I343" s="337"/>
    </row>
    <row r="344" spans="1:9" ht="15.9" hidden="1" customHeight="1" outlineLevel="1" x14ac:dyDescent="0.3">
      <c r="A344" s="12"/>
      <c r="B344" s="23"/>
      <c r="C344" s="419" t="str">
        <f>_xlfn.CONCAT(_xlfn.XLOOKUP("[S06_AircraftOperatorsVerificationReportIssuesTKM][4][TypeOfIssue]",Submission!$O:$O,Submission!$H:$N,""))</f>
        <v/>
      </c>
      <c r="D344" s="420"/>
      <c r="E344" s="421"/>
      <c r="F344" s="132" t="str">
        <f>_xlfn.CONCAT(_xlfn.XLOOKUP("[S06_AircraftOperatorsVerificationReportIssuesTKM][4][NumberOfAircraftOperators]",Submission!$O:$O,Submission!$H:$N,""))</f>
        <v/>
      </c>
      <c r="G344" s="335" t="str">
        <f>_xlfn.CONCAT(_xlfn.XLOOKUP("[S06_AircraftOperatorsVerificationReportIssuesTKM][4][NumberOfIssues]",Submission!$O:$O,Submission!$H:$N,""))</f>
        <v/>
      </c>
      <c r="H344" s="336"/>
      <c r="I344" s="337"/>
    </row>
    <row r="345" spans="1:9" ht="15.9" customHeight="1" collapsed="1" x14ac:dyDescent="0.3">
      <c r="A345" s="12"/>
      <c r="B345" s="26" t="s">
        <v>1000</v>
      </c>
      <c r="C345" s="19"/>
      <c r="D345" s="11"/>
      <c r="E345" s="11"/>
      <c r="F345" s="11"/>
      <c r="G345" s="11"/>
      <c r="H345" s="11"/>
    </row>
    <row r="346" spans="1:9" ht="27" customHeight="1" x14ac:dyDescent="0.3">
      <c r="A346" s="12"/>
      <c r="C346" s="279" t="s">
        <v>1095</v>
      </c>
      <c r="D346" s="280"/>
      <c r="E346" s="280"/>
      <c r="F346" s="280"/>
      <c r="G346" s="280"/>
      <c r="H346" s="280"/>
      <c r="I346" s="280"/>
    </row>
    <row r="347" spans="1:9" ht="15.9" customHeight="1" x14ac:dyDescent="0.3">
      <c r="A347" s="12"/>
      <c r="B347" s="23"/>
      <c r="D347" s="11"/>
      <c r="E347" s="11"/>
      <c r="F347" s="11"/>
    </row>
    <row r="348" spans="1:9" ht="15.9" customHeight="1" x14ac:dyDescent="0.3">
      <c r="A348" s="12" t="s">
        <v>417</v>
      </c>
      <c r="B348" s="338" t="s">
        <v>1049</v>
      </c>
      <c r="C348" s="308"/>
      <c r="D348" s="308"/>
      <c r="E348" s="308"/>
      <c r="F348" s="308"/>
      <c r="G348" s="308"/>
      <c r="H348" s="345"/>
      <c r="I348" s="41" t="str">
        <f>_xlfn.CONCAT(_xlfn.XLOOKUP("[AircraftOperatorsVerificationReportChecks][0][AircraftOperatorsVerificationReportChecks]",Submission!$O:$O,Submission!$H:$N,""))</f>
        <v>No</v>
      </c>
    </row>
    <row r="349" spans="1:9" ht="15.9" customHeight="1" x14ac:dyDescent="0.3">
      <c r="A349" s="12"/>
      <c r="B349" s="275" t="s">
        <v>1097</v>
      </c>
      <c r="C349" s="276"/>
      <c r="D349" s="276"/>
      <c r="E349" s="276"/>
      <c r="F349" s="276"/>
      <c r="G349" s="276"/>
      <c r="H349" s="276"/>
      <c r="I349" s="276"/>
    </row>
    <row r="350" spans="1:9" ht="15.9" customHeight="1" x14ac:dyDescent="0.3">
      <c r="A350" s="12"/>
      <c r="B350" s="22"/>
      <c r="C350" s="434" t="s">
        <v>1098</v>
      </c>
      <c r="D350" s="434"/>
      <c r="E350" s="434"/>
      <c r="F350" s="434"/>
      <c r="G350" s="434"/>
      <c r="H350" s="434"/>
      <c r="I350" s="434"/>
    </row>
    <row r="351" spans="1:9" ht="15.9" customHeight="1" x14ac:dyDescent="0.3">
      <c r="A351" s="12"/>
      <c r="C351" s="317" t="s">
        <v>1099</v>
      </c>
      <c r="D351" s="328"/>
      <c r="E351" s="328"/>
      <c r="F351" s="328"/>
      <c r="G351" s="328"/>
      <c r="H351" s="328"/>
      <c r="I351" s="329"/>
    </row>
    <row r="352" spans="1:9" s="79" customFormat="1" ht="30" customHeight="1" x14ac:dyDescent="0.3">
      <c r="A352" s="131"/>
      <c r="C352" s="249" t="s">
        <v>1052</v>
      </c>
      <c r="D352" s="272"/>
      <c r="E352" s="272"/>
      <c r="F352" s="273"/>
      <c r="G352" s="138" t="str">
        <f>_xlfn.CONCAT(_xlfn.XLOOKUP("[S06_AircraftOperatorsVerificationEmissionReportChecks1][1][PercentageShare]",Submission!$O:$O,Submission!$H:$N,""))</f>
        <v/>
      </c>
      <c r="H352" s="426"/>
      <c r="I352" s="427"/>
    </row>
    <row r="353" spans="1:9" s="79" customFormat="1" ht="30" customHeight="1" x14ac:dyDescent="0.3">
      <c r="A353" s="131"/>
      <c r="C353" s="249" t="s">
        <v>1053</v>
      </c>
      <c r="D353" s="272"/>
      <c r="E353" s="272"/>
      <c r="F353" s="273"/>
      <c r="G353" s="138" t="str">
        <f>_xlfn.CONCAT(_xlfn.XLOOKUP("[S06_AircraftOperatorsVerificationEmissionReportChecks1][2][PercentageShare]",Submission!$O:$O,Submission!$H:$N,""))</f>
        <v/>
      </c>
      <c r="H353" s="426"/>
      <c r="I353" s="427"/>
    </row>
    <row r="354" spans="1:9" s="79" customFormat="1" ht="30" customHeight="1" x14ac:dyDescent="0.3">
      <c r="A354" s="131"/>
      <c r="C354" s="249" t="s">
        <v>1055</v>
      </c>
      <c r="D354" s="272"/>
      <c r="E354" s="272"/>
      <c r="F354" s="273"/>
      <c r="G354" s="138" t="str">
        <f>_xlfn.CONCAT(_xlfn.XLOOKUP("[S06_AircraftOperatorsVerificationEmissionReportChecks1][3][PercentageShare]",Submission!$O:$O,Submission!$H:$N,""))</f>
        <v/>
      </c>
      <c r="H354" s="255" t="str">
        <f>_xlfn.CONCAT(_xlfn.XLOOKUP("[S06_AircraftOperatorsVerificationEmissionReportChecks1][3][FurtherInformation]",Submission!$O:$O,Submission!$H:$N,""))</f>
        <v/>
      </c>
      <c r="I354" s="256"/>
    </row>
    <row r="355" spans="1:9" s="79" customFormat="1" ht="43.2" customHeight="1" x14ac:dyDescent="0.3">
      <c r="A355" s="131"/>
      <c r="C355" s="249" t="s">
        <v>1100</v>
      </c>
      <c r="D355" s="272"/>
      <c r="E355" s="272"/>
      <c r="F355" s="273"/>
      <c r="G355" s="138" t="str">
        <f>_xlfn.CONCAT(_xlfn.XLOOKUP("[S06_AircraftOperatorsVerificationEmissionReportChecks1][4][PercentageShare]",Submission!$O:$O,Submission!$H:$N,""))</f>
        <v/>
      </c>
      <c r="H355" s="129" t="str">
        <f>_xlfn.CONCAT(_xlfn.XLOOKUP("[S06_AircraftOperatorsVerificationEmissionReportChecks1][4][SelectingCriteria]",Submission!$O:$O,Submission!$H:$N,""))</f>
        <v/>
      </c>
      <c r="I355" s="130" t="str">
        <f>_xlfn.CONCAT(_xlfn.XLOOKUP("[S06_AircraftOperatorsVerificationEmissionReportChecks1][4][FurtherInformation]",Submission!$O:$O,Submission!$H:$N,""))</f>
        <v/>
      </c>
    </row>
    <row r="356" spans="1:9" s="79" customFormat="1" ht="30" customHeight="1" x14ac:dyDescent="0.3">
      <c r="A356" s="131"/>
      <c r="C356" s="249" t="s">
        <v>1101</v>
      </c>
      <c r="D356" s="272"/>
      <c r="E356" s="272"/>
      <c r="F356" s="273"/>
      <c r="G356" s="139" t="str">
        <f>_xlfn.CONCAT(_xlfn.XLOOKUP("[S06_AircraftOperatorsVerificationEmissionReportChecks2][1][NumberOfReports]",Submission!$O:$O,Submission!$H:$N,""))</f>
        <v/>
      </c>
      <c r="H356" s="426"/>
      <c r="I356" s="427"/>
    </row>
    <row r="357" spans="1:9" s="79" customFormat="1" ht="30" customHeight="1" x14ac:dyDescent="0.3">
      <c r="A357" s="131"/>
      <c r="C357" s="249" t="s">
        <v>1102</v>
      </c>
      <c r="D357" s="272"/>
      <c r="E357" s="272"/>
      <c r="F357" s="273"/>
      <c r="G357" s="139" t="str">
        <f>_xlfn.CONCAT(_xlfn.XLOOKUP("[S06_AircraftOperatorsVerificationEmissionReportChecks2][2][NumberOfReports]",Submission!$O:$O,Submission!$H:$N,""))</f>
        <v/>
      </c>
      <c r="H357" s="255" t="str">
        <f>_xlfn.CONCAT(_xlfn.XLOOKUP("[S06_AircraftOperatorsVerificationEmissionReportChecks2][2][FurtherInformation]",Submission!$O:$O,Submission!$H:$N,""))</f>
        <v/>
      </c>
      <c r="I357" s="256"/>
    </row>
    <row r="358" spans="1:9" s="79" customFormat="1" ht="30" customHeight="1" x14ac:dyDescent="0.3">
      <c r="A358" s="131"/>
      <c r="C358" s="249" t="s">
        <v>1059</v>
      </c>
      <c r="D358" s="272"/>
      <c r="E358" s="272"/>
      <c r="F358" s="273"/>
      <c r="G358" s="258" t="str">
        <f>_xlfn.CONCAT(_xlfn.XLOOKUP("[S06_AircraftOperatorsVerificationEmissionReportChecks3][1][ActionsTaken]",Submission!$O:$O,Submission!$H:$N,""))</f>
        <v/>
      </c>
      <c r="H358" s="353"/>
      <c r="I358" s="260"/>
    </row>
    <row r="359" spans="1:9" s="79" customFormat="1" ht="30" customHeight="1" x14ac:dyDescent="0.3">
      <c r="A359" s="131"/>
      <c r="C359" s="249" t="s">
        <v>1060</v>
      </c>
      <c r="D359" s="272"/>
      <c r="E359" s="272"/>
      <c r="F359" s="273"/>
      <c r="G359" s="258" t="str">
        <f>_xlfn.CONCAT(_xlfn.XLOOKUP("[S06_AircraftOperatorsVerificationEmissionReportChecks3][2][ActionsTaken]",Submission!$O:$O,Submission!$H:$N,""))</f>
        <v/>
      </c>
      <c r="H359" s="353"/>
      <c r="I359" s="260"/>
    </row>
    <row r="360" spans="1:9" ht="15.9" customHeight="1" x14ac:dyDescent="0.3">
      <c r="A360" s="12"/>
      <c r="C360" s="397" t="s">
        <v>1103</v>
      </c>
      <c r="D360" s="397"/>
      <c r="E360" s="397"/>
      <c r="F360" s="397"/>
      <c r="G360" s="397"/>
      <c r="H360" s="397"/>
      <c r="I360" s="397"/>
    </row>
    <row r="361" spans="1:9" ht="9.75" customHeight="1" x14ac:dyDescent="0.3">
      <c r="A361" s="13"/>
      <c r="C361" s="11"/>
      <c r="D361" s="11"/>
      <c r="E361" s="11"/>
      <c r="F361" s="11"/>
      <c r="G361" s="11"/>
      <c r="H361" s="11"/>
      <c r="I361" s="11"/>
    </row>
    <row r="362" spans="1:9" ht="15.9" customHeight="1" x14ac:dyDescent="0.3">
      <c r="A362" s="12"/>
      <c r="B362" s="22"/>
      <c r="C362" s="434" t="s">
        <v>1104</v>
      </c>
      <c r="D362" s="434"/>
      <c r="E362" s="434"/>
      <c r="F362" s="434"/>
      <c r="G362" s="434"/>
      <c r="H362" s="434"/>
      <c r="I362" s="434"/>
    </row>
    <row r="363" spans="1:9" ht="15.9" customHeight="1" x14ac:dyDescent="0.3">
      <c r="A363" s="12"/>
      <c r="C363" s="317" t="s">
        <v>1105</v>
      </c>
      <c r="D363" s="370"/>
      <c r="E363" s="370"/>
      <c r="F363" s="370"/>
      <c r="G363" s="370"/>
      <c r="H363" s="370"/>
      <c r="I363" s="318"/>
    </row>
    <row r="364" spans="1:9" s="58" customFormat="1" ht="29.4" customHeight="1" x14ac:dyDescent="0.3">
      <c r="A364" s="57"/>
      <c r="C364" s="249" t="s">
        <v>1106</v>
      </c>
      <c r="D364" s="272"/>
      <c r="E364" s="272"/>
      <c r="F364" s="273"/>
      <c r="G364" s="138" t="str">
        <f>_xlfn.CONCAT(_xlfn.XLOOKUP("[S06_AircraftOperatorsVerificationTKMReportChecks1][1][PercentageShare]",Submission!$O:$O,Submission!$H:$N,""))</f>
        <v/>
      </c>
      <c r="H364" s="426"/>
      <c r="I364" s="427"/>
    </row>
    <row r="365" spans="1:9" s="58" customFormat="1" ht="29.4" customHeight="1" x14ac:dyDescent="0.3">
      <c r="A365" s="57"/>
      <c r="C365" s="249" t="s">
        <v>1107</v>
      </c>
      <c r="D365" s="272"/>
      <c r="E365" s="272"/>
      <c r="F365" s="273"/>
      <c r="G365" s="138" t="str">
        <f>_xlfn.CONCAT(_xlfn.XLOOKUP("[S06_AircraftOperatorsVerificationTKMReportChecks1][2][PercentageShare]",Submission!$O:$O,Submission!$H:$N,""))</f>
        <v/>
      </c>
      <c r="H365" s="426"/>
      <c r="I365" s="427"/>
    </row>
    <row r="366" spans="1:9" s="58" customFormat="1" ht="29.4" customHeight="1" x14ac:dyDescent="0.3">
      <c r="A366" s="57"/>
      <c r="C366" s="249" t="s">
        <v>1108</v>
      </c>
      <c r="D366" s="272"/>
      <c r="E366" s="272"/>
      <c r="F366" s="273"/>
      <c r="G366" s="138" t="str">
        <f>_xlfn.CONCAT(_xlfn.XLOOKUP("[S06_AircraftOperatorsVerificationTKMReportChecks1][3][PercentageShare]",Submission!$O:$O,Submission!$H:$N,""))</f>
        <v/>
      </c>
      <c r="H366" s="255" t="str">
        <f>_xlfn.CONCAT(_xlfn.XLOOKUP("[S06_AircraftOperatorsVerificationTKMReportChecks1][3][FurtherInformation]",Submission!$O:$O,Submission!$H:$N,""))</f>
        <v/>
      </c>
      <c r="I366" s="256"/>
    </row>
    <row r="367" spans="1:9" s="58" customFormat="1" ht="48" customHeight="1" x14ac:dyDescent="0.3">
      <c r="A367" s="57"/>
      <c r="C367" s="249" t="s">
        <v>1109</v>
      </c>
      <c r="D367" s="272"/>
      <c r="E367" s="272"/>
      <c r="F367" s="273"/>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9" t="s">
        <v>1110</v>
      </c>
      <c r="D368" s="272"/>
      <c r="E368" s="272"/>
      <c r="F368" s="273"/>
      <c r="G368" s="139" t="str">
        <f>_xlfn.CONCAT(_xlfn.XLOOKUP("[S06_AircraftOperatorsVerificationTKMReportChecks2][1][NumberOfReports]",Submission!$O:$O,Submission!$H:$N,""))</f>
        <v/>
      </c>
      <c r="H368" s="426"/>
      <c r="I368" s="427"/>
    </row>
    <row r="369" spans="1:11" s="58" customFormat="1" ht="29.4" customHeight="1" x14ac:dyDescent="0.3">
      <c r="A369" s="57"/>
      <c r="C369" s="249" t="s">
        <v>1111</v>
      </c>
      <c r="D369" s="272"/>
      <c r="E369" s="272"/>
      <c r="F369" s="273"/>
      <c r="G369" s="139" t="str">
        <f>_xlfn.CONCAT(_xlfn.XLOOKUP("[S06_AircraftOperatorsVerificationTKMReportChecks2][2][NumberOfReports]",Submission!$O:$O,Submission!$H:$N,""))</f>
        <v/>
      </c>
      <c r="H369" s="255" t="str">
        <f>_xlfn.CONCAT(_xlfn.XLOOKUP("[S06_AircraftOperatorsVerificationTKMReportChecks2][2][FurtherInformation]",Submission!$O:$O,Submission!$H:$N,""))</f>
        <v/>
      </c>
      <c r="I369" s="256"/>
    </row>
    <row r="370" spans="1:11" s="58" customFormat="1" ht="29.4" customHeight="1" x14ac:dyDescent="0.3">
      <c r="A370" s="57"/>
      <c r="C370" s="249" t="s">
        <v>1112</v>
      </c>
      <c r="D370" s="272"/>
      <c r="E370" s="272"/>
      <c r="F370" s="273"/>
      <c r="G370" s="258" t="str">
        <f>_xlfn.CONCAT(_xlfn.XLOOKUP("[S06_AircraftOperatorsVerificationTKMReportChecks3][1][ActionsTaken]",Submission!$O:$O,Submission!$H:$N,""))</f>
        <v/>
      </c>
      <c r="H370" s="353"/>
      <c r="I370" s="260"/>
    </row>
    <row r="371" spans="1:11" ht="15.9" customHeight="1" x14ac:dyDescent="0.3">
      <c r="A371" s="12"/>
      <c r="C371" s="397" t="s">
        <v>1113</v>
      </c>
      <c r="D371" s="398"/>
      <c r="E371" s="398"/>
      <c r="F371" s="398"/>
      <c r="G371" s="398"/>
      <c r="H371" s="398"/>
      <c r="I371" s="398"/>
    </row>
    <row r="372" spans="1:11" ht="15.9" customHeight="1" x14ac:dyDescent="0.3">
      <c r="A372" s="13"/>
      <c r="C372" s="29"/>
      <c r="D372" s="29"/>
      <c r="E372" s="11"/>
      <c r="F372" s="11"/>
    </row>
    <row r="373" spans="1:11" ht="15.9" customHeight="1" x14ac:dyDescent="0.3">
      <c r="A373" s="12" t="s">
        <v>423</v>
      </c>
      <c r="B373" s="338" t="s">
        <v>1114</v>
      </c>
      <c r="C373" s="308"/>
      <c r="D373" s="308"/>
      <c r="E373" s="308"/>
      <c r="F373" s="308"/>
      <c r="G373" s="308"/>
      <c r="H373" s="345"/>
      <c r="I373" s="41" t="str">
        <f>_xlfn.CONCAT(_xlfn.XLOOKUP("[AircraftOperatorsVisitsWaivedLowEmitters][0][AircraftOperatorsVisitsWaivedLowEmitters]",Submission!$O:$O,Submission!$H:$N,""))</f>
        <v>No</v>
      </c>
    </row>
    <row r="374" spans="1:11" ht="18.600000000000001" customHeight="1" x14ac:dyDescent="0.3">
      <c r="B374" s="338" t="s">
        <v>1115</v>
      </c>
      <c r="C374" s="308"/>
      <c r="D374" s="308"/>
      <c r="E374" s="308"/>
      <c r="F374" s="308"/>
      <c r="G374" s="308"/>
      <c r="H374" s="308"/>
      <c r="I374" s="308"/>
    </row>
    <row r="375" spans="1:11" ht="15.9" customHeight="1" x14ac:dyDescent="0.3">
      <c r="B375" s="11"/>
      <c r="C375" s="422" t="s">
        <v>1116</v>
      </c>
      <c r="D375" s="423"/>
      <c r="E375" s="423"/>
      <c r="F375" s="423"/>
      <c r="G375" s="423"/>
      <c r="H375" s="424" t="str">
        <f>_xlfn.CONCAT(_xlfn.XLOOKUP("[AircraftOperatorsVisitsWaivedLowEmittersDetail][0][AircraftOperatorsVisitsWaivedLowEmittersDetail]",Submission!$O:$O,Submission!$H:$N,""))</f>
        <v/>
      </c>
      <c r="I375" s="425"/>
    </row>
    <row r="377" spans="1:11" ht="15.9" customHeight="1" x14ac:dyDescent="0.3">
      <c r="A377" s="12" t="s">
        <v>428</v>
      </c>
      <c r="B377" s="338" t="s">
        <v>1069</v>
      </c>
      <c r="C377" s="308"/>
      <c r="D377" s="308"/>
      <c r="E377" s="308"/>
      <c r="F377" s="308"/>
      <c r="G377" s="308"/>
      <c r="H377" s="345"/>
      <c r="I377" s="41" t="str">
        <f>_xlfn.CONCAT(_xlfn.XLOOKUP("[VirtualVisitsAircraft][0][VirtualVisitsAircraft]",Submission!$O:$O,Submission!$H:$N,""))</f>
        <v>No</v>
      </c>
    </row>
    <row r="378" spans="1:11" ht="15.9" customHeight="1" x14ac:dyDescent="0.3">
      <c r="B378" s="338" t="s">
        <v>1070</v>
      </c>
      <c r="C378" s="308"/>
      <c r="D378" s="308"/>
      <c r="E378" s="308"/>
      <c r="F378" s="308"/>
      <c r="G378" s="308"/>
      <c r="H378" s="308"/>
      <c r="I378" s="308"/>
    </row>
    <row r="379" spans="1:11" ht="15.9" customHeight="1" x14ac:dyDescent="0.3">
      <c r="B379" s="15" t="s">
        <v>8</v>
      </c>
      <c r="C379" s="339" t="s">
        <v>1117</v>
      </c>
      <c r="D379" s="339"/>
      <c r="E379" s="339"/>
      <c r="F379" s="339"/>
      <c r="G379" s="339"/>
      <c r="H379" s="339"/>
      <c r="I379" s="339"/>
    </row>
    <row r="380" spans="1:11" ht="15.9" customHeight="1" x14ac:dyDescent="0.3">
      <c r="B380" s="15" t="s">
        <v>8</v>
      </c>
      <c r="C380" s="339" t="s">
        <v>1072</v>
      </c>
      <c r="D380" s="339"/>
      <c r="E380" s="339"/>
      <c r="F380" s="339"/>
      <c r="G380" s="339"/>
      <c r="H380" s="339"/>
      <c r="I380" s="339"/>
      <c r="K380" s="178"/>
    </row>
    <row r="381" spans="1:11" ht="15.9" customHeight="1" x14ac:dyDescent="0.3">
      <c r="B381" s="15" t="s">
        <v>8</v>
      </c>
      <c r="C381" s="327" t="s">
        <v>1073</v>
      </c>
      <c r="D381" s="327"/>
      <c r="E381" s="327"/>
      <c r="F381" s="327"/>
      <c r="G381" s="327"/>
      <c r="H381" s="327"/>
      <c r="I381" s="327"/>
    </row>
    <row r="382" spans="1:11" ht="31.2" customHeight="1" x14ac:dyDescent="0.3">
      <c r="A382" s="12"/>
      <c r="B382" s="15"/>
      <c r="C382" s="46" t="s">
        <v>1074</v>
      </c>
      <c r="D382" s="317" t="s">
        <v>1118</v>
      </c>
      <c r="E382" s="329"/>
      <c r="F382" s="317" t="s">
        <v>1076</v>
      </c>
      <c r="G382" s="329"/>
      <c r="H382" s="317" t="s">
        <v>1077</v>
      </c>
      <c r="I382" s="329"/>
    </row>
    <row r="383" spans="1:11" ht="25.2" customHeight="1" x14ac:dyDescent="0.3">
      <c r="C383" s="72" t="str">
        <f>_xlfn.CONCAT(_xlfn.XLOOKUP("[S06_VirtualVisitsAircraftDetails][1][TypeForceMajeur]",Submission!$O:$O,Submission!$H:$N,""))</f>
        <v/>
      </c>
      <c r="D383" s="351" t="str">
        <f>_xlfn.CONCAT(_xlfn.XLOOKUP("[S06_VirtualVisitsAircraftDetails][1][NumberOfAirOperatorsVV]",Submission!$O:$O,Submission!$H:$N,""))</f>
        <v/>
      </c>
      <c r="E383" s="361"/>
      <c r="F383" s="258" t="str">
        <f>_xlfn.CONCAT(_xlfn.XLOOKUP("[S06_VirtualVisitsAircraftDetails][1][AuthorityApproval]",Submission!$O:$O,Submission!$H:$N,""))</f>
        <v/>
      </c>
      <c r="G383" s="260"/>
      <c r="H383" s="258" t="str">
        <f>_xlfn.CONCAT(_xlfn.XLOOKUP("[S06_VirtualVisitsAircraftDetails][1][ConfirmationConditionsMet]",Submission!$O:$O,Submission!$H:$N,""))</f>
        <v/>
      </c>
      <c r="I383" s="260"/>
    </row>
    <row r="384" spans="1:11" ht="25.2" customHeight="1" x14ac:dyDescent="0.3">
      <c r="C384" s="72" t="str">
        <f>_xlfn.CONCAT(_xlfn.XLOOKUP("[S06_VirtualVisitsAircraftDetails][2][TypeForceMajeur]",Submission!$O:$O,Submission!$H:$N,""))</f>
        <v/>
      </c>
      <c r="D384" s="351" t="str">
        <f>_xlfn.CONCAT(_xlfn.XLOOKUP("[S06_VirtualVisitsAircraftDetails][2][NumberOfAirOperatorsVV]",Submission!$O:$O,Submission!$H:$N,""))</f>
        <v/>
      </c>
      <c r="E384" s="361"/>
      <c r="F384" s="258" t="str">
        <f>_xlfn.CONCAT(_xlfn.XLOOKUP("[S06_VirtualVisitsAircraftDetails][2][AuthorityApproval]",Submission!$O:$O,Submission!$H:$N,""))</f>
        <v/>
      </c>
      <c r="G384" s="260"/>
      <c r="H384" s="258" t="str">
        <f>_xlfn.CONCAT(_xlfn.XLOOKUP("[S06_VirtualVisitsAircraftDetails][2][ConfirmationConditionsMet]",Submission!$O:$O,Submission!$H:$N,""))</f>
        <v/>
      </c>
      <c r="I384" s="260"/>
    </row>
    <row r="385" spans="1:9" ht="25.2" customHeight="1" x14ac:dyDescent="0.3">
      <c r="C385" s="72" t="str">
        <f>_xlfn.CONCAT(_xlfn.XLOOKUP("[S06_VirtualVisitsAircraftDetails][3][TypeForceMajeur]",Submission!$O:$O,Submission!$H:$N,""))</f>
        <v/>
      </c>
      <c r="D385" s="351" t="str">
        <f>_xlfn.CONCAT(_xlfn.XLOOKUP("[S06_VirtualVisitsAircraftDetails][3][NumberOfAirOperatorsVV]",Submission!$O:$O,Submission!$H:$N,""))</f>
        <v/>
      </c>
      <c r="E385" s="361"/>
      <c r="F385" s="258" t="str">
        <f>_xlfn.CONCAT(_xlfn.XLOOKUP("[S06_VirtualVisitsAircraftDetails][3][AuthorityApproval]",Submission!$O:$O,Submission!$H:$N,""))</f>
        <v/>
      </c>
      <c r="G385" s="260"/>
      <c r="H385" s="258" t="str">
        <f>_xlfn.CONCAT(_xlfn.XLOOKUP("[S06_VirtualVisitsAircraftDetails][3][ConfirmationConditionsMet]",Submission!$O:$O,Submission!$H:$N,""))</f>
        <v/>
      </c>
      <c r="I385" s="260"/>
    </row>
    <row r="386" spans="1:9" ht="25.2" customHeight="1" x14ac:dyDescent="0.3">
      <c r="C386" s="72" t="str">
        <f>_xlfn.CONCAT(_xlfn.XLOOKUP("[S06_VirtualVisitsAircraftDetails][4][TypeForceMajeur]",Submission!$O:$O,Submission!$H:$N,""))</f>
        <v/>
      </c>
      <c r="D386" s="351" t="str">
        <f>_xlfn.CONCAT(_xlfn.XLOOKUP("[S06_VirtualVisitsAircraftDetails][4][NumberOfAirOperatorsVV]",Submission!$O:$O,Submission!$H:$N,""))</f>
        <v/>
      </c>
      <c r="E386" s="361"/>
      <c r="F386" s="258" t="str">
        <f>_xlfn.CONCAT(_xlfn.XLOOKUP("[S06_VirtualVisitsAircraftDetails][4][AuthorityApproval]",Submission!$O:$O,Submission!$H:$N,""))</f>
        <v/>
      </c>
      <c r="G386" s="260"/>
      <c r="H386" s="258" t="str">
        <f>_xlfn.CONCAT(_xlfn.XLOOKUP("[S06_VirtualVisitsAircraftDetails][4][ConfirmationConditionsMet]",Submission!$O:$O,Submission!$H:$N,""))</f>
        <v/>
      </c>
      <c r="I386" s="260"/>
    </row>
    <row r="387" spans="1:9" ht="25.2" hidden="1" customHeight="1" outlineLevel="1" x14ac:dyDescent="0.3">
      <c r="C387" s="72" t="str">
        <f>_xlfn.CONCAT(_xlfn.XLOOKUP("[S06_VirtualVisitsAircraftDetails][5][TypeForceMajeur]",Submission!$O:$O,Submission!$H:$N,""))</f>
        <v/>
      </c>
      <c r="D387" s="351" t="str">
        <f>_xlfn.CONCAT(_xlfn.XLOOKUP("[S06_VirtualVisitsAircraftDetails][5][NumberOfAirOperatorsVV]",Submission!$O:$O,Submission!$H:$N,""))</f>
        <v/>
      </c>
      <c r="E387" s="361"/>
      <c r="F387" s="258" t="str">
        <f>_xlfn.CONCAT(_xlfn.XLOOKUP("[S06_VirtualVisitsAircraftDetails][5][AuthorityApproval]",Submission!$O:$O,Submission!$H:$N,""))</f>
        <v/>
      </c>
      <c r="G387" s="260"/>
      <c r="H387" s="258" t="str">
        <f>_xlfn.CONCAT(_xlfn.XLOOKUP("[S06_VirtualVisitsAircraftDetails][5][ConfirmationConditionsMet]",Submission!$O:$O,Submission!$H:$N,""))</f>
        <v/>
      </c>
      <c r="I387" s="260"/>
    </row>
    <row r="388" spans="1:9" ht="25.2" hidden="1" customHeight="1" outlineLevel="1" x14ac:dyDescent="0.3">
      <c r="C388" s="72" t="str">
        <f>_xlfn.CONCAT(_xlfn.XLOOKUP("[S06_VirtualVisitsAircraftDetails][6][TypeForceMajeur]",Submission!$O:$O,Submission!$H:$N,""))</f>
        <v/>
      </c>
      <c r="D388" s="351" t="str">
        <f>_xlfn.CONCAT(_xlfn.XLOOKUP("[S06_VirtualVisitsAircraftDetails][6][NumberOfAirOperatorsVV]",Submission!$O:$O,Submission!$H:$N,""))</f>
        <v/>
      </c>
      <c r="E388" s="361"/>
      <c r="F388" s="258" t="str">
        <f>_xlfn.CONCAT(_xlfn.XLOOKUP("[S06_VirtualVisitsAircraftDetails][6][AuthorityApproval]",Submission!$O:$O,Submission!$H:$N,""))</f>
        <v/>
      </c>
      <c r="G388" s="260"/>
      <c r="H388" s="258" t="str">
        <f>_xlfn.CONCAT(_xlfn.XLOOKUP("[S06_VirtualVisitsAircraftDetails][6][ConfirmationConditionsMet]",Submission!$O:$O,Submission!$H:$N,""))</f>
        <v/>
      </c>
      <c r="I388" s="260"/>
    </row>
    <row r="389" spans="1:9" ht="25.2" hidden="1" customHeight="1" outlineLevel="1" x14ac:dyDescent="0.3">
      <c r="C389" s="72" t="str">
        <f>_xlfn.CONCAT(_xlfn.XLOOKUP("[S06_VirtualVisitsAircraftDetails][7][TypeForceMajeur]",Submission!$O:$O,Submission!$H:$N,""))</f>
        <v/>
      </c>
      <c r="D389" s="351" t="str">
        <f>_xlfn.CONCAT(_xlfn.XLOOKUP("[S06_VirtualVisitsAircraftDetails][7][NumberOfAirOperatorsVV]",Submission!$O:$O,Submission!$H:$N,""))</f>
        <v/>
      </c>
      <c r="E389" s="361"/>
      <c r="F389" s="258" t="str">
        <f>_xlfn.CONCAT(_xlfn.XLOOKUP("[S06_VirtualVisitsAircraftDetails][7][AuthorityApproval]",Submission!$O:$O,Submission!$H:$N,""))</f>
        <v/>
      </c>
      <c r="G389" s="260"/>
      <c r="H389" s="258" t="str">
        <f>_xlfn.CONCAT(_xlfn.XLOOKUP("[S06_VirtualVisitsAircraftDetails][7][ConfirmationConditionsMet]",Submission!$O:$O,Submission!$H:$N,""))</f>
        <v/>
      </c>
      <c r="I389" s="260"/>
    </row>
    <row r="390" spans="1:9" ht="25.2" hidden="1" customHeight="1" outlineLevel="1" x14ac:dyDescent="0.3">
      <c r="C390" s="72" t="str">
        <f>_xlfn.CONCAT(_xlfn.XLOOKUP("[S06_VirtualVisitsAircraftDetails][8][TypeForceMajeur]",Submission!$O:$O,Submission!$H:$N,""))</f>
        <v/>
      </c>
      <c r="D390" s="351" t="str">
        <f>_xlfn.CONCAT(_xlfn.XLOOKUP("[S06_VirtualVisitsAircraftDetails][8][NumberOfAirOperatorsVV]",Submission!$O:$O,Submission!$H:$N,""))</f>
        <v/>
      </c>
      <c r="E390" s="361"/>
      <c r="F390" s="258" t="str">
        <f>_xlfn.CONCAT(_xlfn.XLOOKUP("[S06_VirtualVisitsAircraftDetails][8][AuthorityApproval]",Submission!$O:$O,Submission!$H:$N,""))</f>
        <v/>
      </c>
      <c r="G390" s="260"/>
      <c r="H390" s="258" t="str">
        <f>_xlfn.CONCAT(_xlfn.XLOOKUP("[S06_VirtualVisitsAircraftDetails][8][ConfirmationConditionsMet]",Submission!$O:$O,Submission!$H:$N,""))</f>
        <v/>
      </c>
      <c r="I390" s="260"/>
    </row>
    <row r="391" spans="1:9" ht="25.2" hidden="1" customHeight="1" outlineLevel="1" x14ac:dyDescent="0.3">
      <c r="C391" s="72" t="str">
        <f>_xlfn.CONCAT(_xlfn.XLOOKUP("[S06_VirtualVisitsAircraftDetails][9][TypeForceMajeur]",Submission!$O:$O,Submission!$H:$N,""))</f>
        <v/>
      </c>
      <c r="D391" s="351" t="str">
        <f>_xlfn.CONCAT(_xlfn.XLOOKUP("[S06_VirtualVisitsAircraftDetails][9][NumberOfAirOperatorsVV]",Submission!$O:$O,Submission!$H:$N,""))</f>
        <v/>
      </c>
      <c r="E391" s="361"/>
      <c r="F391" s="258" t="str">
        <f>_xlfn.CONCAT(_xlfn.XLOOKUP("[S06_VirtualVisitsAircraftDetails][9][AuthorityApproval]",Submission!$O:$O,Submission!$H:$N,""))</f>
        <v/>
      </c>
      <c r="G391" s="260"/>
      <c r="H391" s="258" t="str">
        <f>_xlfn.CONCAT(_xlfn.XLOOKUP("[S06_VirtualVisitsAircraftDetails][9][ConfirmationConditionsMet]",Submission!$O:$O,Submission!$H:$N,""))</f>
        <v/>
      </c>
      <c r="I391" s="260"/>
    </row>
    <row r="392" spans="1:9" ht="25.2" hidden="1" customHeight="1" outlineLevel="1" x14ac:dyDescent="0.3">
      <c r="C392" s="72" t="str">
        <f>_xlfn.CONCAT(_xlfn.XLOOKUP("[S06_VirtualVisitsAircraftDetails][10][TypeForceMajeur]",Submission!$O:$O,Submission!$H:$N,""))</f>
        <v/>
      </c>
      <c r="D392" s="351" t="str">
        <f>_xlfn.CONCAT(_xlfn.XLOOKUP("[S06_VirtualVisitsAircraftDetails][10][NumberOfAirOperatorsVV]",Submission!$O:$O,Submission!$H:$N,""))</f>
        <v/>
      </c>
      <c r="E392" s="361"/>
      <c r="F392" s="258" t="str">
        <f>_xlfn.CONCAT(_xlfn.XLOOKUP("[S06_VirtualVisitsAircraftDetails][10][AuthorityApproval]",Submission!$O:$O,Submission!$H:$N,""))</f>
        <v/>
      </c>
      <c r="G392" s="260"/>
      <c r="H392" s="258" t="str">
        <f>_xlfn.CONCAT(_xlfn.XLOOKUP("[S06_VirtualVisitsAircraftDetails][10][ConfirmationConditionsMet]",Submission!$O:$O,Submission!$H:$N,""))</f>
        <v/>
      </c>
      <c r="I392" s="260"/>
    </row>
    <row r="393" spans="1:9" ht="25.2" hidden="1" customHeight="1" outlineLevel="1" x14ac:dyDescent="0.3">
      <c r="C393" s="72" t="str">
        <f>_xlfn.CONCAT(_xlfn.XLOOKUP("[S06_VirtualVisitsAircraftDetails][11][TypeForceMajeur]",Submission!$O:$O,Submission!$H:$N,""))</f>
        <v/>
      </c>
      <c r="D393" s="351" t="str">
        <f>_xlfn.CONCAT(_xlfn.XLOOKUP("[S06_VirtualVisitsAircraftDetails][11][NumberOfAirOperatorsVV]",Submission!$O:$O,Submission!$H:$N,""))</f>
        <v/>
      </c>
      <c r="E393" s="361"/>
      <c r="F393" s="258" t="str">
        <f>_xlfn.CONCAT(_xlfn.XLOOKUP("[S06_VirtualVisitsAircraftDetails][11][AuthorityApproval]",Submission!$O:$O,Submission!$H:$N,""))</f>
        <v/>
      </c>
      <c r="G393" s="260"/>
      <c r="H393" s="258" t="str">
        <f>_xlfn.CONCAT(_xlfn.XLOOKUP("[S06_VirtualVisitsAircraftDetails][11][ConfirmationConditionsMet]",Submission!$O:$O,Submission!$H:$N,""))</f>
        <v/>
      </c>
      <c r="I393" s="260"/>
    </row>
    <row r="394" spans="1:9" ht="25.2" hidden="1" customHeight="1" outlineLevel="1" x14ac:dyDescent="0.3">
      <c r="C394" s="72" t="str">
        <f>_xlfn.CONCAT(_xlfn.XLOOKUP("[S06_VirtualVisitsAircraftDetails][12][TypeForceMajeur]",Submission!$O:$O,Submission!$H:$N,""))</f>
        <v/>
      </c>
      <c r="D394" s="351" t="str">
        <f>_xlfn.CONCAT(_xlfn.XLOOKUP("[S06_VirtualVisitsAircraftDetails][12][NumberOfAirOperatorsVV]",Submission!$O:$O,Submission!$H:$N,""))</f>
        <v/>
      </c>
      <c r="E394" s="361"/>
      <c r="F394" s="258" t="str">
        <f>_xlfn.CONCAT(_xlfn.XLOOKUP("[S06_VirtualVisitsAircraftDetails][12][AuthorityApproval]",Submission!$O:$O,Submission!$H:$N,""))</f>
        <v/>
      </c>
      <c r="G394" s="260"/>
      <c r="H394" s="258" t="str">
        <f>_xlfn.CONCAT(_xlfn.XLOOKUP("[S06_VirtualVisitsAircraftDetails][12][ConfirmationConditionsMet]",Submission!$O:$O,Submission!$H:$N,""))</f>
        <v/>
      </c>
      <c r="I394" s="260"/>
    </row>
    <row r="395" spans="1:9" ht="15.9" customHeight="1" collapsed="1" x14ac:dyDescent="0.3">
      <c r="A395" s="13"/>
      <c r="B395" s="26" t="s">
        <v>1000</v>
      </c>
      <c r="C395" s="19"/>
      <c r="D395" s="11"/>
      <c r="E395" s="11"/>
      <c r="F395" s="11"/>
      <c r="G395" s="11"/>
      <c r="H395" s="11"/>
    </row>
    <row r="396" spans="1:9" ht="15.9" customHeight="1" x14ac:dyDescent="0.3">
      <c r="A396" s="13"/>
      <c r="B396" s="418" t="s">
        <v>1078</v>
      </c>
      <c r="C396" s="418"/>
      <c r="D396" s="418"/>
      <c r="E396" s="418"/>
      <c r="F396" s="418"/>
      <c r="G396" s="418"/>
      <c r="H396" s="418"/>
      <c r="I396" s="418"/>
    </row>
  </sheetData>
  <dataConsolidate/>
  <mergeCells count="536">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 ref="C209:D209"/>
    <mergeCell ref="E209:F209"/>
    <mergeCell ref="C210:D210"/>
    <mergeCell ref="E210:F210"/>
    <mergeCell ref="C211:D211"/>
    <mergeCell ref="E211:F211"/>
    <mergeCell ref="C212:D212"/>
    <mergeCell ref="E212:F212"/>
    <mergeCell ref="C213:D213"/>
    <mergeCell ref="E213:F213"/>
    <mergeCell ref="C204:D204"/>
    <mergeCell ref="E204:F204"/>
    <mergeCell ref="C205:D205"/>
    <mergeCell ref="E205:F205"/>
    <mergeCell ref="C206:D206"/>
    <mergeCell ref="E206:F206"/>
    <mergeCell ref="C207:D207"/>
    <mergeCell ref="E207:F207"/>
    <mergeCell ref="C208:D208"/>
    <mergeCell ref="E208:F208"/>
    <mergeCell ref="C199:D199"/>
    <mergeCell ref="E199:F199"/>
    <mergeCell ref="C200:D200"/>
    <mergeCell ref="E200:F200"/>
    <mergeCell ref="C201:D201"/>
    <mergeCell ref="E201:F201"/>
    <mergeCell ref="C202:D202"/>
    <mergeCell ref="E202:F202"/>
    <mergeCell ref="C203:D203"/>
    <mergeCell ref="E203:F203"/>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F276:G276"/>
    <mergeCell ref="F277:G277"/>
    <mergeCell ref="F278:G278"/>
    <mergeCell ref="F279:G279"/>
    <mergeCell ref="F280:G280"/>
    <mergeCell ref="F281:G281"/>
    <mergeCell ref="F282:G282"/>
    <mergeCell ref="F283:G283"/>
    <mergeCell ref="F284:G284"/>
    <mergeCell ref="D275:E275"/>
    <mergeCell ref="F275:G275"/>
    <mergeCell ref="H275:I275"/>
    <mergeCell ref="C268:G268"/>
    <mergeCell ref="H268:I268"/>
    <mergeCell ref="B270:H270"/>
    <mergeCell ref="B271:I271"/>
    <mergeCell ref="C272:I272"/>
    <mergeCell ref="C273:I273"/>
    <mergeCell ref="C260:D260"/>
    <mergeCell ref="C261:D261"/>
    <mergeCell ref="C262:D262"/>
    <mergeCell ref="E262:G262"/>
    <mergeCell ref="H262:I262"/>
    <mergeCell ref="C264:I264"/>
    <mergeCell ref="B266:H266"/>
    <mergeCell ref="B267:I267"/>
    <mergeCell ref="C274:I274"/>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63:F64"/>
    <mergeCell ref="C65:F65"/>
    <mergeCell ref="G65:I65"/>
    <mergeCell ref="B53:I53"/>
    <mergeCell ref="C54:I54"/>
    <mergeCell ref="C55:F56"/>
    <mergeCell ref="G55:H55"/>
    <mergeCell ref="G56:H56"/>
    <mergeCell ref="C57:F58"/>
    <mergeCell ref="G57:H57"/>
    <mergeCell ref="G58:H5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234:F234"/>
    <mergeCell ref="H234:I234"/>
    <mergeCell ref="C235:F235"/>
    <mergeCell ref="H235:I235"/>
    <mergeCell ref="C236:F236"/>
    <mergeCell ref="G236:I236"/>
    <mergeCell ref="C231:F231"/>
    <mergeCell ref="H231:I231"/>
    <mergeCell ref="C232:F232"/>
    <mergeCell ref="H232:I232"/>
    <mergeCell ref="C233:F233"/>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H326:I326"/>
    <mergeCell ref="B328:H328"/>
    <mergeCell ref="B329:I329"/>
    <mergeCell ref="C322:G322"/>
    <mergeCell ref="H322:I322"/>
    <mergeCell ref="C323:G323"/>
    <mergeCell ref="H323:I323"/>
    <mergeCell ref="C324:G324"/>
    <mergeCell ref="H324:I324"/>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C178:D178"/>
    <mergeCell ref="E178:F178"/>
    <mergeCell ref="C179:D179"/>
    <mergeCell ref="E179:F179"/>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C133:D133"/>
    <mergeCell ref="E133:F133"/>
    <mergeCell ref="C134:D134"/>
    <mergeCell ref="E134:F134"/>
    <mergeCell ref="C135:D135"/>
    <mergeCell ref="E135:F135"/>
    <mergeCell ref="C136:D136"/>
    <mergeCell ref="E136:F136"/>
    <mergeCell ref="C137:D137"/>
    <mergeCell ref="E137:F137"/>
    <mergeCell ref="C141:D141"/>
    <mergeCell ref="E141:F141"/>
    <mergeCell ref="C142:D142"/>
    <mergeCell ref="E142:F142"/>
    <mergeCell ref="C143:D143"/>
    <mergeCell ref="E143:F143"/>
    <mergeCell ref="C144:D144"/>
    <mergeCell ref="E144:F144"/>
    <mergeCell ref="C145:D145"/>
    <mergeCell ref="E145:F145"/>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09" t="s">
        <v>436</v>
      </c>
      <c r="C3" s="309"/>
      <c r="D3" s="309"/>
      <c r="E3" s="309"/>
      <c r="F3" s="309"/>
      <c r="G3" s="309"/>
      <c r="H3" s="309"/>
      <c r="I3" s="309"/>
    </row>
    <row r="4" spans="1:9" ht="39" customHeight="1" x14ac:dyDescent="0.3">
      <c r="A4" s="12" t="s">
        <v>437</v>
      </c>
      <c r="B4" s="457" t="s">
        <v>1119</v>
      </c>
      <c r="C4" s="457"/>
      <c r="D4" s="457"/>
      <c r="E4" s="457"/>
      <c r="F4" s="457"/>
      <c r="G4" s="457"/>
      <c r="H4" s="457"/>
      <c r="I4" s="457"/>
    </row>
    <row r="5" spans="1:9" ht="27" customHeight="1" x14ac:dyDescent="0.3"/>
    <row r="6" spans="1:9" ht="32.1" customHeight="1" x14ac:dyDescent="0.3">
      <c r="A6" s="12" t="s">
        <v>441</v>
      </c>
      <c r="B6" s="338" t="s">
        <v>1120</v>
      </c>
      <c r="C6" s="308"/>
      <c r="D6" s="308"/>
      <c r="E6" s="308"/>
      <c r="F6" s="308"/>
      <c r="G6" s="308"/>
      <c r="H6" s="308"/>
      <c r="I6" s="308"/>
    </row>
    <row r="7" spans="1:9" ht="26.1" customHeight="1" x14ac:dyDescent="0.3">
      <c r="A7" s="13"/>
      <c r="B7" s="10"/>
      <c r="C7" s="46" t="s">
        <v>1121</v>
      </c>
      <c r="D7" s="314" t="s">
        <v>1122</v>
      </c>
      <c r="E7" s="316"/>
      <c r="F7" s="317" t="s">
        <v>1123</v>
      </c>
      <c r="G7" s="318"/>
      <c r="H7" s="104" t="s">
        <v>1124</v>
      </c>
      <c r="I7" s="46" t="s">
        <v>1125</v>
      </c>
    </row>
    <row r="8" spans="1:9" ht="15.9" customHeight="1" x14ac:dyDescent="0.3">
      <c r="A8" s="13"/>
      <c r="B8" s="10"/>
      <c r="C8" s="72" t="str">
        <f>_xlfn.CONCAT(_xlfn.XLOOKUP("[S07_NoFurtherAllowancesSurrendered][1][InstallationIDCode]",Submission!$O:$O,Submission!$H:$N,""))</f>
        <v/>
      </c>
      <c r="D8" s="258" t="str">
        <f>_xlfn.CONCAT(_xlfn.XLOOKUP("[S07_NoFurtherAllowancesSurrendered][1][OperatorName]",Submission!$O:$O,Submission!$H:$N,""))</f>
        <v/>
      </c>
      <c r="E8" s="260"/>
      <c r="F8" s="258" t="str">
        <f>_xlfn.CONCAT(_xlfn.XLOOKUP("[S07_NoFurtherAllowancesSurrendered][1][InstallationName]",Submission!$O:$O,Submission!$H:$N,""))</f>
        <v/>
      </c>
      <c r="G8" s="260"/>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58" t="str">
        <f>_xlfn.CONCAT(_xlfn.XLOOKUP("[S07_NoFurtherAllowancesSurrendered][2][OperatorName]",Submission!$O:$O,Submission!$H:$N,""))</f>
        <v/>
      </c>
      <c r="E9" s="260"/>
      <c r="F9" s="258" t="str">
        <f>_xlfn.CONCAT(_xlfn.XLOOKUP("[S07_NoFurtherAllowancesSurrendered][2][InstallationName]",Submission!$O:$O,Submission!$H:$N,""))</f>
        <v/>
      </c>
      <c r="G9" s="260"/>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58" t="str">
        <f>_xlfn.CONCAT(_xlfn.XLOOKUP("[S07_NoFurtherAllowancesSurrendered][3][OperatorName]",Submission!$O:$O,Submission!$H:$N,""))</f>
        <v/>
      </c>
      <c r="E10" s="260"/>
      <c r="F10" s="258" t="str">
        <f>_xlfn.CONCAT(_xlfn.XLOOKUP("[S07_NoFurtherAllowancesSurrendered][3][InstallationName]",Submission!$O:$O,Submission!$H:$N,""))</f>
        <v/>
      </c>
      <c r="G10" s="260"/>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58" t="str">
        <f>_xlfn.CONCAT(_xlfn.XLOOKUP("[S07_NoFurtherAllowancesSurrendered][4][OperatorName]",Submission!$O:$O,Submission!$H:$N,""))</f>
        <v/>
      </c>
      <c r="E11" s="260"/>
      <c r="F11" s="258" t="str">
        <f>_xlfn.CONCAT(_xlfn.XLOOKUP("[S07_NoFurtherAllowancesSurrendered][4][InstallationName]",Submission!$O:$O,Submission!$H:$N,""))</f>
        <v/>
      </c>
      <c r="G11" s="260"/>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58" t="str">
        <f>_xlfn.CONCAT(_xlfn.XLOOKUP("[S07_NoFurtherAllowancesSurrendered][5][OperatorName]",Submission!$O:$O,Submission!$H:$N,""))</f>
        <v/>
      </c>
      <c r="E12" s="260"/>
      <c r="F12" s="258" t="str">
        <f>_xlfn.CONCAT(_xlfn.XLOOKUP("[S07_NoFurtherAllowancesSurrendered][5][InstallationName]",Submission!$O:$O,Submission!$H:$N,""))</f>
        <v/>
      </c>
      <c r="G12" s="260"/>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58" t="str">
        <f>_xlfn.CONCAT(_xlfn.XLOOKUP("[S07_NoFurtherAllowancesSurrendered][6][OperatorName]",Submission!$O:$O,Submission!$H:$N,""))</f>
        <v/>
      </c>
      <c r="E13" s="260"/>
      <c r="F13" s="258" t="str">
        <f>_xlfn.CONCAT(_xlfn.XLOOKUP("[S07_NoFurtherAllowancesSurrendered][6][InstallationName]",Submission!$O:$O,Submission!$H:$N,""))</f>
        <v/>
      </c>
      <c r="G13" s="260"/>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58" t="str">
        <f>_xlfn.CONCAT(_xlfn.XLOOKUP("[S07_NoFurtherAllowancesSurrendered][7][OperatorName]",Submission!$O:$O,Submission!$H:$N,""))</f>
        <v/>
      </c>
      <c r="E14" s="260"/>
      <c r="F14" s="258" t="str">
        <f>_xlfn.CONCAT(_xlfn.XLOOKUP("[S07_NoFurtherAllowancesSurrendered][7][InstallationName]",Submission!$O:$O,Submission!$H:$N,""))</f>
        <v/>
      </c>
      <c r="G14" s="260"/>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58" t="str">
        <f>_xlfn.CONCAT(_xlfn.XLOOKUP("[S07_NoFurtherAllowancesSurrendered][8][OperatorName]",Submission!$O:$O,Submission!$H:$N,""))</f>
        <v/>
      </c>
      <c r="E15" s="260"/>
      <c r="F15" s="258" t="str">
        <f>_xlfn.CONCAT(_xlfn.XLOOKUP("[S07_NoFurtherAllowancesSurrendered][8][InstallationName]",Submission!$O:$O,Submission!$H:$N,""))</f>
        <v/>
      </c>
      <c r="G15" s="260"/>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58" t="str">
        <f>_xlfn.CONCAT(_xlfn.XLOOKUP("[S07_NoFurtherAllowancesSurrendered][9][OperatorName]",Submission!$O:$O,Submission!$H:$N,""))</f>
        <v/>
      </c>
      <c r="E16" s="260"/>
      <c r="F16" s="258" t="str">
        <f>_xlfn.CONCAT(_xlfn.XLOOKUP("[S07_NoFurtherAllowancesSurrendered][9][InstallationName]",Submission!$O:$O,Submission!$H:$N,""))</f>
        <v/>
      </c>
      <c r="G16" s="260"/>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58" t="str">
        <f>_xlfn.CONCAT(_xlfn.XLOOKUP("[S07_NoFurtherAllowancesSurrendered][10][OperatorName]",Submission!$O:$O,Submission!$H:$N,""))</f>
        <v/>
      </c>
      <c r="E17" s="260"/>
      <c r="F17" s="258" t="str">
        <f>_xlfn.CONCAT(_xlfn.XLOOKUP("[S07_NoFurtherAllowancesSurrendered][10][InstallationName]",Submission!$O:$O,Submission!$H:$N,""))</f>
        <v/>
      </c>
      <c r="G17" s="260"/>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79" t="s">
        <v>1033</v>
      </c>
      <c r="D19" s="280"/>
      <c r="E19" s="280"/>
      <c r="F19" s="280"/>
      <c r="G19" s="280"/>
      <c r="H19" s="280"/>
      <c r="I19" s="280"/>
    </row>
    <row r="20" spans="1:9" s="11" customFormat="1" ht="14.4" x14ac:dyDescent="0.3"/>
    <row r="21" spans="1:9" ht="32.1" customHeight="1" x14ac:dyDescent="0.3">
      <c r="A21" s="12" t="s">
        <v>445</v>
      </c>
      <c r="B21" s="338" t="s">
        <v>1126</v>
      </c>
      <c r="C21" s="308"/>
      <c r="D21" s="308"/>
      <c r="E21" s="308"/>
      <c r="F21" s="308"/>
      <c r="G21" s="308"/>
      <c r="H21" s="308"/>
      <c r="I21" s="308"/>
    </row>
    <row r="22" spans="1:9" ht="15.9" customHeight="1" x14ac:dyDescent="0.3">
      <c r="B22" s="11"/>
      <c r="C22" s="317" t="s">
        <v>1127</v>
      </c>
      <c r="D22" s="370"/>
      <c r="E22" s="370"/>
      <c r="F22" s="370"/>
      <c r="G22" s="318"/>
      <c r="H22" s="335" t="str">
        <f>_xlfn.CONCAT(_xlfn.XLOOKUP("[AircraftOperatorsMandateArt15UseNumber][0][AircraftOperatorsMandateArt15UseNumber]",Submission!$O:$O,Submission!$H:$N,""))</f>
        <v>0</v>
      </c>
      <c r="I22" s="456"/>
    </row>
    <row r="23" spans="1:9" ht="26.4" customHeight="1" x14ac:dyDescent="0.3">
      <c r="B23" s="11"/>
      <c r="C23" s="397" t="s">
        <v>1128</v>
      </c>
      <c r="D23" s="397"/>
      <c r="E23" s="397"/>
      <c r="F23" s="397"/>
      <c r="G23" s="397"/>
      <c r="H23" s="397"/>
      <c r="I23" s="397"/>
    </row>
    <row r="24" spans="1:9" s="27" customFormat="1" ht="15.9" customHeight="1" x14ac:dyDescent="0.3">
      <c r="B24" s="21"/>
      <c r="D24" s="21"/>
      <c r="E24" s="21"/>
      <c r="F24" s="21"/>
      <c r="G24" s="21"/>
      <c r="H24" s="21"/>
    </row>
    <row r="25" spans="1:9" ht="32.1" customHeight="1" x14ac:dyDescent="0.3">
      <c r="A25" s="12"/>
      <c r="B25" s="275" t="s">
        <v>1129</v>
      </c>
      <c r="C25" s="276"/>
      <c r="D25" s="276"/>
      <c r="E25" s="276"/>
      <c r="F25" s="276"/>
      <c r="G25" s="276"/>
      <c r="H25" s="276"/>
      <c r="I25" s="276"/>
    </row>
    <row r="26" spans="1:9" x14ac:dyDescent="0.3">
      <c r="A26" s="12"/>
      <c r="B26" s="10"/>
      <c r="C26" s="317" t="s">
        <v>1082</v>
      </c>
      <c r="D26" s="370"/>
      <c r="E26" s="370"/>
      <c r="F26" s="318"/>
      <c r="G26" s="357" t="s">
        <v>1130</v>
      </c>
      <c r="H26" s="357"/>
      <c r="I26" s="357"/>
    </row>
    <row r="27" spans="1:9" s="27" customFormat="1" ht="15.9" customHeight="1" x14ac:dyDescent="0.3">
      <c r="B27" s="10"/>
      <c r="C27" s="254" t="str">
        <f>_xlfn.CONCAT(_xlfn.XLOOKUP("[S07_AircraftOperatorsUseArt15MandateDetail][1][AircraftOperatorID]",Submission!$O:$O,Submission!$H:$N,""))</f>
        <v/>
      </c>
      <c r="D27" s="254"/>
      <c r="E27" s="254"/>
      <c r="F27" s="254"/>
      <c r="G27" s="254" t="str">
        <f>_xlfn.CONCAT(_xlfn.XLOOKUP("[S07_AircraftOperatorsUseArt15MandateDetail][1][AircraftOperatorName]",Submission!$O:$O,Submission!$H:$N,""))</f>
        <v/>
      </c>
      <c r="H27" s="254"/>
      <c r="I27" s="254"/>
    </row>
    <row r="28" spans="1:9" s="27" customFormat="1" ht="15.9" customHeight="1" x14ac:dyDescent="0.3">
      <c r="B28" s="10"/>
      <c r="C28" s="254" t="str">
        <f>_xlfn.CONCAT(_xlfn.XLOOKUP("[S07_AircraftOperatorsUseArt15MandateDetail][2][AircraftOperatorID]",Submission!$O:$O,Submission!$H:$N,""))</f>
        <v/>
      </c>
      <c r="D28" s="254"/>
      <c r="E28" s="254"/>
      <c r="F28" s="254"/>
      <c r="G28" s="254" t="str">
        <f>_xlfn.CONCAT(_xlfn.XLOOKUP("[S07_AircraftOperatorsUseArt15MandateDetail][2][AircraftOperatorName]",Submission!$O:$O,Submission!$H:$N,""))</f>
        <v/>
      </c>
      <c r="H28" s="254"/>
      <c r="I28" s="254"/>
    </row>
    <row r="29" spans="1:9" s="27" customFormat="1" ht="15.9" hidden="1" customHeight="1" outlineLevel="1" x14ac:dyDescent="0.3">
      <c r="B29" s="10"/>
      <c r="C29" s="254" t="str">
        <f>_xlfn.CONCAT(_xlfn.XLOOKUP("[S07_AircraftOperatorsUseArt15MandateDetail][3][AircraftOperatorID]",Submission!$O:$O,Submission!$H:$N,""))</f>
        <v/>
      </c>
      <c r="D29" s="254"/>
      <c r="E29" s="254"/>
      <c r="F29" s="254"/>
      <c r="G29" s="254" t="str">
        <f>_xlfn.CONCAT(_xlfn.XLOOKUP("[S07_AircraftOperatorsUseArt15MandateDetail][3][AircraftOperatorName]",Submission!$O:$O,Submission!$H:$N,""))</f>
        <v/>
      </c>
      <c r="H29" s="254"/>
      <c r="I29" s="254"/>
    </row>
    <row r="30" spans="1:9" s="27" customFormat="1" ht="15.9" hidden="1" customHeight="1" outlineLevel="1" x14ac:dyDescent="0.3">
      <c r="B30" s="10"/>
      <c r="C30" s="254" t="str">
        <f>_xlfn.CONCAT(_xlfn.XLOOKUP("[S07_AircraftOperatorsUseArt15MandateDetail][4][AircraftOperatorID]",Submission!$O:$O,Submission!$H:$N,""))</f>
        <v/>
      </c>
      <c r="D30" s="254"/>
      <c r="E30" s="254"/>
      <c r="F30" s="254"/>
      <c r="G30" s="254" t="str">
        <f>_xlfn.CONCAT(_xlfn.XLOOKUP("[S07_AircraftOperatorsUseArt15MandateDetail][4][AircraftOperatorName]",Submission!$O:$O,Submission!$H:$N,""))</f>
        <v/>
      </c>
      <c r="H30" s="254"/>
      <c r="I30" s="254"/>
    </row>
    <row r="31" spans="1:9" s="27" customFormat="1" ht="15.9" hidden="1" customHeight="1" outlineLevel="1" x14ac:dyDescent="0.3">
      <c r="B31" s="10"/>
      <c r="C31" s="254" t="str">
        <f>_xlfn.CONCAT(_xlfn.XLOOKUP("[S07_AircraftOperatorsUseArt15MandateDetail][5][AircraftOperatorID]",Submission!$O:$O,Submission!$H:$N,""))</f>
        <v/>
      </c>
      <c r="D31" s="254"/>
      <c r="E31" s="254"/>
      <c r="F31" s="254"/>
      <c r="G31" s="254" t="str">
        <f>_xlfn.CONCAT(_xlfn.XLOOKUP("[S07_AircraftOperatorsUseArt15MandateDetail][5][AircraftOperatorName]",Submission!$O:$O,Submission!$H:$N,""))</f>
        <v/>
      </c>
      <c r="H31" s="254"/>
      <c r="I31" s="254"/>
    </row>
    <row r="32" spans="1:9" s="27" customFormat="1" ht="15.9" hidden="1" customHeight="1" outlineLevel="1" x14ac:dyDescent="0.3">
      <c r="B32" s="10"/>
      <c r="C32" s="254" t="str">
        <f>_xlfn.CONCAT(_xlfn.XLOOKUP("[S07_AircraftOperatorsUseArt15MandateDetail][6][AircraftOperatorID]",Submission!$O:$O,Submission!$H:$N,""))</f>
        <v/>
      </c>
      <c r="D32" s="254"/>
      <c r="E32" s="254"/>
      <c r="F32" s="254"/>
      <c r="G32" s="254" t="str">
        <f>_xlfn.CONCAT(_xlfn.XLOOKUP("[S07_AircraftOperatorsUseArt15MandateDetail][6][AircraftOperatorName]",Submission!$O:$O,Submission!$H:$N,""))</f>
        <v/>
      </c>
      <c r="H32" s="254"/>
      <c r="I32" s="254"/>
    </row>
    <row r="33" spans="2:9" s="27" customFormat="1" ht="15.9" hidden="1" customHeight="1" outlineLevel="1" x14ac:dyDescent="0.3">
      <c r="B33" s="10"/>
      <c r="C33" s="254" t="str">
        <f>_xlfn.CONCAT(_xlfn.XLOOKUP("[S07_AircraftOperatorsUseArt15MandateDetail][7][AircraftOperatorID]",Submission!$O:$O,Submission!$H:$N,""))</f>
        <v/>
      </c>
      <c r="D33" s="254"/>
      <c r="E33" s="254"/>
      <c r="F33" s="254"/>
      <c r="G33" s="254" t="str">
        <f>_xlfn.CONCAT(_xlfn.XLOOKUP("[S07_AircraftOperatorsUseArt15MandateDetail][7][AircraftOperatorName]",Submission!$O:$O,Submission!$H:$N,""))</f>
        <v/>
      </c>
      <c r="H33" s="254"/>
      <c r="I33" s="254"/>
    </row>
    <row r="34" spans="2:9" s="27" customFormat="1" ht="15.9" hidden="1" customHeight="1" outlineLevel="1" x14ac:dyDescent="0.3">
      <c r="B34" s="10"/>
      <c r="C34" s="254" t="str">
        <f>_xlfn.CONCAT(_xlfn.XLOOKUP("[S07_AircraftOperatorsUseArt15MandateDetail][8][AircraftOperatorID]",Submission!$O:$O,Submission!$H:$N,""))</f>
        <v/>
      </c>
      <c r="D34" s="254"/>
      <c r="E34" s="254"/>
      <c r="F34" s="254"/>
      <c r="G34" s="254" t="str">
        <f>_xlfn.CONCAT(_xlfn.XLOOKUP("[S07_AircraftOperatorsUseArt15MandateDetail][8][AircraftOperatorName]",Submission!$O:$O,Submission!$H:$N,""))</f>
        <v/>
      </c>
      <c r="H34" s="254"/>
      <c r="I34" s="254"/>
    </row>
    <row r="35" spans="2:9" s="27" customFormat="1" ht="15.9" hidden="1" customHeight="1" outlineLevel="1" x14ac:dyDescent="0.3">
      <c r="B35" s="10"/>
      <c r="C35" s="254" t="str">
        <f>_xlfn.CONCAT(_xlfn.XLOOKUP("[S07_AircraftOperatorsUseArt15MandateDetail][9][AircraftOperatorID]",Submission!$O:$O,Submission!$H:$N,""))</f>
        <v/>
      </c>
      <c r="D35" s="254"/>
      <c r="E35" s="254"/>
      <c r="F35" s="254"/>
      <c r="G35" s="254" t="str">
        <f>_xlfn.CONCAT(_xlfn.XLOOKUP("[S07_AircraftOperatorsUseArt15MandateDetail][9][AircraftOperatorName]",Submission!$O:$O,Submission!$H:$N,""))</f>
        <v/>
      </c>
      <c r="H35" s="254"/>
      <c r="I35" s="254"/>
    </row>
    <row r="36" spans="2:9" s="27" customFormat="1" ht="15.9" hidden="1" customHeight="1" outlineLevel="1" x14ac:dyDescent="0.3">
      <c r="B36" s="10"/>
      <c r="C36" s="254" t="str">
        <f>_xlfn.CONCAT(_xlfn.XLOOKUP("[S07_AircraftOperatorsUseArt15MandateDetail][10][AircraftOperatorID]",Submission!$O:$O,Submission!$H:$N,""))</f>
        <v/>
      </c>
      <c r="D36" s="254"/>
      <c r="E36" s="254"/>
      <c r="F36" s="254"/>
      <c r="G36" s="254" t="str">
        <f>_xlfn.CONCAT(_xlfn.XLOOKUP("[S07_AircraftOperatorsUseArt15MandateDetail][10][AircraftOperatorName]",Submission!$O:$O,Submission!$H:$N,""))</f>
        <v/>
      </c>
      <c r="H36" s="254"/>
      <c r="I36" s="254"/>
    </row>
    <row r="37" spans="2:9" s="27" customFormat="1" ht="15.9" hidden="1" customHeight="1" outlineLevel="1" x14ac:dyDescent="0.3">
      <c r="B37" s="10"/>
      <c r="C37" s="254" t="str">
        <f>_xlfn.CONCAT(_xlfn.XLOOKUP("[S07_AircraftOperatorsUseArt15MandateDetail][11][AircraftOperatorID]",Submission!$O:$O,Submission!$H:$N,""))</f>
        <v/>
      </c>
      <c r="D37" s="254"/>
      <c r="E37" s="254"/>
      <c r="F37" s="254"/>
      <c r="G37" s="254" t="str">
        <f>_xlfn.CONCAT(_xlfn.XLOOKUP("[S07_AircraftOperatorsUseArt15MandateDetail][11][AircraftOperatorName]",Submission!$O:$O,Submission!$H:$N,""))</f>
        <v/>
      </c>
      <c r="H37" s="254"/>
      <c r="I37" s="254"/>
    </row>
    <row r="38" spans="2:9" s="27" customFormat="1" ht="15.9" hidden="1" customHeight="1" outlineLevel="1" x14ac:dyDescent="0.3">
      <c r="B38" s="10"/>
      <c r="C38" s="254" t="str">
        <f>_xlfn.CONCAT(_xlfn.XLOOKUP("[S07_AircraftOperatorsUseArt15MandateDetail][12][AircraftOperatorID]",Submission!$O:$O,Submission!$H:$N,""))</f>
        <v/>
      </c>
      <c r="D38" s="254"/>
      <c r="E38" s="254"/>
      <c r="F38" s="254"/>
      <c r="G38" s="254" t="str">
        <f>_xlfn.CONCAT(_xlfn.XLOOKUP("[S07_AircraftOperatorsUseArt15MandateDetail][12][AircraftOperatorName]",Submission!$O:$O,Submission!$H:$N,""))</f>
        <v/>
      </c>
      <c r="H38" s="254"/>
      <c r="I38" s="254"/>
    </row>
    <row r="39" spans="2:9" s="27" customFormat="1" ht="15.9" hidden="1" customHeight="1" outlineLevel="1" x14ac:dyDescent="0.3">
      <c r="B39" s="10"/>
      <c r="C39" s="254" t="str">
        <f>_xlfn.CONCAT(_xlfn.XLOOKUP("[S07_AircraftOperatorsUseArt15MandateDetail][13][AircraftOperatorID]",Submission!$O:$O,Submission!$H:$N,""))</f>
        <v/>
      </c>
      <c r="D39" s="254"/>
      <c r="E39" s="254"/>
      <c r="F39" s="254"/>
      <c r="G39" s="254" t="str">
        <f>_xlfn.CONCAT(_xlfn.XLOOKUP("[S07_AircraftOperatorsUseArt15MandateDetail][13][AircraftOperatorName]",Submission!$O:$O,Submission!$H:$N,""))</f>
        <v/>
      </c>
      <c r="H39" s="254"/>
      <c r="I39" s="254"/>
    </row>
    <row r="40" spans="2:9" s="27" customFormat="1" ht="15.9" hidden="1" customHeight="1" outlineLevel="1" x14ac:dyDescent="0.3">
      <c r="B40" s="10"/>
      <c r="C40" s="254" t="str">
        <f>_xlfn.CONCAT(_xlfn.XLOOKUP("[S07_AircraftOperatorsUseArt15MandateDetail][14][AircraftOperatorID]",Submission!$O:$O,Submission!$H:$N,""))</f>
        <v/>
      </c>
      <c r="D40" s="254"/>
      <c r="E40" s="254"/>
      <c r="F40" s="254"/>
      <c r="G40" s="254" t="str">
        <f>_xlfn.CONCAT(_xlfn.XLOOKUP("[S07_AircraftOperatorsUseArt15MandateDetail][14][AircraftOperatorName]",Submission!$O:$O,Submission!$H:$N,""))</f>
        <v/>
      </c>
      <c r="H40" s="254"/>
      <c r="I40" s="254"/>
    </row>
    <row r="41" spans="2:9" s="27" customFormat="1" ht="15.9" hidden="1" customHeight="1" outlineLevel="1" x14ac:dyDescent="0.3">
      <c r="B41" s="10"/>
      <c r="C41" s="254" t="str">
        <f>_xlfn.CONCAT(_xlfn.XLOOKUP("[S07_AircraftOperatorsUseArt15MandateDetail][15][AircraftOperatorID]",Submission!$O:$O,Submission!$H:$N,""))</f>
        <v/>
      </c>
      <c r="D41" s="254"/>
      <c r="E41" s="254"/>
      <c r="F41" s="254"/>
      <c r="G41" s="254" t="str">
        <f>_xlfn.CONCAT(_xlfn.XLOOKUP("[S07_AircraftOperatorsUseArt15MandateDetail][15][AircraftOperatorName]",Submission!$O:$O,Submission!$H:$N,""))</f>
        <v/>
      </c>
      <c r="H41" s="254"/>
      <c r="I41" s="254"/>
    </row>
    <row r="42" spans="2:9" s="27" customFormat="1" ht="15.9" hidden="1" customHeight="1" outlineLevel="1" x14ac:dyDescent="0.3">
      <c r="B42" s="10"/>
      <c r="C42" s="254" t="str">
        <f>_xlfn.CONCAT(_xlfn.XLOOKUP("[S07_AircraftOperatorsUseArt15MandateDetail][16][AircraftOperatorID]",Submission!$O:$O,Submission!$H:$N,""))</f>
        <v/>
      </c>
      <c r="D42" s="254"/>
      <c r="E42" s="254"/>
      <c r="F42" s="254"/>
      <c r="G42" s="254" t="str">
        <f>_xlfn.CONCAT(_xlfn.XLOOKUP("[S07_AircraftOperatorsUseArt15MandateDetail][16][AircraftOperatorName]",Submission!$O:$O,Submission!$H:$N,""))</f>
        <v/>
      </c>
      <c r="H42" s="254"/>
      <c r="I42" s="254"/>
    </row>
    <row r="43" spans="2:9" s="27" customFormat="1" ht="15.9" hidden="1" customHeight="1" outlineLevel="1" x14ac:dyDescent="0.3">
      <c r="B43" s="10"/>
      <c r="C43" s="254" t="str">
        <f>_xlfn.CONCAT(_xlfn.XLOOKUP("[S07_AircraftOperatorsUseArt15MandateDetail][17][AircraftOperatorID]",Submission!$O:$O,Submission!$H:$N,""))</f>
        <v/>
      </c>
      <c r="D43" s="254"/>
      <c r="E43" s="254"/>
      <c r="F43" s="254"/>
      <c r="G43" s="254" t="str">
        <f>_xlfn.CONCAT(_xlfn.XLOOKUP("[S07_AircraftOperatorsUseArt15MandateDetail][17][AircraftOperatorName]",Submission!$O:$O,Submission!$H:$N,""))</f>
        <v/>
      </c>
      <c r="H43" s="254"/>
      <c r="I43" s="254"/>
    </row>
    <row r="44" spans="2:9" s="27" customFormat="1" ht="15.9" hidden="1" customHeight="1" outlineLevel="1" x14ac:dyDescent="0.3">
      <c r="B44" s="10"/>
      <c r="C44" s="254" t="str">
        <f>_xlfn.CONCAT(_xlfn.XLOOKUP("[S07_AircraftOperatorsUseArt15MandateDetail][18][AircraftOperatorID]",Submission!$O:$O,Submission!$H:$N,""))</f>
        <v/>
      </c>
      <c r="D44" s="254"/>
      <c r="E44" s="254"/>
      <c r="F44" s="254"/>
      <c r="G44" s="254" t="str">
        <f>_xlfn.CONCAT(_xlfn.XLOOKUP("[S07_AircraftOperatorsUseArt15MandateDetail][18][AircraftOperatorName]",Submission!$O:$O,Submission!$H:$N,""))</f>
        <v/>
      </c>
      <c r="H44" s="254"/>
      <c r="I44" s="254"/>
    </row>
    <row r="45" spans="2:9" s="27" customFormat="1" ht="15.9" hidden="1" customHeight="1" outlineLevel="1" x14ac:dyDescent="0.3">
      <c r="B45" s="10"/>
      <c r="C45" s="254" t="str">
        <f>_xlfn.CONCAT(_xlfn.XLOOKUP("[S07_AircraftOperatorsUseArt15MandateDetail][19][AircraftOperatorID]",Submission!$O:$O,Submission!$H:$N,""))</f>
        <v/>
      </c>
      <c r="D45" s="254"/>
      <c r="E45" s="254"/>
      <c r="F45" s="254"/>
      <c r="G45" s="254" t="str">
        <f>_xlfn.CONCAT(_xlfn.XLOOKUP("[S07_AircraftOperatorsUseArt15MandateDetail][19][AircraftOperatorName]",Submission!$O:$O,Submission!$H:$N,""))</f>
        <v/>
      </c>
      <c r="H45" s="254"/>
      <c r="I45" s="254"/>
    </row>
    <row r="46" spans="2:9" s="27" customFormat="1" ht="15.9" hidden="1" customHeight="1" outlineLevel="1" x14ac:dyDescent="0.3">
      <c r="B46" s="10"/>
      <c r="C46" s="254" t="str">
        <f>_xlfn.CONCAT(_xlfn.XLOOKUP("[S07_AircraftOperatorsUseArt15MandateDetail][20][AircraftOperatorID]",Submission!$O:$O,Submission!$H:$N,""))</f>
        <v/>
      </c>
      <c r="D46" s="254"/>
      <c r="E46" s="254"/>
      <c r="F46" s="254"/>
      <c r="G46" s="254" t="str">
        <f>_xlfn.CONCAT(_xlfn.XLOOKUP("[S07_AircraftOperatorsUseArt15MandateDetail][20][AircraftOperatorName]",Submission!$O:$O,Submission!$H:$N,""))</f>
        <v/>
      </c>
      <c r="H46" s="254"/>
      <c r="I46" s="254"/>
    </row>
    <row r="47" spans="2:9" s="27" customFormat="1" ht="15.9" hidden="1" customHeight="1" outlineLevel="1" x14ac:dyDescent="0.3">
      <c r="B47" s="10"/>
      <c r="C47" s="254" t="str">
        <f>_xlfn.CONCAT(_xlfn.XLOOKUP("[S07_AircraftOperatorsUseArt15MandateDetail][21][AircraftOperatorID]",Submission!$O:$O,Submission!$H:$N,""))</f>
        <v/>
      </c>
      <c r="D47" s="254"/>
      <c r="E47" s="254"/>
      <c r="F47" s="254"/>
      <c r="G47" s="254" t="str">
        <f>_xlfn.CONCAT(_xlfn.XLOOKUP("[S07_AircraftOperatorsUseArt15MandateDetail][21][AircraftOperatorName]",Submission!$O:$O,Submission!$H:$N,""))</f>
        <v/>
      </c>
      <c r="H47" s="254"/>
      <c r="I47" s="254"/>
    </row>
    <row r="48" spans="2:9" s="27" customFormat="1" ht="15.9" hidden="1" customHeight="1" outlineLevel="1" x14ac:dyDescent="0.3">
      <c r="B48" s="10"/>
      <c r="C48" s="254" t="str">
        <f>_xlfn.CONCAT(_xlfn.XLOOKUP("[S07_AircraftOperatorsUseArt15MandateDetail][22][AircraftOperatorID]",Submission!$O:$O,Submission!$H:$N,""))</f>
        <v/>
      </c>
      <c r="D48" s="254"/>
      <c r="E48" s="254"/>
      <c r="F48" s="254"/>
      <c r="G48" s="254" t="str">
        <f>_xlfn.CONCAT(_xlfn.XLOOKUP("[S07_AircraftOperatorsUseArt15MandateDetail][22][AircraftOperatorName]",Submission!$O:$O,Submission!$H:$N,""))</f>
        <v/>
      </c>
      <c r="H48" s="254"/>
      <c r="I48" s="254"/>
    </row>
    <row r="49" spans="2:9" s="27" customFormat="1" ht="15.9" hidden="1" customHeight="1" outlineLevel="1" x14ac:dyDescent="0.3">
      <c r="B49" s="10"/>
      <c r="C49" s="254" t="str">
        <f>_xlfn.CONCAT(_xlfn.XLOOKUP("[S07_AircraftOperatorsUseArt15MandateDetail][23][AircraftOperatorID]",Submission!$O:$O,Submission!$H:$N,""))</f>
        <v/>
      </c>
      <c r="D49" s="254"/>
      <c r="E49" s="254"/>
      <c r="F49" s="254"/>
      <c r="G49" s="254" t="str">
        <f>_xlfn.CONCAT(_xlfn.XLOOKUP("[S07_AircraftOperatorsUseArt15MandateDetail][23][AircraftOperatorName]",Submission!$O:$O,Submission!$H:$N,""))</f>
        <v/>
      </c>
      <c r="H49" s="254"/>
      <c r="I49" s="254"/>
    </row>
    <row r="50" spans="2:9" s="27" customFormat="1" ht="15.9" hidden="1" customHeight="1" outlineLevel="1" x14ac:dyDescent="0.3">
      <c r="B50" s="10"/>
      <c r="C50" s="254" t="str">
        <f>_xlfn.CONCAT(_xlfn.XLOOKUP("[S07_AircraftOperatorsUseArt15MandateDetail][24][AircraftOperatorID]",Submission!$O:$O,Submission!$H:$N,""))</f>
        <v/>
      </c>
      <c r="D50" s="254"/>
      <c r="E50" s="254"/>
      <c r="F50" s="254"/>
      <c r="G50" s="254" t="str">
        <f>_xlfn.CONCAT(_xlfn.XLOOKUP("[S07_AircraftOperatorsUseArt15MandateDetail][24][AircraftOperatorName]",Submission!$O:$O,Submission!$H:$N,""))</f>
        <v/>
      </c>
      <c r="H50" s="254"/>
      <c r="I50" s="254"/>
    </row>
    <row r="51" spans="2:9" s="27" customFormat="1" ht="15.9" hidden="1" customHeight="1" outlineLevel="1" x14ac:dyDescent="0.3">
      <c r="B51" s="10"/>
      <c r="C51" s="254" t="str">
        <f>_xlfn.CONCAT(_xlfn.XLOOKUP("[S07_AircraftOperatorsUseArt15MandateDetail][25][AircraftOperatorID]",Submission!$O:$O,Submission!$H:$N,""))</f>
        <v/>
      </c>
      <c r="D51" s="254"/>
      <c r="E51" s="254"/>
      <c r="F51" s="254"/>
      <c r="G51" s="254" t="str">
        <f>_xlfn.CONCAT(_xlfn.XLOOKUP("[S07_AircraftOperatorsUseArt15MandateDetail][25][AircraftOperatorName]",Submission!$O:$O,Submission!$H:$N,""))</f>
        <v/>
      </c>
      <c r="H51" s="254"/>
      <c r="I51" s="254"/>
    </row>
    <row r="52" spans="2:9" s="27" customFormat="1" ht="15.9" hidden="1" customHeight="1" outlineLevel="1" x14ac:dyDescent="0.3">
      <c r="B52" s="10"/>
      <c r="C52" s="254" t="str">
        <f>_xlfn.CONCAT(_xlfn.XLOOKUP("[S07_AircraftOperatorsUseArt15MandateDetail][26][AircraftOperatorID]",Submission!$O:$O,Submission!$H:$N,""))</f>
        <v/>
      </c>
      <c r="D52" s="254"/>
      <c r="E52" s="254"/>
      <c r="F52" s="254"/>
      <c r="G52" s="254" t="str">
        <f>_xlfn.CONCAT(_xlfn.XLOOKUP("[S07_AircraftOperatorsUseArt15MandateDetail][26][AircraftOperatorName]",Submission!$O:$O,Submission!$H:$N,""))</f>
        <v/>
      </c>
      <c r="H52" s="254"/>
      <c r="I52" s="254"/>
    </row>
    <row r="53" spans="2:9" s="27" customFormat="1" ht="15.9" hidden="1" customHeight="1" outlineLevel="1" x14ac:dyDescent="0.3">
      <c r="B53" s="10"/>
      <c r="C53" s="254" t="str">
        <f>_xlfn.CONCAT(_xlfn.XLOOKUP("[S07_AircraftOperatorsUseArt15MandateDetail][27][AircraftOperatorID]",Submission!$O:$O,Submission!$H:$N,""))</f>
        <v/>
      </c>
      <c r="D53" s="254"/>
      <c r="E53" s="254"/>
      <c r="F53" s="254"/>
      <c r="G53" s="254" t="str">
        <f>_xlfn.CONCAT(_xlfn.XLOOKUP("[S07_AircraftOperatorsUseArt15MandateDetail][27][AircraftOperatorName]",Submission!$O:$O,Submission!$H:$N,""))</f>
        <v/>
      </c>
      <c r="H53" s="254"/>
      <c r="I53" s="254"/>
    </row>
    <row r="54" spans="2:9" s="27" customFormat="1" ht="15.9" hidden="1" customHeight="1" outlineLevel="1" x14ac:dyDescent="0.3">
      <c r="B54" s="10"/>
      <c r="C54" s="254" t="str">
        <f>_xlfn.CONCAT(_xlfn.XLOOKUP("[S07_AircraftOperatorsUseArt15MandateDetail][28][AircraftOperatorID]",Submission!$O:$O,Submission!$H:$N,""))</f>
        <v/>
      </c>
      <c r="D54" s="254"/>
      <c r="E54" s="254"/>
      <c r="F54" s="254"/>
      <c r="G54" s="254" t="str">
        <f>_xlfn.CONCAT(_xlfn.XLOOKUP("[S07_AircraftOperatorsUseArt15MandateDetail][28][AircraftOperatorName]",Submission!$O:$O,Submission!$H:$N,""))</f>
        <v/>
      </c>
      <c r="H54" s="254"/>
      <c r="I54" s="254"/>
    </row>
    <row r="55" spans="2:9" s="27" customFormat="1" ht="15.9" hidden="1" customHeight="1" outlineLevel="1" x14ac:dyDescent="0.3">
      <c r="B55" s="10"/>
      <c r="C55" s="254" t="str">
        <f>_xlfn.CONCAT(_xlfn.XLOOKUP("[S07_AircraftOperatorsUseArt15MandateDetail][29][AircraftOperatorID]",Submission!$O:$O,Submission!$H:$N,""))</f>
        <v/>
      </c>
      <c r="D55" s="254"/>
      <c r="E55" s="254"/>
      <c r="F55" s="254"/>
      <c r="G55" s="254" t="str">
        <f>_xlfn.CONCAT(_xlfn.XLOOKUP("[S07_AircraftOperatorsUseArt15MandateDetail][29][AircraftOperatorName]",Submission!$O:$O,Submission!$H:$N,""))</f>
        <v/>
      </c>
      <c r="H55" s="254"/>
      <c r="I55" s="254"/>
    </row>
    <row r="56" spans="2:9" s="27" customFormat="1" ht="15.9" hidden="1" customHeight="1" outlineLevel="1" x14ac:dyDescent="0.3">
      <c r="B56" s="10"/>
      <c r="C56" s="254" t="str">
        <f>_xlfn.CONCAT(_xlfn.XLOOKUP("[S07_AircraftOperatorsUseArt15MandateDetail][30][AircraftOperatorID]",Submission!$O:$O,Submission!$H:$N,""))</f>
        <v/>
      </c>
      <c r="D56" s="254"/>
      <c r="E56" s="254"/>
      <c r="F56" s="254"/>
      <c r="G56" s="254" t="str">
        <f>_xlfn.CONCAT(_xlfn.XLOOKUP("[S07_AircraftOperatorsUseArt15MandateDetail][30][AircraftOperatorName]",Submission!$O:$O,Submission!$H:$N,""))</f>
        <v/>
      </c>
      <c r="H56" s="254"/>
      <c r="I56" s="254"/>
    </row>
    <row r="57" spans="2:9" s="27" customFormat="1" ht="15.9" hidden="1" customHeight="1" outlineLevel="1" x14ac:dyDescent="0.3">
      <c r="B57" s="10"/>
      <c r="C57" s="254" t="str">
        <f>_xlfn.CONCAT(_xlfn.XLOOKUP("[S07_AircraftOperatorsUseArt15MandateDetail][31][AircraftOperatorID]",Submission!$O:$O,Submission!$H:$N,""))</f>
        <v/>
      </c>
      <c r="D57" s="254"/>
      <c r="E57" s="254"/>
      <c r="F57" s="254"/>
      <c r="G57" s="254" t="str">
        <f>_xlfn.CONCAT(_xlfn.XLOOKUP("[S07_AircraftOperatorsUseArt15MandateDetail][31][AircraftOperatorName]",Submission!$O:$O,Submission!$H:$N,""))</f>
        <v/>
      </c>
      <c r="H57" s="254"/>
      <c r="I57" s="254"/>
    </row>
    <row r="58" spans="2:9" s="27" customFormat="1" ht="15.9" hidden="1" customHeight="1" outlineLevel="1" x14ac:dyDescent="0.3">
      <c r="B58" s="10"/>
      <c r="C58" s="254" t="str">
        <f>_xlfn.CONCAT(_xlfn.XLOOKUP("[S07_AircraftOperatorsUseArt15MandateDetail][32][AircraftOperatorID]",Submission!$O:$O,Submission!$H:$N,""))</f>
        <v/>
      </c>
      <c r="D58" s="254"/>
      <c r="E58" s="254"/>
      <c r="F58" s="254"/>
      <c r="G58" s="254" t="str">
        <f>_xlfn.CONCAT(_xlfn.XLOOKUP("[S07_AircraftOperatorsUseArt15MandateDetail][32][AircraftOperatorName]",Submission!$O:$O,Submission!$H:$N,""))</f>
        <v/>
      </c>
      <c r="H58" s="254"/>
      <c r="I58" s="254"/>
    </row>
    <row r="59" spans="2:9" s="27" customFormat="1" ht="15.9" hidden="1" customHeight="1" outlineLevel="1" x14ac:dyDescent="0.3">
      <c r="B59" s="10"/>
      <c r="C59" s="254" t="str">
        <f>_xlfn.CONCAT(_xlfn.XLOOKUP("[S07_AircraftOperatorsUseArt15MandateDetail][33][AircraftOperatorID]",Submission!$O:$O,Submission!$H:$N,""))</f>
        <v/>
      </c>
      <c r="D59" s="254"/>
      <c r="E59" s="254"/>
      <c r="F59" s="254"/>
      <c r="G59" s="254" t="str">
        <f>_xlfn.CONCAT(_xlfn.XLOOKUP("[S07_AircraftOperatorsUseArt15MandateDetail][33][AircraftOperatorName]",Submission!$O:$O,Submission!$H:$N,""))</f>
        <v/>
      </c>
      <c r="H59" s="254"/>
      <c r="I59" s="254"/>
    </row>
    <row r="60" spans="2:9" s="27" customFormat="1" ht="15.9" hidden="1" customHeight="1" outlineLevel="1" x14ac:dyDescent="0.3">
      <c r="B60" s="10"/>
      <c r="C60" s="254" t="str">
        <f>_xlfn.CONCAT(_xlfn.XLOOKUP("[S07_AircraftOperatorsUseArt15MandateDetail][34][AircraftOperatorID]",Submission!$O:$O,Submission!$H:$N,""))</f>
        <v/>
      </c>
      <c r="D60" s="254"/>
      <c r="E60" s="254"/>
      <c r="F60" s="254"/>
      <c r="G60" s="254" t="str">
        <f>_xlfn.CONCAT(_xlfn.XLOOKUP("[S07_AircraftOperatorsUseArt15MandateDetail][34][AircraftOperatorName]",Submission!$O:$O,Submission!$H:$N,""))</f>
        <v/>
      </c>
      <c r="H60" s="254"/>
      <c r="I60" s="254"/>
    </row>
    <row r="61" spans="2:9" s="27" customFormat="1" ht="15.9" hidden="1" customHeight="1" outlineLevel="1" x14ac:dyDescent="0.3">
      <c r="B61" s="10"/>
      <c r="C61" s="254" t="str">
        <f>_xlfn.CONCAT(_xlfn.XLOOKUP("[S07_AircraftOperatorsUseArt15MandateDetail][35][AircraftOperatorID]",Submission!$O:$O,Submission!$H:$N,""))</f>
        <v/>
      </c>
      <c r="D61" s="254"/>
      <c r="E61" s="254"/>
      <c r="F61" s="254"/>
      <c r="G61" s="254" t="str">
        <f>_xlfn.CONCAT(_xlfn.XLOOKUP("[S07_AircraftOperatorsUseArt15MandateDetail][35][AircraftOperatorName]",Submission!$O:$O,Submission!$H:$N,""))</f>
        <v/>
      </c>
      <c r="H61" s="254"/>
      <c r="I61" s="254"/>
    </row>
    <row r="62" spans="2:9" s="27" customFormat="1" ht="15.9" hidden="1" customHeight="1" outlineLevel="1" x14ac:dyDescent="0.3">
      <c r="B62" s="10"/>
      <c r="C62" s="254" t="str">
        <f>_xlfn.CONCAT(_xlfn.XLOOKUP("[S07_AircraftOperatorsUseArt15MandateDetail][36][AircraftOperatorID]",Submission!$O:$O,Submission!$H:$N,""))</f>
        <v/>
      </c>
      <c r="D62" s="254"/>
      <c r="E62" s="254"/>
      <c r="F62" s="254"/>
      <c r="G62" s="254" t="str">
        <f>_xlfn.CONCAT(_xlfn.XLOOKUP("[S07_AircraftOperatorsUseArt15MandateDetail][36][AircraftOperatorName]",Submission!$O:$O,Submission!$H:$N,""))</f>
        <v/>
      </c>
      <c r="H62" s="254"/>
      <c r="I62" s="254"/>
    </row>
    <row r="63" spans="2:9" s="27" customFormat="1" ht="15.9" hidden="1" customHeight="1" outlineLevel="1" x14ac:dyDescent="0.3">
      <c r="B63" s="10"/>
      <c r="C63" s="254" t="str">
        <f>_xlfn.CONCAT(_xlfn.XLOOKUP("[S07_AircraftOperatorsUseArt15MandateDetail][37][AircraftOperatorID]",Submission!$O:$O,Submission!$H:$N,""))</f>
        <v/>
      </c>
      <c r="D63" s="254"/>
      <c r="E63" s="254"/>
      <c r="F63" s="254"/>
      <c r="G63" s="254" t="str">
        <f>_xlfn.CONCAT(_xlfn.XLOOKUP("[S07_AircraftOperatorsUseArt15MandateDetail][37][AircraftOperatorName]",Submission!$O:$O,Submission!$H:$N,""))</f>
        <v/>
      </c>
      <c r="H63" s="254"/>
      <c r="I63" s="254"/>
    </row>
    <row r="64" spans="2:9" s="27" customFormat="1" ht="15.9" hidden="1" customHeight="1" outlineLevel="1" x14ac:dyDescent="0.3">
      <c r="B64" s="10"/>
      <c r="C64" s="254" t="str">
        <f>_xlfn.CONCAT(_xlfn.XLOOKUP("[S07_AircraftOperatorsUseArt15MandateDetail][38][AircraftOperatorID]",Submission!$O:$O,Submission!$H:$N,""))</f>
        <v/>
      </c>
      <c r="D64" s="254"/>
      <c r="E64" s="254"/>
      <c r="F64" s="254"/>
      <c r="G64" s="254" t="str">
        <f>_xlfn.CONCAT(_xlfn.XLOOKUP("[S07_AircraftOperatorsUseArt15MandateDetail][38][AircraftOperatorName]",Submission!$O:$O,Submission!$H:$N,""))</f>
        <v/>
      </c>
      <c r="H64" s="254"/>
      <c r="I64" s="254"/>
    </row>
    <row r="65" spans="1:9" s="27" customFormat="1" ht="15.9" hidden="1" customHeight="1" outlineLevel="1" x14ac:dyDescent="0.3">
      <c r="B65" s="10"/>
      <c r="C65" s="254" t="str">
        <f>_xlfn.CONCAT(_xlfn.XLOOKUP("[S07_AircraftOperatorsUseArt15MandateDetail][39][AircraftOperatorID]",Submission!$O:$O,Submission!$H:$N,""))</f>
        <v/>
      </c>
      <c r="D65" s="254"/>
      <c r="E65" s="254"/>
      <c r="F65" s="254"/>
      <c r="G65" s="254" t="str">
        <f>_xlfn.CONCAT(_xlfn.XLOOKUP("[S07_AircraftOperatorsUseArt15MandateDetail][39][AircraftOperatorName]",Submission!$O:$O,Submission!$H:$N,""))</f>
        <v/>
      </c>
      <c r="H65" s="254"/>
      <c r="I65" s="254"/>
    </row>
    <row r="66" spans="1:9" s="27" customFormat="1" ht="15.9" hidden="1" customHeight="1" outlineLevel="1" x14ac:dyDescent="0.3">
      <c r="B66" s="10"/>
      <c r="C66" s="254" t="str">
        <f>_xlfn.CONCAT(_xlfn.XLOOKUP("[S07_AircraftOperatorsUseArt15MandateDetail][40][AircraftOperatorID]",Submission!$O:$O,Submission!$H:$N,""))</f>
        <v/>
      </c>
      <c r="D66" s="254"/>
      <c r="E66" s="254"/>
      <c r="F66" s="254"/>
      <c r="G66" s="254" t="str">
        <f>_xlfn.CONCAT(_xlfn.XLOOKUP("[S07_AircraftOperatorsUseArt15MandateDetail][40][AircraftOperatorName]",Submission!$O:$O,Submission!$H:$N,""))</f>
        <v/>
      </c>
      <c r="H66" s="254"/>
      <c r="I66" s="254"/>
    </row>
    <row r="67" spans="1:9" ht="15.9" customHeight="1" collapsed="1" x14ac:dyDescent="0.3">
      <c r="A67" s="13"/>
      <c r="B67" s="26" t="s">
        <v>2</v>
      </c>
      <c r="C67" s="19"/>
      <c r="D67" s="20"/>
      <c r="E67" s="20"/>
      <c r="F67" s="20"/>
      <c r="G67" s="20"/>
      <c r="H67" s="20"/>
      <c r="I67" s="20"/>
    </row>
    <row r="68" spans="1:9" ht="15.9" customHeight="1" x14ac:dyDescent="0.3">
      <c r="C68" s="279" t="s">
        <v>1131</v>
      </c>
      <c r="D68" s="280"/>
      <c r="E68" s="280"/>
      <c r="F68" s="280"/>
      <c r="G68" s="280"/>
      <c r="H68" s="280"/>
      <c r="I68" s="280"/>
    </row>
  </sheetData>
  <mergeCells count="115">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09" t="s">
        <v>450</v>
      </c>
      <c r="C3" s="309"/>
      <c r="D3" s="309"/>
      <c r="E3" s="309"/>
      <c r="F3" s="309"/>
      <c r="G3" s="309"/>
      <c r="H3" s="309"/>
      <c r="I3" s="309"/>
    </row>
    <row r="4" spans="1:9" s="7" customFormat="1" ht="18.899999999999999" customHeight="1" x14ac:dyDescent="0.35">
      <c r="A4" s="85" t="s">
        <v>451</v>
      </c>
      <c r="B4" s="310" t="s">
        <v>145</v>
      </c>
      <c r="C4" s="310"/>
      <c r="D4" s="310"/>
      <c r="E4" s="310"/>
      <c r="F4" s="310"/>
      <c r="G4" s="310"/>
      <c r="H4" s="310"/>
      <c r="I4" s="311"/>
    </row>
    <row r="5" spans="1:9" s="7" customFormat="1" ht="15.6" customHeight="1" x14ac:dyDescent="0.3">
      <c r="A5" s="12" t="s">
        <v>452</v>
      </c>
      <c r="B5" s="480" t="s">
        <v>1132</v>
      </c>
      <c r="C5" s="480"/>
      <c r="D5" s="480"/>
      <c r="E5" s="480"/>
      <c r="F5" s="480"/>
      <c r="G5" s="480"/>
      <c r="H5" s="480"/>
      <c r="I5" s="480"/>
    </row>
    <row r="6" spans="1:9" s="11" customFormat="1" ht="33" customHeight="1" x14ac:dyDescent="0.3">
      <c r="A6" s="12"/>
      <c r="B6" s="338" t="s">
        <v>1133</v>
      </c>
      <c r="C6" s="308"/>
      <c r="D6" s="308"/>
      <c r="E6" s="308"/>
      <c r="F6" s="308"/>
      <c r="G6" s="308"/>
      <c r="H6" s="345"/>
      <c r="I6" s="41" t="str">
        <f>_xlfn.CONCAT(_xlfn.XLOOKUP("[CommissionTemplatesAllocation][0][CommissionTemplatesAllocation]",Submission!$O:$O,Submission!$H:$N,""))</f>
        <v>Yes</v>
      </c>
    </row>
    <row r="7" spans="1:9" ht="49.95" customHeight="1" x14ac:dyDescent="0.3">
      <c r="A7" s="13"/>
      <c r="B7" s="338" t="s">
        <v>1134</v>
      </c>
      <c r="C7" s="308"/>
      <c r="D7" s="308"/>
      <c r="E7" s="308"/>
      <c r="F7" s="308"/>
      <c r="G7" s="308"/>
      <c r="H7" s="308"/>
      <c r="I7" s="308"/>
    </row>
    <row r="8" spans="1:9" x14ac:dyDescent="0.3">
      <c r="C8" s="514"/>
      <c r="D8" s="515"/>
      <c r="E8" s="319" t="s">
        <v>1135</v>
      </c>
      <c r="F8" s="321"/>
      <c r="G8" s="319" t="s">
        <v>1136</v>
      </c>
      <c r="H8" s="320"/>
      <c r="I8" s="321"/>
    </row>
    <row r="9" spans="1:9" ht="27.6" customHeight="1" x14ac:dyDescent="0.3">
      <c r="C9" s="319" t="s">
        <v>1137</v>
      </c>
      <c r="D9" s="321"/>
      <c r="E9" s="274" t="str">
        <f>_xlfn.CONCAT(_xlfn.XLOOKUP("[S08_MSCustomisedTemplatesAllocation][1][SpecificTemplateOrFileFormat]",Submission!$O:$O,Submission!$H:$N,""))</f>
        <v/>
      </c>
      <c r="F9" s="364"/>
      <c r="G9" s="510" t="str">
        <f>_xlfn.CONCAT(_xlfn.XLOOKUP("[S08_MSCustomisedTemplatesAllocation][1][HowTemplateSpecific]",Submission!$O:$O,Submission!$H:$N,""))</f>
        <v/>
      </c>
      <c r="H9" s="511"/>
      <c r="I9" s="512"/>
    </row>
    <row r="10" spans="1:9" ht="27.6" customHeight="1" x14ac:dyDescent="0.3">
      <c r="C10" s="357" t="s">
        <v>1138</v>
      </c>
      <c r="D10" s="357"/>
      <c r="E10" s="274" t="str">
        <f>_xlfn.CONCAT(_xlfn.XLOOKUP("[S08_MSCustomisedTemplatesAllocation][2][SpecificTemplateOrFileFormat]",Submission!$O:$O,Submission!$H:$N,""))</f>
        <v/>
      </c>
      <c r="F10" s="364"/>
      <c r="G10" s="513" t="str">
        <f>_xlfn.CONCAT(_xlfn.XLOOKUP("[S08_MSCustomisedTemplatesAllocation][2][HowTemplateSpecific]",Submission!$O:$O,Submission!$H:$N,""))</f>
        <v/>
      </c>
      <c r="H10" s="513"/>
      <c r="I10" s="513"/>
    </row>
    <row r="11" spans="1:9" ht="27.6" customHeight="1" x14ac:dyDescent="0.3">
      <c r="C11" s="319" t="s">
        <v>1139</v>
      </c>
      <c r="D11" s="321"/>
      <c r="E11" s="274" t="str">
        <f>_xlfn.CONCAT(_xlfn.XLOOKUP("[S08_MSCustomisedTemplatesAllocation][3][SpecificTemplateOrFileFormat]",Submission!$O:$O,Submission!$H:$N,""))</f>
        <v/>
      </c>
      <c r="F11" s="364"/>
      <c r="G11" s="517" t="str">
        <f>_xlfn.CONCAT(_xlfn.XLOOKUP("[S08_MSCustomisedTemplatesAllocation][3][HowTemplateSpecific]",Submission!$O:$O,Submission!$H:$N,""))</f>
        <v/>
      </c>
      <c r="H11" s="511"/>
      <c r="I11" s="512"/>
    </row>
    <row r="12" spans="1:9" ht="27.6" customHeight="1" x14ac:dyDescent="0.3">
      <c r="C12" s="319" t="s">
        <v>1140</v>
      </c>
      <c r="D12" s="321"/>
      <c r="E12" s="274" t="str">
        <f>_xlfn.CONCAT(_xlfn.XLOOKUP("[S08_MSCustomisedTemplatesAllocation][4][SpecificTemplateOrFileFormat]",Submission!$O:$O,Submission!$H:$N,""))</f>
        <v/>
      </c>
      <c r="F12" s="364"/>
      <c r="G12" s="517" t="str">
        <f>_xlfn.CONCAT(_xlfn.XLOOKUP("[S08_MSCustomisedTemplatesAllocation][4][HowTemplateSpecific]",Submission!$O:$O,Submission!$H:$N,""))</f>
        <v/>
      </c>
      <c r="H12" s="511"/>
      <c r="I12" s="512"/>
    </row>
    <row r="13" spans="1:9" x14ac:dyDescent="0.3">
      <c r="C13" s="279" t="s">
        <v>831</v>
      </c>
      <c r="D13" s="279"/>
      <c r="E13" s="279"/>
      <c r="F13" s="279"/>
      <c r="G13" s="279"/>
      <c r="H13" s="279"/>
      <c r="I13" s="279"/>
    </row>
    <row r="14" spans="1:9" x14ac:dyDescent="0.3">
      <c r="C14" s="466" t="s">
        <v>1141</v>
      </c>
      <c r="D14" s="466"/>
      <c r="E14" s="466"/>
      <c r="F14" s="466"/>
      <c r="G14" s="466"/>
      <c r="H14" s="466"/>
      <c r="I14" s="466"/>
    </row>
    <row r="15" spans="1:9" x14ac:dyDescent="0.3">
      <c r="C15" s="10"/>
      <c r="D15" s="10"/>
      <c r="E15" s="10"/>
      <c r="F15" s="10"/>
      <c r="G15" s="10"/>
      <c r="H15" s="10"/>
      <c r="I15" s="10"/>
    </row>
    <row r="16" spans="1:9" x14ac:dyDescent="0.3">
      <c r="A16" s="12" t="s">
        <v>459</v>
      </c>
      <c r="B16" s="481" t="s">
        <v>1142</v>
      </c>
      <c r="C16" s="481"/>
      <c r="D16" s="481"/>
      <c r="E16" s="481"/>
      <c r="F16" s="481"/>
      <c r="G16" s="481"/>
      <c r="H16" s="481"/>
      <c r="I16" s="481"/>
    </row>
    <row r="17" spans="1:9" ht="30.6" customHeight="1" x14ac:dyDescent="0.3">
      <c r="A17" s="12"/>
      <c r="B17" s="338" t="s">
        <v>1143</v>
      </c>
      <c r="C17" s="308"/>
      <c r="D17" s="308"/>
      <c r="E17" s="308"/>
      <c r="F17" s="308"/>
      <c r="G17" s="308"/>
      <c r="H17" s="345"/>
      <c r="I17" s="41" t="str">
        <f>_xlfn.CONCAT(_xlfn.XLOOKUP("[FeesAllocation][0][FeesAllocation]",Submission!$O:$O,Submission!$H:$N,""))</f>
        <v>No</v>
      </c>
    </row>
    <row r="18" spans="1:9" x14ac:dyDescent="0.3">
      <c r="B18" s="467" t="s">
        <v>1144</v>
      </c>
      <c r="C18" s="467"/>
      <c r="D18" s="467"/>
      <c r="E18" s="467"/>
      <c r="F18" s="467"/>
      <c r="G18" s="467"/>
      <c r="H18" s="467"/>
      <c r="I18" s="467"/>
    </row>
    <row r="19" spans="1:9" x14ac:dyDescent="0.3">
      <c r="C19" s="435" t="s">
        <v>1145</v>
      </c>
      <c r="D19" s="436"/>
      <c r="E19" s="436"/>
      <c r="F19" s="437"/>
      <c r="G19" s="435" t="s">
        <v>1146</v>
      </c>
      <c r="H19" s="436"/>
      <c r="I19" s="437"/>
    </row>
    <row r="20" spans="1:9" x14ac:dyDescent="0.3">
      <c r="C20" s="468" t="s">
        <v>1147</v>
      </c>
      <c r="D20" s="469"/>
      <c r="E20" s="469"/>
      <c r="F20" s="470"/>
      <c r="G20" s="507" t="str">
        <f>_xlfn.CONCAT(_xlfn.XLOOKUP("[S08_FeesAllocationDetail][1][FeeAmount]",Submission!$O:$O,Submission!$H:$N,""))</f>
        <v/>
      </c>
      <c r="H20" s="508"/>
      <c r="I20" s="509"/>
    </row>
    <row r="21" spans="1:9" x14ac:dyDescent="0.3">
      <c r="C21" s="468" t="s">
        <v>1148</v>
      </c>
      <c r="D21" s="469"/>
      <c r="E21" s="469"/>
      <c r="F21" s="470"/>
      <c r="G21" s="507" t="str">
        <f>_xlfn.CONCAT(_xlfn.XLOOKUP("[S08_FeesAllocationDetail][2][FeeAmount]",Submission!$O:$O,Submission!$H:$N,""))</f>
        <v/>
      </c>
      <c r="H21" s="508"/>
      <c r="I21" s="509"/>
    </row>
    <row r="22" spans="1:9" x14ac:dyDescent="0.3">
      <c r="C22" s="468" t="s">
        <v>697</v>
      </c>
      <c r="D22" s="469"/>
      <c r="E22" s="255" t="str">
        <f>_xlfn.CONCAT(_xlfn.XLOOKUP("[S08_FeesAllocationDetail][3][FeeOther]",Submission!$O:$O,Submission!$H:$N,""))</f>
        <v/>
      </c>
      <c r="F22" s="256"/>
      <c r="G22" s="507" t="str">
        <f>_xlfn.CONCAT(_xlfn.XLOOKUP("[S08_FeesAllocationDetail][3][FeeAmount]",Submission!$O:$O,Submission!$H:$N,""))</f>
        <v/>
      </c>
      <c r="H22" s="508"/>
      <c r="I22" s="509"/>
    </row>
    <row r="23" spans="1:9" hidden="1" outlineLevel="1" x14ac:dyDescent="0.3">
      <c r="C23" s="468" t="s">
        <v>1149</v>
      </c>
      <c r="D23" s="469"/>
      <c r="E23" s="255" t="str">
        <f>_xlfn.CONCAT(_xlfn.XLOOKUP("[S08_FeesAllocationDetail][4][FeeOther]",Submission!$O:$O,Submission!$H:$N,""))</f>
        <v/>
      </c>
      <c r="F23" s="256"/>
      <c r="G23" s="507" t="str">
        <f>_xlfn.CONCAT(_xlfn.XLOOKUP("[S08_FeesAllocationDetail][4][FeeAmount]",Submission!$O:$O,Submission!$H:$N,""))</f>
        <v/>
      </c>
      <c r="H23" s="508"/>
      <c r="I23" s="509"/>
    </row>
    <row r="24" spans="1:9" hidden="1" outlineLevel="1" x14ac:dyDescent="0.3">
      <c r="C24" s="468" t="s">
        <v>1150</v>
      </c>
      <c r="D24" s="469"/>
      <c r="E24" s="255" t="str">
        <f>_xlfn.CONCAT(_xlfn.XLOOKUP("[S08_FeesAllocationDetail][5][FeeOther]",Submission!$O:$O,Submission!$H:$N,""))</f>
        <v/>
      </c>
      <c r="F24" s="256"/>
      <c r="G24" s="507" t="str">
        <f>_xlfn.CONCAT(_xlfn.XLOOKUP("[S08_FeesAllocationDetail][5][FeeAmount]",Submission!$O:$O,Submission!$H:$N,""))</f>
        <v/>
      </c>
      <c r="H24" s="508"/>
      <c r="I24" s="509"/>
    </row>
    <row r="25" spans="1:9" hidden="1" outlineLevel="1" x14ac:dyDescent="0.3">
      <c r="C25" s="468" t="s">
        <v>1151</v>
      </c>
      <c r="D25" s="469"/>
      <c r="E25" s="255" t="str">
        <f>_xlfn.CONCAT(_xlfn.XLOOKUP("[S08_FeesAllocationDetail][6][FeeOther]",Submission!$O:$O,Submission!$H:$N,""))</f>
        <v/>
      </c>
      <c r="F25" s="256"/>
      <c r="G25" s="507" t="str">
        <f>_xlfn.CONCAT(_xlfn.XLOOKUP("[S08_FeesAllocationDetail][6][FeeAmount]",Submission!$O:$O,Submission!$H:$N,""))</f>
        <v/>
      </c>
      <c r="H25" s="508"/>
      <c r="I25" s="509"/>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81" t="s">
        <v>1152</v>
      </c>
      <c r="C28" s="481"/>
      <c r="D28" s="481"/>
      <c r="E28" s="481"/>
      <c r="F28" s="481"/>
      <c r="G28" s="481"/>
      <c r="H28" s="481"/>
      <c r="I28" s="481"/>
    </row>
    <row r="29" spans="1:9" ht="28.5" customHeight="1" x14ac:dyDescent="0.3">
      <c r="A29" s="12"/>
      <c r="B29" s="338" t="s">
        <v>1153</v>
      </c>
      <c r="C29" s="308"/>
      <c r="D29" s="308"/>
      <c r="E29" s="308"/>
      <c r="F29" s="308"/>
      <c r="G29" s="308"/>
      <c r="H29" s="345"/>
      <c r="I29" s="41" t="str">
        <f>_xlfn.CONCAT(_xlfn.XLOOKUP("[ITforAllocationData][0][ITforAllocationData]",Submission!$O:$O,Submission!$H:$N,""))</f>
        <v>No</v>
      </c>
    </row>
    <row r="31" spans="1:9" x14ac:dyDescent="0.3">
      <c r="A31" s="12" t="s">
        <v>468</v>
      </c>
      <c r="B31" s="338" t="s">
        <v>1154</v>
      </c>
      <c r="C31" s="308"/>
      <c r="D31" s="308"/>
      <c r="E31" s="308"/>
      <c r="F31" s="308"/>
      <c r="G31" s="308"/>
      <c r="H31" s="308"/>
      <c r="I31" s="308"/>
    </row>
    <row r="32" spans="1:9" x14ac:dyDescent="0.3">
      <c r="C32" s="330"/>
      <c r="D32" s="331"/>
      <c r="E32" s="331"/>
      <c r="F32" s="516"/>
      <c r="G32" s="314" t="s">
        <v>1045</v>
      </c>
      <c r="H32" s="333"/>
      <c r="I32" s="334"/>
    </row>
    <row r="33" spans="1:9" ht="27.6" customHeight="1" x14ac:dyDescent="0.3">
      <c r="C33" s="314" t="s">
        <v>1155</v>
      </c>
      <c r="D33" s="333"/>
      <c r="E33" s="333"/>
      <c r="F33" s="334"/>
      <c r="G33" s="474" t="str">
        <f>_xlfn.CONCAT(_xlfn.XLOOKUP("[S08_RenunciationSuspensionAllowances][1][NumberOfInstallations]",Submission!$O:$O,Submission!$H:$N,""))</f>
        <v>0</v>
      </c>
      <c r="H33" s="475"/>
      <c r="I33" s="476"/>
    </row>
    <row r="34" spans="1:9" ht="28.95" customHeight="1" x14ac:dyDescent="0.3">
      <c r="C34" s="314" t="s">
        <v>1156</v>
      </c>
      <c r="D34" s="333"/>
      <c r="E34" s="333"/>
      <c r="F34" s="334"/>
      <c r="G34" s="474" t="str">
        <f>_xlfn.CONCAT(_xlfn.XLOOKUP("[S08_RenunciationSuspensionAllowances][2][NumberOfInstallations]",Submission!$O:$O,Submission!$H:$N,""))</f>
        <v>24</v>
      </c>
      <c r="H34" s="475"/>
      <c r="I34" s="476"/>
    </row>
    <row r="35" spans="1:9" ht="27" customHeight="1" x14ac:dyDescent="0.3">
      <c r="C35" s="314" t="s">
        <v>1157</v>
      </c>
      <c r="D35" s="333"/>
      <c r="E35" s="333"/>
      <c r="F35" s="334"/>
      <c r="G35" s="474" t="str">
        <f>_xlfn.CONCAT(_xlfn.XLOOKUP("[S08_RenunciationSuspensionAllowances][3][NumberOfInstallations]",Submission!$O:$O,Submission!$H:$N,""))</f>
        <v>0</v>
      </c>
      <c r="H35" s="475"/>
      <c r="I35" s="476"/>
    </row>
    <row r="37" spans="1:9" ht="33.6" customHeight="1" x14ac:dyDescent="0.3">
      <c r="A37" s="12" t="s">
        <v>472</v>
      </c>
      <c r="B37" s="338" t="s">
        <v>1158</v>
      </c>
      <c r="C37" s="308"/>
      <c r="D37" s="308"/>
      <c r="E37" s="308"/>
      <c r="F37" s="308"/>
      <c r="G37" s="308"/>
      <c r="H37" s="345"/>
      <c r="I37" s="41" t="str">
        <f>_xlfn.CONCAT(_xlfn.XLOOKUP("[SubInstallationBenchmark61][0][SubInstallationBenchmark61]",Submission!$O:$O,Submission!$H:$N,""))</f>
        <v>No</v>
      </c>
    </row>
    <row r="38" spans="1:9" x14ac:dyDescent="0.3">
      <c r="B38" s="467" t="s">
        <v>1159</v>
      </c>
      <c r="C38" s="467"/>
      <c r="D38" s="467"/>
      <c r="E38" s="467"/>
      <c r="F38" s="467"/>
      <c r="G38" s="467"/>
      <c r="H38" s="467"/>
      <c r="I38" s="467"/>
    </row>
    <row r="39" spans="1:9" x14ac:dyDescent="0.3">
      <c r="C39" s="501" t="s">
        <v>1160</v>
      </c>
      <c r="D39" s="502"/>
      <c r="E39" s="502"/>
      <c r="F39" s="503"/>
      <c r="G39" s="501" t="s">
        <v>1161</v>
      </c>
      <c r="H39" s="502"/>
      <c r="I39" s="503"/>
    </row>
    <row r="40" spans="1:9" x14ac:dyDescent="0.3">
      <c r="C40" s="471" t="str">
        <f>_xlfn.CONCAT(_xlfn.XLOOKUP("[S08_SubInstallationBenchmark61Detail][1][FuelBenchmark]",Submission!$O:$O,Submission!$H:$N,""))</f>
        <v/>
      </c>
      <c r="D40" s="472"/>
      <c r="E40" s="472"/>
      <c r="F40" s="473"/>
      <c r="G40" s="471" t="str">
        <f>_xlfn.CONCAT(_xlfn.XLOOKUP("[S08_SubInstallationBenchmark61Detail][1][HeatBenchmark]",Submission!$O:$O,Submission!$H:$N,""))</f>
        <v/>
      </c>
      <c r="H40" s="472"/>
      <c r="I40" s="473"/>
    </row>
    <row r="42" spans="1:9" ht="30.6" customHeight="1" x14ac:dyDescent="0.3">
      <c r="B42" s="338" t="s">
        <v>1162</v>
      </c>
      <c r="C42" s="308"/>
      <c r="D42" s="308"/>
      <c r="E42" s="308"/>
      <c r="F42" s="308"/>
      <c r="G42" s="308"/>
      <c r="H42" s="345"/>
      <c r="I42" s="41" t="str">
        <f>_xlfn.CONCAT(_xlfn.XLOOKUP("[SubInstallationBenchmark61Reject][0][SubInstallationBenchmark61Reject]",Submission!$O:$O,Submission!$H:$N,""))</f>
        <v>No</v>
      </c>
    </row>
    <row r="43" spans="1:9" x14ac:dyDescent="0.3">
      <c r="B43" s="467" t="s">
        <v>1163</v>
      </c>
      <c r="C43" s="467"/>
      <c r="D43" s="467"/>
      <c r="E43" s="467"/>
      <c r="F43" s="467"/>
      <c r="G43" s="467"/>
      <c r="H43" s="467"/>
      <c r="I43" s="467"/>
    </row>
    <row r="44" spans="1:9" x14ac:dyDescent="0.3">
      <c r="C44" s="435" t="s">
        <v>1160</v>
      </c>
      <c r="D44" s="436"/>
      <c r="E44" s="436"/>
      <c r="F44" s="437"/>
      <c r="G44" s="435" t="s">
        <v>1161</v>
      </c>
      <c r="H44" s="436"/>
      <c r="I44" s="437"/>
    </row>
    <row r="45" spans="1:9" x14ac:dyDescent="0.3">
      <c r="C45" s="471" t="str">
        <f>_xlfn.CONCAT(_xlfn.XLOOKUP("[S08_SubInstallationBenchmark61RejectDetail][1][FuelBenchmark]",Submission!$O:$O,Submission!$H:$N,""))</f>
        <v/>
      </c>
      <c r="D45" s="472"/>
      <c r="E45" s="472"/>
      <c r="F45" s="473"/>
      <c r="G45" s="471" t="str">
        <f>_xlfn.CONCAT(_xlfn.XLOOKUP("[S08_SubInstallationBenchmark61RejectDetail][1][HeatBenchmark]",Submission!$O:$O,Submission!$H:$N,""))</f>
        <v/>
      </c>
      <c r="H45" s="472"/>
      <c r="I45" s="473"/>
    </row>
    <row r="47" spans="1:9" ht="31.2" customHeight="1" x14ac:dyDescent="0.3">
      <c r="B47" s="338" t="s">
        <v>1164</v>
      </c>
      <c r="C47" s="308"/>
      <c r="D47" s="308"/>
      <c r="E47" s="308"/>
      <c r="F47" s="308"/>
      <c r="G47" s="308"/>
      <c r="H47" s="345"/>
      <c r="I47" s="41" t="str">
        <f>_xlfn.CONCAT(_xlfn.XLOOKUP("[SubInstallationBenchmark62][0][SubInstallationBenchmark62]",Submission!$O:$O,Submission!$H:$N,""))</f>
        <v>No</v>
      </c>
    </row>
    <row r="48" spans="1:9" x14ac:dyDescent="0.3">
      <c r="B48" s="467" t="s">
        <v>1159</v>
      </c>
      <c r="C48" s="467"/>
      <c r="D48" s="467"/>
      <c r="E48" s="467"/>
      <c r="F48" s="467"/>
      <c r="G48" s="467"/>
      <c r="H48" s="467"/>
      <c r="I48" s="467"/>
    </row>
    <row r="49" spans="1:9" x14ac:dyDescent="0.3">
      <c r="C49" s="435" t="s">
        <v>1160</v>
      </c>
      <c r="D49" s="436"/>
      <c r="E49" s="436"/>
      <c r="F49" s="437"/>
      <c r="G49" s="435" t="s">
        <v>1161</v>
      </c>
      <c r="H49" s="436"/>
      <c r="I49" s="437"/>
    </row>
    <row r="50" spans="1:9" x14ac:dyDescent="0.3">
      <c r="C50" s="471" t="str">
        <f>_xlfn.CONCAT(_xlfn.XLOOKUP("[S08_SubInstallationBenchmark62Detail][1][FuelBenchmark]",Submission!$O:$O,Submission!$H:$N,""))</f>
        <v/>
      </c>
      <c r="D50" s="472"/>
      <c r="E50" s="472"/>
      <c r="F50" s="473"/>
      <c r="G50" s="471" t="str">
        <f>_xlfn.CONCAT(_xlfn.XLOOKUP("[S08_SubInstallationBenchmark62Detail][1][HeatBenchmark]",Submission!$O:$O,Submission!$H:$N,""))</f>
        <v/>
      </c>
      <c r="H50" s="472"/>
      <c r="I50" s="473"/>
    </row>
    <row r="52" spans="1:9" x14ac:dyDescent="0.3">
      <c r="A52" s="12" t="s">
        <v>478</v>
      </c>
      <c r="B52" s="338" t="s">
        <v>1165</v>
      </c>
      <c r="C52" s="308"/>
      <c r="D52" s="308"/>
      <c r="E52" s="308"/>
      <c r="F52" s="308"/>
      <c r="G52" s="308"/>
      <c r="H52" s="308"/>
      <c r="I52" s="308"/>
    </row>
    <row r="53" spans="1:9" x14ac:dyDescent="0.3">
      <c r="C53" s="269" t="s">
        <v>1166</v>
      </c>
      <c r="D53" s="499"/>
      <c r="E53" s="499"/>
      <c r="F53" s="500"/>
      <c r="G53" s="269" t="s">
        <v>1045</v>
      </c>
      <c r="H53" s="499"/>
      <c r="I53" s="500"/>
    </row>
    <row r="54" spans="1:9" ht="29.4" customHeight="1" x14ac:dyDescent="0.3">
      <c r="C54" s="249" t="s">
        <v>1167</v>
      </c>
      <c r="D54" s="272"/>
      <c r="E54" s="272"/>
      <c r="F54" s="273"/>
      <c r="G54" s="474" t="str">
        <f>_xlfn.CONCAT(_xlfn.XLOOKUP("[S08_ScopeExclusion][1][NumberOfInstallations]",Submission!$O:$O,Submission!$H:$N,""))</f>
        <v/>
      </c>
      <c r="H54" s="475"/>
      <c r="I54" s="476"/>
    </row>
    <row r="55" spans="1:9" ht="29.4" customHeight="1" x14ac:dyDescent="0.3">
      <c r="C55" s="249" t="s">
        <v>1168</v>
      </c>
      <c r="D55" s="272"/>
      <c r="E55" s="272"/>
      <c r="F55" s="273"/>
      <c r="G55" s="474" t="str">
        <f>_xlfn.CONCAT(_xlfn.XLOOKUP("[S08_ScopeExclusion][2][NumberOfInstallations]",Submission!$O:$O,Submission!$H:$N,""))</f>
        <v/>
      </c>
      <c r="H55" s="475"/>
      <c r="I55" s="476"/>
    </row>
    <row r="56" spans="1:9" ht="29.4" customHeight="1" x14ac:dyDescent="0.3">
      <c r="C56" s="249" t="s">
        <v>1169</v>
      </c>
      <c r="D56" s="272"/>
      <c r="E56" s="272"/>
      <c r="F56" s="273"/>
      <c r="G56" s="474" t="str">
        <f>_xlfn.CONCAT(_xlfn.XLOOKUP("[S08_ScopeExclusion][3][NumberOfInstallations]",Submission!$O:$O,Submission!$H:$N,""))</f>
        <v/>
      </c>
      <c r="H56" s="475"/>
      <c r="I56" s="476"/>
    </row>
    <row r="57" spans="1:9" ht="29.4" customHeight="1" x14ac:dyDescent="0.3">
      <c r="C57" s="249" t="s">
        <v>1170</v>
      </c>
      <c r="D57" s="272"/>
      <c r="E57" s="272"/>
      <c r="F57" s="273"/>
      <c r="G57" s="474" t="str">
        <f>_xlfn.CONCAT(_xlfn.XLOOKUP("[S08_ScopeExclusion][4][NumberOfInstallations]",Submission!$O:$O,Submission!$H:$N,""))</f>
        <v/>
      </c>
      <c r="H57" s="475"/>
      <c r="I57" s="476"/>
    </row>
    <row r="58" spans="1:9" ht="29.4" customHeight="1" x14ac:dyDescent="0.3">
      <c r="C58" s="249" t="s">
        <v>1171</v>
      </c>
      <c r="D58" s="272"/>
      <c r="E58" s="272"/>
      <c r="F58" s="273"/>
      <c r="G58" s="474" t="str">
        <f>_xlfn.CONCAT(_xlfn.XLOOKUP("[S08_ScopeExclusion][5][NumberOfInstallations]",Submission!$O:$O,Submission!$H:$N,""))</f>
        <v/>
      </c>
      <c r="H58" s="475"/>
      <c r="I58" s="476"/>
    </row>
    <row r="59" spans="1:9" ht="29.4" customHeight="1" x14ac:dyDescent="0.3">
      <c r="C59" s="249" t="s">
        <v>1172</v>
      </c>
      <c r="D59" s="273"/>
      <c r="E59" s="258" t="str">
        <f>_xlfn.CONCAT(_xlfn.XLOOKUP("[S08_ScopeExclusion][6][OtherReasons]",Submission!$O:$O,Submission!$H:$N,""))</f>
        <v/>
      </c>
      <c r="F59" s="260"/>
      <c r="G59" s="474" t="str">
        <f>_xlfn.CONCAT(_xlfn.XLOOKUP("[S08_ScopeExclusion][6][NumberOfInstallations]",Submission!$O:$O,Submission!$H:$N,""))</f>
        <v/>
      </c>
      <c r="H59" s="475"/>
      <c r="I59" s="476"/>
    </row>
    <row r="60" spans="1:9" ht="29.4" hidden="1" customHeight="1" outlineLevel="1" x14ac:dyDescent="0.3">
      <c r="C60" s="249" t="s">
        <v>1173</v>
      </c>
      <c r="D60" s="273"/>
      <c r="E60" s="255" t="str">
        <f>_xlfn.CONCAT(_xlfn.XLOOKUP("[S08_ScopeExclusion][7][OtherReasons]",Submission!$O:$O,Submission!$H:$N,""))</f>
        <v/>
      </c>
      <c r="F60" s="256"/>
      <c r="G60" s="507" t="str">
        <f>_xlfn.CONCAT(_xlfn.XLOOKUP("[S08_ScopeExclusion][7][NumberOfInstallations]",Submission!$O:$O,Submission!$H:$N,""))</f>
        <v/>
      </c>
      <c r="H60" s="508"/>
      <c r="I60" s="509"/>
    </row>
    <row r="61" spans="1:9" ht="29.4" hidden="1" customHeight="1" outlineLevel="1" x14ac:dyDescent="0.3">
      <c r="C61" s="249" t="s">
        <v>1174</v>
      </c>
      <c r="D61" s="273"/>
      <c r="E61" s="255" t="str">
        <f>_xlfn.CONCAT(_xlfn.XLOOKUP("[S08_ScopeExclusion][8][OtherReasons]",Submission!$O:$O,Submission!$H:$N,""))</f>
        <v/>
      </c>
      <c r="F61" s="256"/>
      <c r="G61" s="507" t="str">
        <f>_xlfn.CONCAT(_xlfn.XLOOKUP("[S08_ScopeExclusion][8][NumberOfInstallations]",Submission!$O:$O,Submission!$H:$N,""))</f>
        <v/>
      </c>
      <c r="H61" s="508"/>
      <c r="I61" s="509"/>
    </row>
    <row r="62" spans="1:9" ht="29.4" hidden="1" customHeight="1" outlineLevel="1" x14ac:dyDescent="0.3">
      <c r="C62" s="249" t="s">
        <v>1175</v>
      </c>
      <c r="D62" s="273"/>
      <c r="E62" s="255" t="str">
        <f>_xlfn.CONCAT(_xlfn.XLOOKUP("[S08_ScopeExclusion][9][OtherReasons]",Submission!$O:$O,Submission!$H:$N,""))</f>
        <v/>
      </c>
      <c r="F62" s="256"/>
      <c r="G62" s="507" t="str">
        <f>_xlfn.CONCAT(_xlfn.XLOOKUP("[S08_ScopeExclusion][9][NumberOfInstallations]",Submission!$O:$O,Submission!$H:$N,""))</f>
        <v/>
      </c>
      <c r="H62" s="508"/>
      <c r="I62" s="509"/>
    </row>
    <row r="63" spans="1:9" collapsed="1" x14ac:dyDescent="0.3">
      <c r="B63" s="26" t="s">
        <v>1000</v>
      </c>
    </row>
    <row r="65" spans="1:9" ht="15.6" customHeight="1" x14ac:dyDescent="0.3">
      <c r="A65" s="12" t="s">
        <v>481</v>
      </c>
      <c r="B65" s="338" t="s">
        <v>1176</v>
      </c>
      <c r="C65" s="308"/>
      <c r="D65" s="308"/>
      <c r="E65" s="308"/>
      <c r="F65" s="308"/>
      <c r="G65" s="308"/>
      <c r="H65" s="345"/>
      <c r="I65" s="41" t="str">
        <f>_xlfn.CONCAT(_xlfn.XLOOKUP("[Article10cApplied][0][Article10cApplied]",Submission!$O:$O,Submission!$H:$N,""))</f>
        <v>No</v>
      </c>
    </row>
    <row r="66" spans="1:9" x14ac:dyDescent="0.3">
      <c r="B66" s="467" t="s">
        <v>1177</v>
      </c>
      <c r="C66" s="467"/>
      <c r="D66" s="467"/>
      <c r="E66" s="467"/>
      <c r="F66" s="467"/>
      <c r="G66" s="467"/>
      <c r="H66" s="467"/>
      <c r="I66" s="467"/>
    </row>
    <row r="67" spans="1:9" x14ac:dyDescent="0.3">
      <c r="C67" s="504"/>
      <c r="D67" s="505"/>
      <c r="E67" s="505"/>
      <c r="F67" s="506"/>
      <c r="G67" s="435" t="s">
        <v>1178</v>
      </c>
      <c r="H67" s="436"/>
      <c r="I67" s="437"/>
    </row>
    <row r="68" spans="1:9" x14ac:dyDescent="0.3">
      <c r="C68" s="266" t="s">
        <v>1179</v>
      </c>
      <c r="D68" s="267"/>
      <c r="E68" s="267"/>
      <c r="F68" s="268"/>
      <c r="G68" s="471" t="str">
        <f>_xlfn.CONCAT(_xlfn.XLOOKUP("[S08_Article10cAppliedDetail][1][NumberOfAllowances]",Submission!$O:$O,Submission!$H:$N,""))</f>
        <v/>
      </c>
      <c r="H68" s="472"/>
      <c r="I68" s="473"/>
    </row>
    <row r="69" spans="1:9" x14ac:dyDescent="0.3">
      <c r="C69" s="266" t="s">
        <v>2206</v>
      </c>
      <c r="D69" s="267"/>
      <c r="E69" s="267"/>
      <c r="F69" s="268"/>
      <c r="G69" s="471" t="str">
        <f>_xlfn.CONCAT(_xlfn.XLOOKUP("[S08_Article10cAppliedDetail][2][NumberOfAllowances]",Submission!$O:$O,Submission!$H:$N,""))</f>
        <v/>
      </c>
      <c r="H69" s="472"/>
      <c r="I69" s="473"/>
    </row>
    <row r="71" spans="1:9" s="7" customFormat="1" ht="18.899999999999999" customHeight="1" x14ac:dyDescent="0.35">
      <c r="A71" s="85" t="s">
        <v>486</v>
      </c>
      <c r="B71" s="310" t="s">
        <v>1180</v>
      </c>
      <c r="C71" s="310"/>
      <c r="D71" s="310"/>
      <c r="E71" s="310"/>
      <c r="F71" s="310"/>
      <c r="G71" s="310"/>
      <c r="H71" s="310"/>
      <c r="I71" s="311"/>
    </row>
    <row r="72" spans="1:9" ht="13.5" customHeight="1" x14ac:dyDescent="0.3">
      <c r="A72" s="12" t="s">
        <v>488</v>
      </c>
      <c r="B72" s="481" t="s">
        <v>1181</v>
      </c>
      <c r="C72" s="481"/>
      <c r="D72" s="481"/>
      <c r="E72" s="481"/>
      <c r="F72" s="481"/>
      <c r="G72" s="481"/>
      <c r="H72" s="481"/>
      <c r="I72" s="481"/>
    </row>
    <row r="73" spans="1:9" ht="19.95" customHeight="1" x14ac:dyDescent="0.3">
      <c r="A73" s="12"/>
      <c r="B73" s="338" t="s">
        <v>1182</v>
      </c>
      <c r="C73" s="308"/>
      <c r="D73" s="308"/>
      <c r="E73" s="308"/>
      <c r="F73" s="308"/>
      <c r="G73" s="308"/>
      <c r="H73" s="308"/>
      <c r="I73" s="308"/>
    </row>
    <row r="74" spans="1:9" ht="15.9" customHeight="1" x14ac:dyDescent="0.3">
      <c r="C74" s="314" t="s">
        <v>1183</v>
      </c>
      <c r="D74" s="333"/>
      <c r="E74" s="333"/>
      <c r="F74" s="333"/>
      <c r="G74" s="334"/>
      <c r="H74" s="438" t="s">
        <v>76</v>
      </c>
      <c r="I74" s="439"/>
    </row>
    <row r="75" spans="1:9" ht="19.95" customHeight="1" x14ac:dyDescent="0.3">
      <c r="C75" s="249" t="s">
        <v>1184</v>
      </c>
      <c r="D75" s="272"/>
      <c r="E75" s="272"/>
      <c r="F75" s="272"/>
      <c r="G75" s="273"/>
      <c r="H75" s="351" t="str">
        <f>_xlfn.CONCAT(_xlfn.XLOOKUP("[S08_NegativeOpinionBaselineData][1][NumberOfInstallations]",Submission!$O:$O,Submission!$H:$N,""))</f>
        <v/>
      </c>
      <c r="I75" s="361"/>
    </row>
    <row r="76" spans="1:9" ht="19.95" customHeight="1" x14ac:dyDescent="0.3">
      <c r="C76" s="249" t="s">
        <v>1185</v>
      </c>
      <c r="D76" s="272"/>
      <c r="E76" s="272"/>
      <c r="F76" s="272"/>
      <c r="G76" s="273"/>
      <c r="H76" s="351" t="str">
        <f>_xlfn.CONCAT(_xlfn.XLOOKUP("[S08_NegativeOpinionBaselineData][2][NumberOfInstallations]",Submission!$O:$O,Submission!$H:$N,""))</f>
        <v/>
      </c>
      <c r="I76" s="361"/>
    </row>
    <row r="77" spans="1:9" ht="19.95" customHeight="1" x14ac:dyDescent="0.3">
      <c r="C77" s="249" t="s">
        <v>1186</v>
      </c>
      <c r="D77" s="272"/>
      <c r="E77" s="272"/>
      <c r="F77" s="272"/>
      <c r="G77" s="273"/>
      <c r="H77" s="351" t="str">
        <f>_xlfn.CONCAT(_xlfn.XLOOKUP("[S08_NegativeOpinionBaselineData][3][NumberOfInstallations]",Submission!$O:$O,Submission!$H:$N,""))</f>
        <v/>
      </c>
      <c r="I77" s="361"/>
    </row>
    <row r="78" spans="1:9" x14ac:dyDescent="0.3">
      <c r="B78" s="16"/>
      <c r="C78" s="19"/>
      <c r="D78" s="20"/>
      <c r="E78" s="20"/>
      <c r="F78" s="20"/>
      <c r="G78" s="20"/>
      <c r="H78" s="20"/>
      <c r="I78" s="20"/>
    </row>
    <row r="79" spans="1:9" ht="13.5" customHeight="1" x14ac:dyDescent="0.3">
      <c r="A79" s="12" t="s">
        <v>493</v>
      </c>
      <c r="B79" s="481" t="s">
        <v>1187</v>
      </c>
      <c r="C79" s="481"/>
      <c r="D79" s="481"/>
      <c r="E79" s="481"/>
      <c r="F79" s="481"/>
      <c r="G79" s="481"/>
      <c r="H79" s="481"/>
      <c r="I79" s="481"/>
    </row>
    <row r="80" spans="1:9" ht="33.6" customHeight="1" x14ac:dyDescent="0.3">
      <c r="A80" s="12"/>
      <c r="B80" s="338" t="s">
        <v>1188</v>
      </c>
      <c r="C80" s="308"/>
      <c r="D80" s="308"/>
      <c r="E80" s="308"/>
      <c r="F80" s="308"/>
      <c r="G80" s="308"/>
      <c r="H80" s="345"/>
      <c r="I80" s="41" t="str">
        <f>_xlfn.CONCAT(_xlfn.XLOOKUP("[BaselineDataIssues][0][BaselineDataIssues]",Submission!$O:$O,Submission!$H:$N,""))</f>
        <v>No</v>
      </c>
    </row>
    <row r="81" spans="2:9" x14ac:dyDescent="0.3">
      <c r="B81" s="467" t="s">
        <v>1043</v>
      </c>
      <c r="C81" s="467"/>
      <c r="D81" s="467"/>
      <c r="E81" s="467"/>
      <c r="F81" s="467"/>
      <c r="G81" s="467"/>
      <c r="H81" s="467"/>
      <c r="I81" s="467"/>
    </row>
    <row r="82" spans="2:9" ht="96.6" customHeight="1" x14ac:dyDescent="0.3">
      <c r="C82" s="435" t="s">
        <v>879</v>
      </c>
      <c r="D82" s="437"/>
      <c r="E82" s="43" t="s">
        <v>1044</v>
      </c>
      <c r="F82" s="43" t="s">
        <v>1045</v>
      </c>
      <c r="G82" s="43" t="s">
        <v>1046</v>
      </c>
      <c r="H82" s="314" t="s">
        <v>1189</v>
      </c>
      <c r="I82" s="334"/>
    </row>
    <row r="83" spans="2:9" ht="43.95" customHeight="1" x14ac:dyDescent="0.3">
      <c r="C83" s="258" t="str">
        <f>_xlfn.CONCAT(_xlfn.XLOOKUP("[S08_BaselineDataIssuesDetail][1][AnnexIActivity]",Submission!$O:$O,Submission!$H:$N,""))</f>
        <v/>
      </c>
      <c r="D83" s="260"/>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61" t="str">
        <f>_xlfn.CONCAT(_xlfn.XLOOKUP("[S08_BaselineDataIssuesDetail][1][NumberOfInstallationsArt152]",Submission!$O:$O,Submission!$H:$N,""))</f>
        <v/>
      </c>
      <c r="I83" s="462"/>
    </row>
    <row r="84" spans="2:9" ht="43.95" customHeight="1" x14ac:dyDescent="0.3">
      <c r="C84" s="258" t="str">
        <f>_xlfn.CONCAT(_xlfn.XLOOKUP("[S08_BaselineDataIssuesDetail][2][AnnexIActivity]",Submission!$O:$O,Submission!$H:$N,""))</f>
        <v/>
      </c>
      <c r="D84" s="260"/>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61" t="str">
        <f>_xlfn.CONCAT(_xlfn.XLOOKUP("[S08_BaselineDataIssuesDetail][2][NumberOfInstallationsArt152]",Submission!$O:$O,Submission!$H:$N,""))</f>
        <v/>
      </c>
      <c r="I84" s="462"/>
    </row>
    <row r="85" spans="2:9" ht="43.95" customHeight="1" x14ac:dyDescent="0.3">
      <c r="C85" s="258" t="str">
        <f>_xlfn.CONCAT(_xlfn.XLOOKUP("[S08_BaselineDataIssuesDetail][3][AnnexIActivity]",Submission!$O:$O,Submission!$H:$N,""))</f>
        <v/>
      </c>
      <c r="D85" s="260"/>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61" t="str">
        <f>_xlfn.CONCAT(_xlfn.XLOOKUP("[S08_BaselineDataIssuesDetail][3][NumberOfInstallationsArt152]",Submission!$O:$O,Submission!$H:$N,""))</f>
        <v/>
      </c>
      <c r="I85" s="462"/>
    </row>
    <row r="86" spans="2:9" ht="43.95" customHeight="1" x14ac:dyDescent="0.3">
      <c r="C86" s="258" t="str">
        <f>_xlfn.CONCAT(_xlfn.XLOOKUP("[S08_BaselineDataIssuesDetail][4][AnnexIActivity]",Submission!$O:$O,Submission!$H:$N,""))</f>
        <v/>
      </c>
      <c r="D86" s="260"/>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61" t="str">
        <f>_xlfn.CONCAT(_xlfn.XLOOKUP("[S08_BaselineDataIssuesDetail][4][NumberOfInstallationsArt152]",Submission!$O:$O,Submission!$H:$N,""))</f>
        <v/>
      </c>
      <c r="I86" s="462"/>
    </row>
    <row r="87" spans="2:9" ht="43.95" customHeight="1" x14ac:dyDescent="0.3">
      <c r="C87" s="258" t="str">
        <f>_xlfn.CONCAT(_xlfn.XLOOKUP("[S08_BaselineDataIssuesDetail][5][AnnexIActivity]",Submission!$O:$O,Submission!$H:$N,""))</f>
        <v/>
      </c>
      <c r="D87" s="260"/>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61" t="str">
        <f>_xlfn.CONCAT(_xlfn.XLOOKUP("[S08_BaselineDataIssuesDetail][5][NumberOfInstallationsArt152]",Submission!$O:$O,Submission!$H:$N,""))</f>
        <v/>
      </c>
      <c r="I87" s="462"/>
    </row>
    <row r="88" spans="2:9" ht="43.95" customHeight="1" x14ac:dyDescent="0.3">
      <c r="C88" s="258" t="str">
        <f>_xlfn.CONCAT(_xlfn.XLOOKUP("[S08_BaselineDataIssuesDetail][6][AnnexIActivity]",Submission!$O:$O,Submission!$H:$N,""))</f>
        <v/>
      </c>
      <c r="D88" s="260"/>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61" t="str">
        <f>_xlfn.CONCAT(_xlfn.XLOOKUP("[S08_BaselineDataIssuesDetail][6][NumberOfInstallationsArt152]",Submission!$O:$O,Submission!$H:$N,""))</f>
        <v/>
      </c>
      <c r="I88" s="462"/>
    </row>
    <row r="89" spans="2:9" ht="43.95" customHeight="1" x14ac:dyDescent="0.3">
      <c r="C89" s="258" t="str">
        <f>_xlfn.CONCAT(_xlfn.XLOOKUP("[S08_BaselineDataIssuesDetail][7][AnnexIActivity]",Submission!$O:$O,Submission!$H:$N,""))</f>
        <v/>
      </c>
      <c r="D89" s="260"/>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61" t="str">
        <f>_xlfn.CONCAT(_xlfn.XLOOKUP("[S08_BaselineDataIssuesDetail][7][NumberOfInstallationsArt152]",Submission!$O:$O,Submission!$H:$N,""))</f>
        <v/>
      </c>
      <c r="I89" s="462"/>
    </row>
    <row r="90" spans="2:9" ht="43.95" customHeight="1" x14ac:dyDescent="0.3">
      <c r="C90" s="258" t="str">
        <f>_xlfn.CONCAT(_xlfn.XLOOKUP("[S08_BaselineDataIssuesDetail][8][AnnexIActivity]",Submission!$O:$O,Submission!$H:$N,""))</f>
        <v/>
      </c>
      <c r="D90" s="260"/>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61" t="str">
        <f>_xlfn.CONCAT(_xlfn.XLOOKUP("[S08_BaselineDataIssuesDetail][8][NumberOfInstallationsArt152]",Submission!$O:$O,Submission!$H:$N,""))</f>
        <v/>
      </c>
      <c r="I90" s="462"/>
    </row>
    <row r="91" spans="2:9" ht="43.95" customHeight="1" x14ac:dyDescent="0.3">
      <c r="C91" s="258" t="str">
        <f>_xlfn.CONCAT(_xlfn.XLOOKUP("[S08_BaselineDataIssuesDetail][9][AnnexIActivity]",Submission!$O:$O,Submission!$H:$N,""))</f>
        <v/>
      </c>
      <c r="D91" s="260"/>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61" t="str">
        <f>_xlfn.CONCAT(_xlfn.XLOOKUP("[S08_BaselineDataIssuesDetail][9][NumberOfInstallationsArt152]",Submission!$O:$O,Submission!$H:$N,""))</f>
        <v/>
      </c>
      <c r="I91" s="462"/>
    </row>
    <row r="92" spans="2:9" ht="43.95" customHeight="1" x14ac:dyDescent="0.3">
      <c r="C92" s="258" t="str">
        <f>_xlfn.CONCAT(_xlfn.XLOOKUP("[S08_BaselineDataIssuesDetail][10][AnnexIActivity]",Submission!$O:$O,Submission!$H:$N,""))</f>
        <v/>
      </c>
      <c r="D92" s="260"/>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61" t="str">
        <f>_xlfn.CONCAT(_xlfn.XLOOKUP("[S08_BaselineDataIssuesDetail][10][NumberOfInstallationsArt152]",Submission!$O:$O,Submission!$H:$N,""))</f>
        <v/>
      </c>
      <c r="I92" s="462"/>
    </row>
    <row r="93" spans="2:9" ht="43.95" customHeight="1" x14ac:dyDescent="0.3">
      <c r="C93" s="258" t="str">
        <f>_xlfn.CONCAT(_xlfn.XLOOKUP("[S08_BaselineDataIssuesDetail][11][AnnexIActivity]",Submission!$O:$O,Submission!$H:$N,""))</f>
        <v/>
      </c>
      <c r="D93" s="260"/>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61" t="str">
        <f>_xlfn.CONCAT(_xlfn.XLOOKUP("[S08_BaselineDataIssuesDetail][11][NumberOfInstallationsArt152]",Submission!$O:$O,Submission!$H:$N,""))</f>
        <v/>
      </c>
      <c r="I93" s="462"/>
    </row>
    <row r="94" spans="2:9" ht="43.95" customHeight="1" x14ac:dyDescent="0.3">
      <c r="C94" s="258" t="str">
        <f>_xlfn.CONCAT(_xlfn.XLOOKUP("[S08_BaselineDataIssuesDetail][12][AnnexIActivity]",Submission!$O:$O,Submission!$H:$N,""))</f>
        <v/>
      </c>
      <c r="D94" s="260"/>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61" t="str">
        <f>_xlfn.CONCAT(_xlfn.XLOOKUP("[S08_BaselineDataIssuesDetail][12][NumberOfInstallationsArt152]",Submission!$O:$O,Submission!$H:$N,""))</f>
        <v/>
      </c>
      <c r="I94" s="462"/>
    </row>
    <row r="95" spans="2:9" ht="43.95" customHeight="1" x14ac:dyDescent="0.3">
      <c r="C95" s="258" t="str">
        <f>_xlfn.CONCAT(_xlfn.XLOOKUP("[S08_BaselineDataIssuesDetail][13][AnnexIActivity]",Submission!$O:$O,Submission!$H:$N,""))</f>
        <v/>
      </c>
      <c r="D95" s="260"/>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61" t="str">
        <f>_xlfn.CONCAT(_xlfn.XLOOKUP("[S08_BaselineDataIssuesDetail][13][NumberOfInstallationsArt152]",Submission!$O:$O,Submission!$H:$N,""))</f>
        <v/>
      </c>
      <c r="I95" s="462"/>
    </row>
    <row r="96" spans="2:9" ht="43.95" customHeight="1" x14ac:dyDescent="0.3">
      <c r="C96" s="258" t="str">
        <f>_xlfn.CONCAT(_xlfn.XLOOKUP("[S08_BaselineDataIssuesDetail][14][AnnexIActivity]",Submission!$O:$O,Submission!$H:$N,""))</f>
        <v/>
      </c>
      <c r="D96" s="260"/>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61" t="str">
        <f>_xlfn.CONCAT(_xlfn.XLOOKUP("[S08_BaselineDataIssuesDetail][14][NumberOfInstallationsArt152]",Submission!$O:$O,Submission!$H:$N,""))</f>
        <v/>
      </c>
      <c r="I96" s="462"/>
    </row>
    <row r="97" spans="3:9" ht="43.95" customHeight="1" x14ac:dyDescent="0.3">
      <c r="C97" s="258" t="str">
        <f>_xlfn.CONCAT(_xlfn.XLOOKUP("[S08_BaselineDataIssuesDetail][15][AnnexIActivity]",Submission!$O:$O,Submission!$H:$N,""))</f>
        <v/>
      </c>
      <c r="D97" s="260"/>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61" t="str">
        <f>_xlfn.CONCAT(_xlfn.XLOOKUP("[S08_BaselineDataIssuesDetail][15][NumberOfInstallationsArt152]",Submission!$O:$O,Submission!$H:$N,""))</f>
        <v/>
      </c>
      <c r="I97" s="462"/>
    </row>
    <row r="98" spans="3:9" ht="43.95" hidden="1" customHeight="1" outlineLevel="1" x14ac:dyDescent="0.3">
      <c r="C98" s="258" t="str">
        <f>_xlfn.CONCAT(_xlfn.XLOOKUP("[S08_BaselineDataIssuesDetail][16][AnnexIActivity]",Submission!$O:$O,Submission!$H:$N,""))</f>
        <v/>
      </c>
      <c r="D98" s="260"/>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61" t="str">
        <f>_xlfn.CONCAT(_xlfn.XLOOKUP("[S08_BaselineDataIssuesDetail][16][NumberOfInstallationsArt152]",Submission!$O:$O,Submission!$H:$N,""))</f>
        <v/>
      </c>
      <c r="I98" s="462"/>
    </row>
    <row r="99" spans="3:9" ht="43.95" hidden="1" customHeight="1" outlineLevel="1" x14ac:dyDescent="0.3">
      <c r="C99" s="258" t="str">
        <f>_xlfn.CONCAT(_xlfn.XLOOKUP("[S08_BaselineDataIssuesDetail][17][AnnexIActivity]",Submission!$O:$O,Submission!$H:$N,""))</f>
        <v/>
      </c>
      <c r="D99" s="260"/>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61" t="str">
        <f>_xlfn.CONCAT(_xlfn.XLOOKUP("[S08_BaselineDataIssuesDetail][17][NumberOfInstallationsArt152]",Submission!$O:$O,Submission!$H:$N,""))</f>
        <v/>
      </c>
      <c r="I99" s="462"/>
    </row>
    <row r="100" spans="3:9" ht="43.95" hidden="1" customHeight="1" outlineLevel="1" x14ac:dyDescent="0.3">
      <c r="C100" s="258" t="str">
        <f>_xlfn.CONCAT(_xlfn.XLOOKUP("[S08_BaselineDataIssuesDetail][18][AnnexIActivity]",Submission!$O:$O,Submission!$H:$N,""))</f>
        <v/>
      </c>
      <c r="D100" s="260"/>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61" t="str">
        <f>_xlfn.CONCAT(_xlfn.XLOOKUP("[S08_BaselineDataIssuesDetail][18][NumberOfInstallationsArt152]",Submission!$O:$O,Submission!$H:$N,""))</f>
        <v/>
      </c>
      <c r="I100" s="462"/>
    </row>
    <row r="101" spans="3:9" ht="43.95" hidden="1" customHeight="1" outlineLevel="1" x14ac:dyDescent="0.3">
      <c r="C101" s="258" t="str">
        <f>_xlfn.CONCAT(_xlfn.XLOOKUP("[S08_BaselineDataIssuesDetail][19][AnnexIActivity]",Submission!$O:$O,Submission!$H:$N,""))</f>
        <v/>
      </c>
      <c r="D101" s="260"/>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61" t="str">
        <f>_xlfn.CONCAT(_xlfn.XLOOKUP("[S08_BaselineDataIssuesDetail][19][NumberOfInstallationsArt152]",Submission!$O:$O,Submission!$H:$N,""))</f>
        <v/>
      </c>
      <c r="I101" s="462"/>
    </row>
    <row r="102" spans="3:9" ht="43.95" hidden="1" customHeight="1" outlineLevel="1" x14ac:dyDescent="0.3">
      <c r="C102" s="258" t="str">
        <f>_xlfn.CONCAT(_xlfn.XLOOKUP("[S08_BaselineDataIssuesDetail][20][AnnexIActivity]",Submission!$O:$O,Submission!$H:$N,""))</f>
        <v/>
      </c>
      <c r="D102" s="260"/>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61" t="str">
        <f>_xlfn.CONCAT(_xlfn.XLOOKUP("[S08_BaselineDataIssuesDetail][20][NumberOfInstallationsArt152]",Submission!$O:$O,Submission!$H:$N,""))</f>
        <v/>
      </c>
      <c r="I102" s="462"/>
    </row>
    <row r="103" spans="3:9" ht="43.95" hidden="1" customHeight="1" outlineLevel="1" x14ac:dyDescent="0.3">
      <c r="C103" s="258" t="str">
        <f>_xlfn.CONCAT(_xlfn.XLOOKUP("[S08_BaselineDataIssuesDetail][21][AnnexIActivity]",Submission!$O:$O,Submission!$H:$N,""))</f>
        <v/>
      </c>
      <c r="D103" s="260"/>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61" t="str">
        <f>_xlfn.CONCAT(_xlfn.XLOOKUP("[S08_BaselineDataIssuesDetail][21][NumberOfInstallationsArt152]",Submission!$O:$O,Submission!$H:$N,""))</f>
        <v/>
      </c>
      <c r="I103" s="462"/>
    </row>
    <row r="104" spans="3:9" ht="43.95" hidden="1" customHeight="1" outlineLevel="1" x14ac:dyDescent="0.3">
      <c r="C104" s="258" t="str">
        <f>_xlfn.CONCAT(_xlfn.XLOOKUP("[S08_BaselineDataIssuesDetail][22][AnnexIActivity]",Submission!$O:$O,Submission!$H:$N,""))</f>
        <v/>
      </c>
      <c r="D104" s="260"/>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61" t="str">
        <f>_xlfn.CONCAT(_xlfn.XLOOKUP("[S08_BaselineDataIssuesDetail][22][NumberOfInstallationsArt152]",Submission!$O:$O,Submission!$H:$N,""))</f>
        <v/>
      </c>
      <c r="I104" s="462"/>
    </row>
    <row r="105" spans="3:9" ht="43.95" hidden="1" customHeight="1" outlineLevel="1" x14ac:dyDescent="0.3">
      <c r="C105" s="258" t="str">
        <f>_xlfn.CONCAT(_xlfn.XLOOKUP("[S08_BaselineDataIssuesDetail][23][AnnexIActivity]",Submission!$O:$O,Submission!$H:$N,""))</f>
        <v/>
      </c>
      <c r="D105" s="260"/>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61" t="str">
        <f>_xlfn.CONCAT(_xlfn.XLOOKUP("[S08_BaselineDataIssuesDetail][23][NumberOfInstallationsArt152]",Submission!$O:$O,Submission!$H:$N,""))</f>
        <v/>
      </c>
      <c r="I105" s="462"/>
    </row>
    <row r="106" spans="3:9" ht="43.95" hidden="1" customHeight="1" outlineLevel="1" x14ac:dyDescent="0.3">
      <c r="C106" s="258" t="str">
        <f>_xlfn.CONCAT(_xlfn.XLOOKUP("[S08_BaselineDataIssuesDetail][24][AnnexIActivity]",Submission!$O:$O,Submission!$H:$N,""))</f>
        <v/>
      </c>
      <c r="D106" s="260"/>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61" t="str">
        <f>_xlfn.CONCAT(_xlfn.XLOOKUP("[S08_BaselineDataIssuesDetail][24][NumberOfInstallationsArt152]",Submission!$O:$O,Submission!$H:$N,""))</f>
        <v/>
      </c>
      <c r="I106" s="462"/>
    </row>
    <row r="107" spans="3:9" ht="43.95" hidden="1" customHeight="1" outlineLevel="1" x14ac:dyDescent="0.3">
      <c r="C107" s="258" t="str">
        <f>_xlfn.CONCAT(_xlfn.XLOOKUP("[S08_BaselineDataIssuesDetail][25][AnnexIActivity]",Submission!$O:$O,Submission!$H:$N,""))</f>
        <v/>
      </c>
      <c r="D107" s="260"/>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61" t="str">
        <f>_xlfn.CONCAT(_xlfn.XLOOKUP("[S08_BaselineDataIssuesDetail][25][NumberOfInstallationsArt152]",Submission!$O:$O,Submission!$H:$N,""))</f>
        <v/>
      </c>
      <c r="I107" s="462"/>
    </row>
    <row r="108" spans="3:9" ht="43.95" hidden="1" customHeight="1" outlineLevel="1" x14ac:dyDescent="0.3">
      <c r="C108" s="258" t="str">
        <f>_xlfn.CONCAT(_xlfn.XLOOKUP("[S08_BaselineDataIssuesDetail][26][AnnexIActivity]",Submission!$O:$O,Submission!$H:$N,""))</f>
        <v/>
      </c>
      <c r="D108" s="260"/>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61" t="str">
        <f>_xlfn.CONCAT(_xlfn.XLOOKUP("[S08_BaselineDataIssuesDetail][26][NumberOfInstallationsArt152]",Submission!$O:$O,Submission!$H:$N,""))</f>
        <v/>
      </c>
      <c r="I108" s="462"/>
    </row>
    <row r="109" spans="3:9" ht="43.95" hidden="1" customHeight="1" outlineLevel="1" x14ac:dyDescent="0.3">
      <c r="C109" s="258" t="str">
        <f>_xlfn.CONCAT(_xlfn.XLOOKUP("[S08_BaselineDataIssuesDetail][27][AnnexIActivity]",Submission!$O:$O,Submission!$H:$N,""))</f>
        <v/>
      </c>
      <c r="D109" s="260"/>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61" t="str">
        <f>_xlfn.CONCAT(_xlfn.XLOOKUP("[S08_BaselineDataIssuesDetail][27][NumberOfInstallationsArt152]",Submission!$O:$O,Submission!$H:$N,""))</f>
        <v/>
      </c>
      <c r="I109" s="462"/>
    </row>
    <row r="110" spans="3:9" ht="43.95" hidden="1" customHeight="1" outlineLevel="1" x14ac:dyDescent="0.3">
      <c r="C110" s="258" t="str">
        <f>_xlfn.CONCAT(_xlfn.XLOOKUP("[S08_BaselineDataIssuesDetail][28][AnnexIActivity]",Submission!$O:$O,Submission!$H:$N,""))</f>
        <v/>
      </c>
      <c r="D110" s="260"/>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61" t="str">
        <f>_xlfn.CONCAT(_xlfn.XLOOKUP("[S08_BaselineDataIssuesDetail][28][NumberOfInstallationsArt152]",Submission!$O:$O,Submission!$H:$N,""))</f>
        <v/>
      </c>
      <c r="I110" s="462"/>
    </row>
    <row r="111" spans="3:9" ht="43.95" hidden="1" customHeight="1" outlineLevel="1" x14ac:dyDescent="0.3">
      <c r="C111" s="258" t="str">
        <f>_xlfn.CONCAT(_xlfn.XLOOKUP("[S08_BaselineDataIssuesDetail][29][AnnexIActivity]",Submission!$O:$O,Submission!$H:$N,""))</f>
        <v/>
      </c>
      <c r="D111" s="260"/>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61" t="str">
        <f>_xlfn.CONCAT(_xlfn.XLOOKUP("[S08_BaselineDataIssuesDetail][29][NumberOfInstallationsArt152]",Submission!$O:$O,Submission!$H:$N,""))</f>
        <v/>
      </c>
      <c r="I111" s="462"/>
    </row>
    <row r="112" spans="3:9" ht="43.95" hidden="1" customHeight="1" outlineLevel="1" x14ac:dyDescent="0.3">
      <c r="C112" s="258" t="str">
        <f>_xlfn.CONCAT(_xlfn.XLOOKUP("[S08_BaselineDataIssuesDetail][30][AnnexIActivity]",Submission!$O:$O,Submission!$H:$N,""))</f>
        <v/>
      </c>
      <c r="D112" s="260"/>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61" t="str">
        <f>_xlfn.CONCAT(_xlfn.XLOOKUP("[S08_BaselineDataIssuesDetail][30][NumberOfInstallationsArt152]",Submission!$O:$O,Submission!$H:$N,""))</f>
        <v/>
      </c>
      <c r="I112" s="462"/>
    </row>
    <row r="113" spans="3:9" ht="43.95" hidden="1" customHeight="1" outlineLevel="1" x14ac:dyDescent="0.3">
      <c r="C113" s="258" t="str">
        <f>_xlfn.CONCAT(_xlfn.XLOOKUP("[S08_BaselineDataIssuesDetail][31][AnnexIActivity]",Submission!$O:$O,Submission!$H:$N,""))</f>
        <v/>
      </c>
      <c r="D113" s="260"/>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61" t="str">
        <f>_xlfn.CONCAT(_xlfn.XLOOKUP("[S08_BaselineDataIssuesDetail][31][NumberOfInstallationsArt152]",Submission!$O:$O,Submission!$H:$N,""))</f>
        <v/>
      </c>
      <c r="I113" s="462"/>
    </row>
    <row r="114" spans="3:9" ht="43.95" hidden="1" customHeight="1" outlineLevel="1" x14ac:dyDescent="0.3">
      <c r="C114" s="258" t="str">
        <f>_xlfn.CONCAT(_xlfn.XLOOKUP("[S08_BaselineDataIssuesDetail][32][AnnexIActivity]",Submission!$O:$O,Submission!$H:$N,""))</f>
        <v/>
      </c>
      <c r="D114" s="260"/>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61" t="str">
        <f>_xlfn.CONCAT(_xlfn.XLOOKUP("[S08_BaselineDataIssuesDetail][32][NumberOfInstallationsArt152]",Submission!$O:$O,Submission!$H:$N,""))</f>
        <v/>
      </c>
      <c r="I114" s="462"/>
    </row>
    <row r="115" spans="3:9" ht="43.95" hidden="1" customHeight="1" outlineLevel="1" x14ac:dyDescent="0.3">
      <c r="C115" s="258" t="str">
        <f>_xlfn.CONCAT(_xlfn.XLOOKUP("[S08_BaselineDataIssuesDetail][33][AnnexIActivity]",Submission!$O:$O,Submission!$H:$N,""))</f>
        <v/>
      </c>
      <c r="D115" s="260"/>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61" t="str">
        <f>_xlfn.CONCAT(_xlfn.XLOOKUP("[S08_BaselineDataIssuesDetail][33][NumberOfInstallationsArt152]",Submission!$O:$O,Submission!$H:$N,""))</f>
        <v/>
      </c>
      <c r="I115" s="462"/>
    </row>
    <row r="116" spans="3:9" ht="43.95" hidden="1" customHeight="1" outlineLevel="1" x14ac:dyDescent="0.3">
      <c r="C116" s="258" t="str">
        <f>_xlfn.CONCAT(_xlfn.XLOOKUP("[S08_BaselineDataIssuesDetail][34][AnnexIActivity]",Submission!$O:$O,Submission!$H:$N,""))</f>
        <v/>
      </c>
      <c r="D116" s="260"/>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61" t="str">
        <f>_xlfn.CONCAT(_xlfn.XLOOKUP("[S08_BaselineDataIssuesDetail][34][NumberOfInstallationsArt152]",Submission!$O:$O,Submission!$H:$N,""))</f>
        <v/>
      </c>
      <c r="I116" s="462"/>
    </row>
    <row r="117" spans="3:9" ht="43.95" hidden="1" customHeight="1" outlineLevel="1" x14ac:dyDescent="0.3">
      <c r="C117" s="258" t="str">
        <f>_xlfn.CONCAT(_xlfn.XLOOKUP("[S08_BaselineDataIssuesDetail][35][AnnexIActivity]",Submission!$O:$O,Submission!$H:$N,""))</f>
        <v/>
      </c>
      <c r="D117" s="260"/>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61" t="str">
        <f>_xlfn.CONCAT(_xlfn.XLOOKUP("[S08_BaselineDataIssuesDetail][35][NumberOfInstallationsArt152]",Submission!$O:$O,Submission!$H:$N,""))</f>
        <v/>
      </c>
      <c r="I117" s="462"/>
    </row>
    <row r="118" spans="3:9" ht="43.95" hidden="1" customHeight="1" outlineLevel="1" x14ac:dyDescent="0.3">
      <c r="C118" s="258" t="str">
        <f>_xlfn.CONCAT(_xlfn.XLOOKUP("[S08_BaselineDataIssuesDetail][36][AnnexIActivity]",Submission!$O:$O,Submission!$H:$N,""))</f>
        <v/>
      </c>
      <c r="D118" s="260"/>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61" t="str">
        <f>_xlfn.CONCAT(_xlfn.XLOOKUP("[S08_BaselineDataIssuesDetail][36][NumberOfInstallationsArt152]",Submission!$O:$O,Submission!$H:$N,""))</f>
        <v/>
      </c>
      <c r="I118" s="462"/>
    </row>
    <row r="119" spans="3:9" ht="43.95" hidden="1" customHeight="1" outlineLevel="1" x14ac:dyDescent="0.3">
      <c r="C119" s="258" t="str">
        <f>_xlfn.CONCAT(_xlfn.XLOOKUP("[S08_BaselineDataIssuesDetail][37][AnnexIActivity]",Submission!$O:$O,Submission!$H:$N,""))</f>
        <v/>
      </c>
      <c r="D119" s="260"/>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61" t="str">
        <f>_xlfn.CONCAT(_xlfn.XLOOKUP("[S08_BaselineDataIssuesDetail][37][NumberOfInstallationsArt152]",Submission!$O:$O,Submission!$H:$N,""))</f>
        <v/>
      </c>
      <c r="I119" s="462"/>
    </row>
    <row r="120" spans="3:9" ht="43.95" hidden="1" customHeight="1" outlineLevel="1" x14ac:dyDescent="0.3">
      <c r="C120" s="258" t="str">
        <f>_xlfn.CONCAT(_xlfn.XLOOKUP("[S08_BaselineDataIssuesDetail][38][AnnexIActivity]",Submission!$O:$O,Submission!$H:$N,""))</f>
        <v/>
      </c>
      <c r="D120" s="260"/>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61" t="str">
        <f>_xlfn.CONCAT(_xlfn.XLOOKUP("[S08_BaselineDataIssuesDetail][38][NumberOfInstallationsArt152]",Submission!$O:$O,Submission!$H:$N,""))</f>
        <v/>
      </c>
      <c r="I120" s="462"/>
    </row>
    <row r="121" spans="3:9" ht="43.95" hidden="1" customHeight="1" outlineLevel="1" x14ac:dyDescent="0.3">
      <c r="C121" s="258" t="str">
        <f>_xlfn.CONCAT(_xlfn.XLOOKUP("[S08_BaselineDataIssuesDetail][39][AnnexIActivity]",Submission!$O:$O,Submission!$H:$N,""))</f>
        <v/>
      </c>
      <c r="D121" s="260"/>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61" t="str">
        <f>_xlfn.CONCAT(_xlfn.XLOOKUP("[S08_BaselineDataIssuesDetail][39][NumberOfInstallationsArt152]",Submission!$O:$O,Submission!$H:$N,""))</f>
        <v/>
      </c>
      <c r="I121" s="462"/>
    </row>
    <row r="122" spans="3:9" ht="43.95" hidden="1" customHeight="1" outlineLevel="1" x14ac:dyDescent="0.3">
      <c r="C122" s="258" t="str">
        <f>_xlfn.CONCAT(_xlfn.XLOOKUP("[S08_BaselineDataIssuesDetail][40][AnnexIActivity]",Submission!$O:$O,Submission!$H:$N,""))</f>
        <v/>
      </c>
      <c r="D122" s="260"/>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61" t="str">
        <f>_xlfn.CONCAT(_xlfn.XLOOKUP("[S08_BaselineDataIssuesDetail][40][NumberOfInstallationsArt152]",Submission!$O:$O,Submission!$H:$N,""))</f>
        <v/>
      </c>
      <c r="I122" s="462"/>
    </row>
    <row r="123" spans="3:9" ht="43.95" hidden="1" customHeight="1" outlineLevel="1" x14ac:dyDescent="0.3">
      <c r="C123" s="258" t="str">
        <f>_xlfn.CONCAT(_xlfn.XLOOKUP("[S08_BaselineDataIssuesDetail][41][AnnexIActivity]",Submission!$O:$O,Submission!$H:$N,""))</f>
        <v/>
      </c>
      <c r="D123" s="260"/>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61" t="str">
        <f>_xlfn.CONCAT(_xlfn.XLOOKUP("[S08_BaselineDataIssuesDetail][41][NumberOfInstallationsArt152]",Submission!$O:$O,Submission!$H:$N,""))</f>
        <v/>
      </c>
      <c r="I123" s="462"/>
    </row>
    <row r="124" spans="3:9" ht="43.95" hidden="1" customHeight="1" outlineLevel="1" x14ac:dyDescent="0.3">
      <c r="C124" s="258" t="str">
        <f>_xlfn.CONCAT(_xlfn.XLOOKUP("[S08_BaselineDataIssuesDetail][42][AnnexIActivity]",Submission!$O:$O,Submission!$H:$N,""))</f>
        <v/>
      </c>
      <c r="D124" s="260"/>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61" t="str">
        <f>_xlfn.CONCAT(_xlfn.XLOOKUP("[S08_BaselineDataIssuesDetail][42][NumberOfInstallationsArt152]",Submission!$O:$O,Submission!$H:$N,""))</f>
        <v/>
      </c>
      <c r="I124" s="462"/>
    </row>
    <row r="125" spans="3:9" ht="43.95" hidden="1" customHeight="1" outlineLevel="1" x14ac:dyDescent="0.3">
      <c r="C125" s="258" t="str">
        <f>_xlfn.CONCAT(_xlfn.XLOOKUP("[S08_BaselineDataIssuesDetail][43][AnnexIActivity]",Submission!$O:$O,Submission!$H:$N,""))</f>
        <v/>
      </c>
      <c r="D125" s="260"/>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61" t="str">
        <f>_xlfn.CONCAT(_xlfn.XLOOKUP("[S08_BaselineDataIssuesDetail][43][NumberOfInstallationsArt152]",Submission!$O:$O,Submission!$H:$N,""))</f>
        <v/>
      </c>
      <c r="I125" s="462"/>
    </row>
    <row r="126" spans="3:9" ht="43.95" hidden="1" customHeight="1" outlineLevel="1" x14ac:dyDescent="0.3">
      <c r="C126" s="258" t="str">
        <f>_xlfn.CONCAT(_xlfn.XLOOKUP("[S08_BaselineDataIssuesDetail][44][AnnexIActivity]",Submission!$O:$O,Submission!$H:$N,""))</f>
        <v/>
      </c>
      <c r="D126" s="260"/>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61" t="str">
        <f>_xlfn.CONCAT(_xlfn.XLOOKUP("[S08_BaselineDataIssuesDetail][44][NumberOfInstallationsArt152]",Submission!$O:$O,Submission!$H:$N,""))</f>
        <v/>
      </c>
      <c r="I126" s="462"/>
    </row>
    <row r="127" spans="3:9" ht="43.95" hidden="1" customHeight="1" outlineLevel="1" x14ac:dyDescent="0.3">
      <c r="C127" s="258" t="str">
        <f>_xlfn.CONCAT(_xlfn.XLOOKUP("[S08_BaselineDataIssuesDetail][45][AnnexIActivity]",Submission!$O:$O,Submission!$H:$N,""))</f>
        <v/>
      </c>
      <c r="D127" s="260"/>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61" t="str">
        <f>_xlfn.CONCAT(_xlfn.XLOOKUP("[S08_BaselineDataIssuesDetail][45][NumberOfInstallationsArt152]",Submission!$O:$O,Submission!$H:$N,""))</f>
        <v/>
      </c>
      <c r="I127" s="462"/>
    </row>
    <row r="128" spans="3:9" ht="43.95" hidden="1" customHeight="1" outlineLevel="1" x14ac:dyDescent="0.3">
      <c r="C128" s="258" t="str">
        <f>_xlfn.CONCAT(_xlfn.XLOOKUP("[S08_BaselineDataIssuesDetail][46][AnnexIActivity]",Submission!$O:$O,Submission!$H:$N,""))</f>
        <v/>
      </c>
      <c r="D128" s="260"/>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61" t="str">
        <f>_xlfn.CONCAT(_xlfn.XLOOKUP("[S08_BaselineDataIssuesDetail][46][NumberOfInstallationsArt152]",Submission!$O:$O,Submission!$H:$N,""))</f>
        <v/>
      </c>
      <c r="I128" s="462"/>
    </row>
    <row r="129" spans="1:9" ht="43.95" hidden="1" customHeight="1" outlineLevel="1" x14ac:dyDescent="0.3">
      <c r="C129" s="258" t="str">
        <f>_xlfn.CONCAT(_xlfn.XLOOKUP("[S08_BaselineDataIssuesDetail][47][AnnexIActivity]",Submission!$O:$O,Submission!$H:$N,""))</f>
        <v/>
      </c>
      <c r="D129" s="260"/>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61" t="str">
        <f>_xlfn.CONCAT(_xlfn.XLOOKUP("[S08_BaselineDataIssuesDetail][47][NumberOfInstallationsArt152]",Submission!$O:$O,Submission!$H:$N,""))</f>
        <v/>
      </c>
      <c r="I129" s="462"/>
    </row>
    <row r="130" spans="1:9" ht="43.95" hidden="1" customHeight="1" outlineLevel="1" x14ac:dyDescent="0.3">
      <c r="C130" s="258" t="str">
        <f>_xlfn.CONCAT(_xlfn.XLOOKUP("[S08_BaselineDataIssuesDetail][48][AnnexIActivity]",Submission!$O:$O,Submission!$H:$N,""))</f>
        <v/>
      </c>
      <c r="D130" s="260"/>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61" t="str">
        <f>_xlfn.CONCAT(_xlfn.XLOOKUP("[S08_BaselineDataIssuesDetail][48][NumberOfInstallationsArt152]",Submission!$O:$O,Submission!$H:$N,""))</f>
        <v/>
      </c>
      <c r="I130" s="462"/>
    </row>
    <row r="131" spans="1:9" ht="43.95" hidden="1" customHeight="1" outlineLevel="1" x14ac:dyDescent="0.3">
      <c r="C131" s="258" t="str">
        <f>_xlfn.CONCAT(_xlfn.XLOOKUP("[S08_BaselineDataIssuesDetail][49][AnnexIActivity]",Submission!$O:$O,Submission!$H:$N,""))</f>
        <v/>
      </c>
      <c r="D131" s="260"/>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61" t="str">
        <f>_xlfn.CONCAT(_xlfn.XLOOKUP("[S08_BaselineDataIssuesDetail][49][NumberOfInstallationsArt152]",Submission!$O:$O,Submission!$H:$N,""))</f>
        <v/>
      </c>
      <c r="I131" s="462"/>
    </row>
    <row r="132" spans="1:9" ht="43.95" hidden="1" customHeight="1" outlineLevel="1" x14ac:dyDescent="0.3">
      <c r="C132" s="258" t="str">
        <f>_xlfn.CONCAT(_xlfn.XLOOKUP("[S08_BaselineDataIssuesDetail][50][AnnexIActivity]",Submission!$O:$O,Submission!$H:$N,""))</f>
        <v/>
      </c>
      <c r="D132" s="260"/>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61" t="str">
        <f>_xlfn.CONCAT(_xlfn.XLOOKUP("[S08_BaselineDataIssuesDetail][50][NumberOfInstallationsArt152]",Submission!$O:$O,Submission!$H:$N,""))</f>
        <v/>
      </c>
      <c r="I132" s="462"/>
    </row>
    <row r="133" spans="1:9" collapsed="1" x14ac:dyDescent="0.3">
      <c r="B133" s="26" t="s">
        <v>1000</v>
      </c>
    </row>
    <row r="134" spans="1:9" ht="27.6" customHeight="1" x14ac:dyDescent="0.3">
      <c r="C134" s="262" t="s">
        <v>1190</v>
      </c>
      <c r="D134" s="262"/>
      <c r="E134" s="262"/>
      <c r="F134" s="262"/>
      <c r="G134" s="262"/>
      <c r="H134" s="262"/>
      <c r="I134" s="262"/>
    </row>
    <row r="136" spans="1:9" s="7" customFormat="1" ht="18.899999999999999" customHeight="1" x14ac:dyDescent="0.35">
      <c r="A136" s="85" t="s">
        <v>497</v>
      </c>
      <c r="B136" s="310" t="s">
        <v>498</v>
      </c>
      <c r="C136" s="310"/>
      <c r="D136" s="310"/>
      <c r="E136" s="310"/>
      <c r="F136" s="310"/>
      <c r="G136" s="310"/>
      <c r="H136" s="310"/>
      <c r="I136" s="311"/>
    </row>
    <row r="137" spans="1:9" s="7" customFormat="1" ht="18.899999999999999" customHeight="1" x14ac:dyDescent="0.3">
      <c r="A137" s="12" t="s">
        <v>500</v>
      </c>
      <c r="B137" s="480" t="s">
        <v>1191</v>
      </c>
      <c r="C137" s="480"/>
      <c r="D137" s="480"/>
      <c r="E137" s="480"/>
      <c r="F137" s="480"/>
      <c r="G137" s="480"/>
      <c r="H137" s="480"/>
      <c r="I137" s="480"/>
    </row>
    <row r="138" spans="1:9" ht="36" customHeight="1" x14ac:dyDescent="0.3">
      <c r="A138" s="12"/>
      <c r="B138" s="338" t="s">
        <v>1192</v>
      </c>
      <c r="C138" s="308"/>
      <c r="D138" s="308"/>
      <c r="E138" s="308"/>
      <c r="F138" s="308"/>
      <c r="G138" s="308"/>
      <c r="H138" s="345"/>
      <c r="I138" s="41" t="str">
        <f>_xlfn.CONCAT(_xlfn.XLOOKUP("[AdditionalParametersRequired][0][AdditionalParametersRequired]",Submission!$O:$O,Submission!$H:$N,""))</f>
        <v>No</v>
      </c>
    </row>
    <row r="139" spans="1:9" ht="16.95" customHeight="1" x14ac:dyDescent="0.3">
      <c r="B139" s="467" t="s">
        <v>1193</v>
      </c>
      <c r="C139" s="467"/>
      <c r="D139" s="467"/>
      <c r="E139" s="467"/>
      <c r="F139" s="467"/>
      <c r="G139" s="467"/>
      <c r="H139" s="467"/>
      <c r="I139" s="467"/>
    </row>
    <row r="140" spans="1:9" x14ac:dyDescent="0.3">
      <c r="C140" s="266" t="s">
        <v>1194</v>
      </c>
      <c r="D140" s="267"/>
      <c r="E140" s="267"/>
      <c r="F140" s="268"/>
      <c r="G140" s="255" t="str">
        <f>_xlfn.CONCAT(_xlfn.XLOOKUP("[AdditionalParametersType][0][AdditionalParametersType]",Submission!$O:$O,Submission!$H:$N,""))</f>
        <v/>
      </c>
      <c r="H140" s="460"/>
      <c r="I140" s="256"/>
    </row>
    <row r="141" spans="1:9" x14ac:dyDescent="0.3">
      <c r="C141" s="21"/>
      <c r="D141" s="21"/>
      <c r="E141" s="21"/>
      <c r="F141" s="21"/>
      <c r="G141" s="21"/>
      <c r="H141" s="21"/>
      <c r="I141" s="21"/>
    </row>
    <row r="142" spans="1:9" x14ac:dyDescent="0.3">
      <c r="A142" s="12" t="s">
        <v>503</v>
      </c>
      <c r="B142" s="481" t="s">
        <v>1132</v>
      </c>
      <c r="C142" s="481"/>
      <c r="D142" s="481"/>
      <c r="E142" s="481"/>
      <c r="F142" s="481"/>
      <c r="G142" s="481"/>
      <c r="H142" s="481"/>
      <c r="I142" s="481"/>
    </row>
    <row r="143" spans="1:9" ht="36" customHeight="1" x14ac:dyDescent="0.3">
      <c r="A143" s="12"/>
      <c r="B143" s="338" t="s">
        <v>1195</v>
      </c>
      <c r="C143" s="308"/>
      <c r="D143" s="308"/>
      <c r="E143" s="308"/>
      <c r="F143" s="308"/>
      <c r="G143" s="308"/>
      <c r="H143" s="345"/>
      <c r="I143" s="41" t="str">
        <f>_xlfn.CONCAT(_xlfn.XLOOKUP("[PreliminaryActivityRequired][0][PreliminaryActivityRequired]",Submission!$O:$O,Submission!$H:$N,""))</f>
        <v>Yes</v>
      </c>
    </row>
    <row r="144" spans="1:9" ht="16.95" customHeight="1" x14ac:dyDescent="0.3">
      <c r="B144" s="467" t="s">
        <v>1196</v>
      </c>
      <c r="C144" s="467"/>
      <c r="D144" s="467"/>
      <c r="E144" s="467"/>
      <c r="F144" s="467"/>
      <c r="G144" s="467"/>
      <c r="H144" s="467"/>
      <c r="I144" s="467"/>
    </row>
    <row r="145" spans="1:9" x14ac:dyDescent="0.3">
      <c r="C145" s="266" t="s">
        <v>1197</v>
      </c>
      <c r="D145" s="267"/>
      <c r="E145" s="267"/>
      <c r="F145" s="268"/>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338" t="s">
        <v>1198</v>
      </c>
      <c r="C147" s="308"/>
      <c r="D147" s="308"/>
      <c r="E147" s="308"/>
      <c r="F147" s="308"/>
      <c r="G147" s="308"/>
      <c r="H147" s="308"/>
      <c r="I147" s="308"/>
    </row>
    <row r="148" spans="1:9" ht="42.6" customHeight="1" x14ac:dyDescent="0.3">
      <c r="C148" s="435" t="s">
        <v>1183</v>
      </c>
      <c r="D148" s="436"/>
      <c r="E148" s="437"/>
      <c r="F148" s="435" t="s">
        <v>76</v>
      </c>
      <c r="G148" s="437"/>
      <c r="H148" s="314" t="s">
        <v>1199</v>
      </c>
      <c r="I148" s="334"/>
    </row>
    <row r="149" spans="1:9" s="95" customFormat="1" ht="27.75" customHeight="1" x14ac:dyDescent="0.3">
      <c r="A149" s="94"/>
      <c r="C149" s="382" t="s">
        <v>1200</v>
      </c>
      <c r="D149" s="382"/>
      <c r="E149" s="382"/>
      <c r="F149" s="406" t="str">
        <f>_xlfn.CONCAT(_xlfn.XLOOKUP("[S08_NegativeOpinionActivityData][1][NumberOfInstallations]",Submission!$O:$O,Submission!$H:$N,""))</f>
        <v/>
      </c>
      <c r="G149" s="406"/>
      <c r="H149" s="406" t="str">
        <f>_xlfn.CONCAT(_xlfn.XLOOKUP("[S08_NegativeOpinionActivityData][1][NumberOfInstallationsConEst]",Submission!$O:$O,Submission!$H:$N,""))</f>
        <v/>
      </c>
      <c r="I149" s="406"/>
    </row>
    <row r="150" spans="1:9" s="95" customFormat="1" ht="27.75" customHeight="1" x14ac:dyDescent="0.3">
      <c r="A150" s="94"/>
      <c r="C150" s="382" t="s">
        <v>1201</v>
      </c>
      <c r="D150" s="382"/>
      <c r="E150" s="382"/>
      <c r="F150" s="406" t="str">
        <f>_xlfn.CONCAT(_xlfn.XLOOKUP("[S08_NegativeOpinionActivityData][2][NumberOfInstallations]",Submission!$O:$O,Submission!$H:$N,""))</f>
        <v/>
      </c>
      <c r="G150" s="406"/>
      <c r="H150" s="406" t="str">
        <f>_xlfn.CONCAT(_xlfn.XLOOKUP("[S08_NegativeOpinionActivityData][2][NumberOfInstallationsConEst]",Submission!$O:$O,Submission!$H:$N,""))</f>
        <v/>
      </c>
      <c r="I150" s="406"/>
    </row>
    <row r="151" spans="1:9" s="95" customFormat="1" ht="27.75" customHeight="1" x14ac:dyDescent="0.3">
      <c r="A151" s="94"/>
      <c r="C151" s="382" t="s">
        <v>1202</v>
      </c>
      <c r="D151" s="382"/>
      <c r="E151" s="382"/>
      <c r="F151" s="406" t="str">
        <f>_xlfn.CONCAT(_xlfn.XLOOKUP("[S08_NegativeOpinionActivityData][3][NumberOfInstallations]",Submission!$O:$O,Submission!$H:$N,""))</f>
        <v/>
      </c>
      <c r="G151" s="406"/>
      <c r="H151" s="406" t="str">
        <f>_xlfn.CONCAT(_xlfn.XLOOKUP("[S08_NegativeOpinionActivityData][3][NumberOfInstallationsConEst]",Submission!$O:$O,Submission!$H:$N,""))</f>
        <v/>
      </c>
      <c r="I151" s="406"/>
    </row>
    <row r="152" spans="1:9" s="95" customFormat="1" ht="27.75" customHeight="1" x14ac:dyDescent="0.3">
      <c r="A152" s="94"/>
      <c r="C152" s="382" t="s">
        <v>1203</v>
      </c>
      <c r="D152" s="382"/>
      <c r="E152" s="382"/>
      <c r="F152" s="406" t="str">
        <f>_xlfn.CONCAT(_xlfn.XLOOKUP("[S08_NegativeOpinionActivityData][4][NumberOfInstallations]",Submission!$O:$O,Submission!$H:$N,""))</f>
        <v/>
      </c>
      <c r="G152" s="406"/>
      <c r="H152" s="406" t="str">
        <f>_xlfn.CONCAT(_xlfn.XLOOKUP("[S08_NegativeOpinionActivityData][4][NumberOfInstallationsConEst]",Submission!$O:$O,Submission!$H:$N,""))</f>
        <v/>
      </c>
      <c r="I152" s="406"/>
    </row>
    <row r="154" spans="1:9" ht="33.6" customHeight="1" x14ac:dyDescent="0.3">
      <c r="A154" s="12" t="s">
        <v>511</v>
      </c>
      <c r="B154" s="338" t="s">
        <v>1204</v>
      </c>
      <c r="C154" s="338"/>
      <c r="D154" s="338"/>
      <c r="E154" s="338"/>
      <c r="F154" s="338"/>
      <c r="G154" s="338"/>
      <c r="H154" s="495"/>
      <c r="I154" s="41" t="str">
        <f>_xlfn.CONCAT(_xlfn.XLOOKUP("[ActivityDataIssues][0][ActivityDataIssues]",Submission!$O:$O,Submission!$H:$N,""))</f>
        <v>No</v>
      </c>
    </row>
    <row r="155" spans="1:9" ht="15.6" customHeight="1" x14ac:dyDescent="0.3">
      <c r="B155" s="467" t="s">
        <v>1043</v>
      </c>
      <c r="C155" s="467"/>
      <c r="D155" s="467"/>
      <c r="E155" s="467"/>
      <c r="F155" s="467"/>
      <c r="G155" s="467"/>
      <c r="H155" s="467"/>
      <c r="I155" s="467"/>
    </row>
    <row r="156" spans="1:9" ht="43.2" customHeight="1" x14ac:dyDescent="0.3">
      <c r="C156" s="435" t="s">
        <v>879</v>
      </c>
      <c r="D156" s="437"/>
      <c r="E156" s="43" t="s">
        <v>1044</v>
      </c>
      <c r="F156" s="51" t="s">
        <v>1045</v>
      </c>
      <c r="G156" s="51" t="s">
        <v>1046</v>
      </c>
      <c r="H156" s="314" t="s">
        <v>1199</v>
      </c>
      <c r="I156" s="334"/>
    </row>
    <row r="157" spans="1:9" ht="54" customHeight="1" x14ac:dyDescent="0.3">
      <c r="C157" s="258" t="str">
        <f>_xlfn.CONCAT(_xlfn.XLOOKUP("[S08_ActivityDataIssuesDetail]["&amp;ROW(B157)-ROW($B$156)&amp;"][AnnexIActivity]",Submission!$O:$O,Submission!$H:$N,""))</f>
        <v/>
      </c>
      <c r="D157" s="260"/>
      <c r="E157" s="72" t="str">
        <f>_xlfn.CONCAT(_xlfn.XLOOKUP("[S08_ActivityDataIssuesDetail]["&amp;ROW(B157)-ROW($B$156)&amp;"][TypeOfIssue]",Submission!$O:$O,Submission!$H:$N,""))</f>
        <v/>
      </c>
      <c r="F157" s="106" t="str">
        <f>_xlfn.CONCAT(_xlfn.XLOOKUP("[S08_ActivityDataIssuesDetail]["&amp;ROW(B157)-ROW($B$156)&amp;"][NumberOfInstallations]",Submission!$O:$O,Submission!$H:$N,""))</f>
        <v/>
      </c>
      <c r="G157" s="106" t="str">
        <f>_xlfn.CONCAT(_xlfn.XLOOKUP("[S08_ActivityDataIssuesDetail]["&amp;ROW(B157)-ROW($B$156)&amp;"][NumberOfIssues]",Submission!$O:$O,Submission!$H:$N,""))</f>
        <v/>
      </c>
      <c r="H157" s="461" t="str">
        <f>_xlfn.CONCAT(_xlfn.XLOOKUP("[S08_ActivityDataIssuesDetail]["&amp;ROW(B157)-ROW($B$156)&amp;"][NumberOfInstallationsConEst]",Submission!$O:$O,Submission!$H:$N,""))</f>
        <v/>
      </c>
      <c r="I157" s="462"/>
    </row>
    <row r="158" spans="1:9" ht="54" customHeight="1" x14ac:dyDescent="0.3">
      <c r="C158" s="258" t="str">
        <f>_xlfn.CONCAT(_xlfn.XLOOKUP("[S08_ActivityDataIssuesDetail]["&amp;ROW(B158)-ROW($B$156)&amp;"][AnnexIActivity]",Submission!$O:$O,Submission!$H:$N,""))</f>
        <v/>
      </c>
      <c r="D158" s="260"/>
      <c r="E158" s="72" t="str">
        <f>_xlfn.CONCAT(_xlfn.XLOOKUP("[S08_ActivityDataIssuesDetail]["&amp;ROW(B158)-ROW($B$156)&amp;"][TypeOfIssue]",Submission!$O:$O,Submission!$H:$N,""))</f>
        <v/>
      </c>
      <c r="F158" s="106" t="str">
        <f>_xlfn.CONCAT(_xlfn.XLOOKUP("[S08_ActivityDataIssuesDetail]["&amp;ROW(B158)-ROW($B$156)&amp;"][NumberOfInstallations]",Submission!$O:$O,Submission!$H:$N,""))</f>
        <v/>
      </c>
      <c r="G158" s="106" t="str">
        <f>_xlfn.CONCAT(_xlfn.XLOOKUP("[S08_ActivityDataIssuesDetail]["&amp;ROW(B158)-ROW($B$156)&amp;"][NumberOfIssues]",Submission!$O:$O,Submission!$H:$N,""))</f>
        <v/>
      </c>
      <c r="H158" s="461" t="str">
        <f>_xlfn.CONCAT(_xlfn.XLOOKUP("[S08_ActivityDataIssuesDetail]["&amp;ROW(B158)-ROW($B$156)&amp;"][NumberOfInstallationsConEst]",Submission!$O:$O,Submission!$H:$N,""))</f>
        <v/>
      </c>
      <c r="I158" s="462"/>
    </row>
    <row r="159" spans="1:9" ht="54" customHeight="1" x14ac:dyDescent="0.3">
      <c r="C159" s="258" t="str">
        <f>_xlfn.CONCAT(_xlfn.XLOOKUP("[S08_ActivityDataIssuesDetail]["&amp;ROW(B159)-ROW($B$156)&amp;"][AnnexIActivity]",Submission!$O:$O,Submission!$H:$N,""))</f>
        <v/>
      </c>
      <c r="D159" s="260"/>
      <c r="E159" s="72" t="str">
        <f>_xlfn.CONCAT(_xlfn.XLOOKUP("[S08_ActivityDataIssuesDetail]["&amp;ROW(B159)-ROW($B$156)&amp;"][TypeOfIssue]",Submission!$O:$O,Submission!$H:$N,""))</f>
        <v/>
      </c>
      <c r="F159" s="106" t="str">
        <f>_xlfn.CONCAT(_xlfn.XLOOKUP("[S08_ActivityDataIssuesDetail]["&amp;ROW(B159)-ROW($B$156)&amp;"][NumberOfInstallations]",Submission!$O:$O,Submission!$H:$N,""))</f>
        <v/>
      </c>
      <c r="G159" s="106" t="str">
        <f>_xlfn.CONCAT(_xlfn.XLOOKUP("[S08_ActivityDataIssuesDetail]["&amp;ROW(B159)-ROW($B$156)&amp;"][NumberOfIssues]",Submission!$O:$O,Submission!$H:$N,""))</f>
        <v/>
      </c>
      <c r="H159" s="461" t="str">
        <f>_xlfn.CONCAT(_xlfn.XLOOKUP("[S08_ActivityDataIssuesDetail]["&amp;ROW(B159)-ROW($B$156)&amp;"][NumberOfInstallationsConEst]",Submission!$O:$O,Submission!$H:$N,""))</f>
        <v/>
      </c>
      <c r="I159" s="462"/>
    </row>
    <row r="160" spans="1:9" ht="54" customHeight="1" x14ac:dyDescent="0.3">
      <c r="C160" s="258" t="str">
        <f>_xlfn.CONCAT(_xlfn.XLOOKUP("[S08_ActivityDataIssuesDetail]["&amp;ROW(B160)-ROW($B$156)&amp;"][AnnexIActivity]",Submission!$O:$O,Submission!$H:$N,""))</f>
        <v/>
      </c>
      <c r="D160" s="260"/>
      <c r="E160" s="72" t="str">
        <f>_xlfn.CONCAT(_xlfn.XLOOKUP("[S08_ActivityDataIssuesDetail]["&amp;ROW(B160)-ROW($B$156)&amp;"][TypeOfIssue]",Submission!$O:$O,Submission!$H:$N,""))</f>
        <v/>
      </c>
      <c r="F160" s="106" t="str">
        <f>_xlfn.CONCAT(_xlfn.XLOOKUP("[S08_ActivityDataIssuesDetail]["&amp;ROW(B160)-ROW($B$156)&amp;"][NumberOfInstallations]",Submission!$O:$O,Submission!$H:$N,""))</f>
        <v/>
      </c>
      <c r="G160" s="106" t="str">
        <f>_xlfn.CONCAT(_xlfn.XLOOKUP("[S08_ActivityDataIssuesDetail]["&amp;ROW(B160)-ROW($B$156)&amp;"][NumberOfIssues]",Submission!$O:$O,Submission!$H:$N,""))</f>
        <v/>
      </c>
      <c r="H160" s="461" t="str">
        <f>_xlfn.CONCAT(_xlfn.XLOOKUP("[S08_ActivityDataIssuesDetail]["&amp;ROW(B160)-ROW($B$156)&amp;"][NumberOfInstallationsConEst]",Submission!$O:$O,Submission!$H:$N,""))</f>
        <v/>
      </c>
      <c r="I160" s="462"/>
    </row>
    <row r="161" spans="3:9" ht="54" customHeight="1" x14ac:dyDescent="0.3">
      <c r="C161" s="258" t="str">
        <f>_xlfn.CONCAT(_xlfn.XLOOKUP("[S08_ActivityDataIssuesDetail]["&amp;ROW(B161)-ROW($B$156)&amp;"][AnnexIActivity]",Submission!$O:$O,Submission!$H:$N,""))</f>
        <v/>
      </c>
      <c r="D161" s="260"/>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61" t="str">
        <f>_xlfn.CONCAT(_xlfn.XLOOKUP("[S08_ActivityDataIssuesDetail]["&amp;ROW(B161)-ROW($B$156)&amp;"][NumberOfInstallationsConEst]",Submission!$O:$O,Submission!$H:$N,""))</f>
        <v/>
      </c>
      <c r="I161" s="462"/>
    </row>
    <row r="162" spans="3:9" ht="54" customHeight="1" x14ac:dyDescent="0.3">
      <c r="C162" s="258" t="str">
        <f>_xlfn.CONCAT(_xlfn.XLOOKUP("[S08_ActivityDataIssuesDetail]["&amp;ROW(B162)-ROW($B$156)&amp;"][AnnexIActivity]",Submission!$O:$O,Submission!$H:$N,""))</f>
        <v/>
      </c>
      <c r="D162" s="260"/>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61" t="str">
        <f>_xlfn.CONCAT(_xlfn.XLOOKUP("[S08_ActivityDataIssuesDetail]["&amp;ROW(B162)-ROW($B$156)&amp;"][NumberOfInstallationsConEst]",Submission!$O:$O,Submission!$H:$N,""))</f>
        <v/>
      </c>
      <c r="I162" s="462"/>
    </row>
    <row r="163" spans="3:9" ht="54" customHeight="1" x14ac:dyDescent="0.3">
      <c r="C163" s="258" t="str">
        <f>_xlfn.CONCAT(_xlfn.XLOOKUP("[S08_ActivityDataIssuesDetail]["&amp;ROW(B163)-ROW($B$156)&amp;"][AnnexIActivity]",Submission!$O:$O,Submission!$H:$N,""))</f>
        <v/>
      </c>
      <c r="D163" s="260"/>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61" t="str">
        <f>_xlfn.CONCAT(_xlfn.XLOOKUP("[S08_ActivityDataIssuesDetail]["&amp;ROW(B163)-ROW($B$156)&amp;"][NumberOfInstallationsConEst]",Submission!$O:$O,Submission!$H:$N,""))</f>
        <v/>
      </c>
      <c r="I163" s="462"/>
    </row>
    <row r="164" spans="3:9" ht="54" customHeight="1" x14ac:dyDescent="0.3">
      <c r="C164" s="258" t="str">
        <f>_xlfn.CONCAT(_xlfn.XLOOKUP("[S08_ActivityDataIssuesDetail]["&amp;ROW(B164)-ROW($B$156)&amp;"][AnnexIActivity]",Submission!$O:$O,Submission!$H:$N,""))</f>
        <v/>
      </c>
      <c r="D164" s="260"/>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61" t="str">
        <f>_xlfn.CONCAT(_xlfn.XLOOKUP("[S08_ActivityDataIssuesDetail]["&amp;ROW(B164)-ROW($B$156)&amp;"][NumberOfInstallationsConEst]",Submission!$O:$O,Submission!$H:$N,""))</f>
        <v/>
      </c>
      <c r="I164" s="462"/>
    </row>
    <row r="165" spans="3:9" ht="54" customHeight="1" x14ac:dyDescent="0.3">
      <c r="C165" s="258" t="str">
        <f>_xlfn.CONCAT(_xlfn.XLOOKUP("[S08_ActivityDataIssuesDetail]["&amp;ROW(B165)-ROW($B$156)&amp;"][AnnexIActivity]",Submission!$O:$O,Submission!$H:$N,""))</f>
        <v/>
      </c>
      <c r="D165" s="260"/>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61" t="str">
        <f>_xlfn.CONCAT(_xlfn.XLOOKUP("[S08_ActivityDataIssuesDetail]["&amp;ROW(B165)-ROW($B$156)&amp;"][NumberOfInstallationsConEst]",Submission!$O:$O,Submission!$H:$N,""))</f>
        <v/>
      </c>
      <c r="I165" s="462"/>
    </row>
    <row r="166" spans="3:9" ht="54" customHeight="1" x14ac:dyDescent="0.3">
      <c r="C166" s="258" t="str">
        <f>_xlfn.CONCAT(_xlfn.XLOOKUP("[S08_ActivityDataIssuesDetail]["&amp;ROW(B166)-ROW($B$156)&amp;"][AnnexIActivity]",Submission!$O:$O,Submission!$H:$N,""))</f>
        <v/>
      </c>
      <c r="D166" s="260"/>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61" t="str">
        <f>_xlfn.CONCAT(_xlfn.XLOOKUP("[S08_ActivityDataIssuesDetail]["&amp;ROW(B166)-ROW($B$156)&amp;"][NumberOfInstallationsConEst]",Submission!$O:$O,Submission!$H:$N,""))</f>
        <v/>
      </c>
      <c r="I166" s="462"/>
    </row>
    <row r="167" spans="3:9" ht="54" customHeight="1" x14ac:dyDescent="0.3">
      <c r="C167" s="258" t="str">
        <f>_xlfn.CONCAT(_xlfn.XLOOKUP("[S08_ActivityDataIssuesDetail]["&amp;ROW(B167)-ROW($B$156)&amp;"][AnnexIActivity]",Submission!$O:$O,Submission!$H:$N,""))</f>
        <v/>
      </c>
      <c r="D167" s="260"/>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61" t="str">
        <f>_xlfn.CONCAT(_xlfn.XLOOKUP("[S08_ActivityDataIssuesDetail]["&amp;ROW(B167)-ROW($B$156)&amp;"][NumberOfInstallationsConEst]",Submission!$O:$O,Submission!$H:$N,""))</f>
        <v/>
      </c>
      <c r="I167" s="462"/>
    </row>
    <row r="168" spans="3:9" ht="54" customHeight="1" x14ac:dyDescent="0.3">
      <c r="C168" s="258" t="str">
        <f>_xlfn.CONCAT(_xlfn.XLOOKUP("[S08_ActivityDataIssuesDetail]["&amp;ROW(B168)-ROW($B$156)&amp;"][AnnexIActivity]",Submission!$O:$O,Submission!$H:$N,""))</f>
        <v/>
      </c>
      <c r="D168" s="260"/>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61" t="str">
        <f>_xlfn.CONCAT(_xlfn.XLOOKUP("[S08_ActivityDataIssuesDetail]["&amp;ROW(B168)-ROW($B$156)&amp;"][NumberOfInstallationsConEst]",Submission!$O:$O,Submission!$H:$N,""))</f>
        <v/>
      </c>
      <c r="I168" s="462"/>
    </row>
    <row r="169" spans="3:9" ht="54" customHeight="1" x14ac:dyDescent="0.3">
      <c r="C169" s="258" t="str">
        <f>_xlfn.CONCAT(_xlfn.XLOOKUP("[S08_ActivityDataIssuesDetail]["&amp;ROW(B169)-ROW($B$156)&amp;"][AnnexIActivity]",Submission!$O:$O,Submission!$H:$N,""))</f>
        <v/>
      </c>
      <c r="D169" s="260"/>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61" t="str">
        <f>_xlfn.CONCAT(_xlfn.XLOOKUP("[S08_ActivityDataIssuesDetail]["&amp;ROW(B169)-ROW($B$156)&amp;"][NumberOfInstallationsConEst]",Submission!$O:$O,Submission!$H:$N,""))</f>
        <v/>
      </c>
      <c r="I169" s="462"/>
    </row>
    <row r="170" spans="3:9" ht="54" customHeight="1" x14ac:dyDescent="0.3">
      <c r="C170" s="258" t="str">
        <f>_xlfn.CONCAT(_xlfn.XLOOKUP("[S08_ActivityDataIssuesDetail]["&amp;ROW(B170)-ROW($B$156)&amp;"][AnnexIActivity]",Submission!$O:$O,Submission!$H:$N,""))</f>
        <v/>
      </c>
      <c r="D170" s="260"/>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61" t="str">
        <f>_xlfn.CONCAT(_xlfn.XLOOKUP("[S08_ActivityDataIssuesDetail]["&amp;ROW(B170)-ROW($B$156)&amp;"][NumberOfInstallationsConEst]",Submission!$O:$O,Submission!$H:$N,""))</f>
        <v/>
      </c>
      <c r="I170" s="462"/>
    </row>
    <row r="171" spans="3:9" ht="54" customHeight="1" x14ac:dyDescent="0.3">
      <c r="C171" s="258" t="str">
        <f>_xlfn.CONCAT(_xlfn.XLOOKUP("[S08_ActivityDataIssuesDetail]["&amp;ROW(B171)-ROW($B$156)&amp;"][AnnexIActivity]",Submission!$O:$O,Submission!$H:$N,""))</f>
        <v/>
      </c>
      <c r="D171" s="260"/>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61" t="str">
        <f>_xlfn.CONCAT(_xlfn.XLOOKUP("[S08_ActivityDataIssuesDetail]["&amp;ROW(B171)-ROW($B$156)&amp;"][NumberOfInstallationsConEst]",Submission!$O:$O,Submission!$H:$N,""))</f>
        <v/>
      </c>
      <c r="I171" s="462"/>
    </row>
    <row r="172" spans="3:9" ht="54" hidden="1" customHeight="1" outlineLevel="1" x14ac:dyDescent="0.3">
      <c r="C172" s="258" t="str">
        <f>_xlfn.CONCAT(_xlfn.XLOOKUP("[S08_ActivityDataIssuesDetail]["&amp;ROW(B172)-ROW($B$156)&amp;"][AnnexIActivity]",Submission!$O:$O,Submission!$H:$N,""))</f>
        <v/>
      </c>
      <c r="D172" s="260"/>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61" t="str">
        <f>_xlfn.CONCAT(_xlfn.XLOOKUP("[S08_ActivityDataIssuesDetail]["&amp;ROW(B172)-ROW($B$156)&amp;"][NumberOfInstallationsConEst]",Submission!$O:$O,Submission!$H:$N,""))</f>
        <v/>
      </c>
      <c r="I172" s="462"/>
    </row>
    <row r="173" spans="3:9" ht="54" hidden="1" customHeight="1" outlineLevel="1" x14ac:dyDescent="0.3">
      <c r="C173" s="258" t="str">
        <f>_xlfn.CONCAT(_xlfn.XLOOKUP("[S08_ActivityDataIssuesDetail]["&amp;ROW(B173)-ROW($B$156)&amp;"][AnnexIActivity]",Submission!$O:$O,Submission!$H:$N,""))</f>
        <v/>
      </c>
      <c r="D173" s="260"/>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61" t="str">
        <f>_xlfn.CONCAT(_xlfn.XLOOKUP("[S08_ActivityDataIssuesDetail]["&amp;ROW(B173)-ROW($B$156)&amp;"][NumberOfInstallationsConEst]",Submission!$O:$O,Submission!$H:$N,""))</f>
        <v/>
      </c>
      <c r="I173" s="462"/>
    </row>
    <row r="174" spans="3:9" ht="54" hidden="1" customHeight="1" outlineLevel="1" x14ac:dyDescent="0.3">
      <c r="C174" s="258" t="str">
        <f>_xlfn.CONCAT(_xlfn.XLOOKUP("[S08_ActivityDataIssuesDetail]["&amp;ROW(B174)-ROW($B$156)&amp;"][AnnexIActivity]",Submission!$O:$O,Submission!$H:$N,""))</f>
        <v/>
      </c>
      <c r="D174" s="260"/>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61" t="str">
        <f>_xlfn.CONCAT(_xlfn.XLOOKUP("[S08_ActivityDataIssuesDetail]["&amp;ROW(B174)-ROW($B$156)&amp;"][NumberOfInstallationsConEst]",Submission!$O:$O,Submission!$H:$N,""))</f>
        <v/>
      </c>
      <c r="I174" s="462"/>
    </row>
    <row r="175" spans="3:9" ht="54" hidden="1" customHeight="1" outlineLevel="1" x14ac:dyDescent="0.3">
      <c r="C175" s="258" t="str">
        <f>_xlfn.CONCAT(_xlfn.XLOOKUP("[S08_ActivityDataIssuesDetail]["&amp;ROW(B175)-ROW($B$156)&amp;"][AnnexIActivity]",Submission!$O:$O,Submission!$H:$N,""))</f>
        <v/>
      </c>
      <c r="D175" s="260"/>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61" t="str">
        <f>_xlfn.CONCAT(_xlfn.XLOOKUP("[S08_ActivityDataIssuesDetail]["&amp;ROW(B175)-ROW($B$156)&amp;"][NumberOfInstallationsConEst]",Submission!$O:$O,Submission!$H:$N,""))</f>
        <v/>
      </c>
      <c r="I175" s="462"/>
    </row>
    <row r="176" spans="3:9" ht="54" hidden="1" customHeight="1" outlineLevel="1" x14ac:dyDescent="0.3">
      <c r="C176" s="258" t="str">
        <f>_xlfn.CONCAT(_xlfn.XLOOKUP("[S08_ActivityDataIssuesDetail]["&amp;ROW(B176)-ROW($B$156)&amp;"][AnnexIActivity]",Submission!$O:$O,Submission!$H:$N,""))</f>
        <v/>
      </c>
      <c r="D176" s="260"/>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61" t="str">
        <f>_xlfn.CONCAT(_xlfn.XLOOKUP("[S08_ActivityDataIssuesDetail]["&amp;ROW(B176)-ROW($B$156)&amp;"][NumberOfInstallationsConEst]",Submission!$O:$O,Submission!$H:$N,""))</f>
        <v/>
      </c>
      <c r="I176" s="462"/>
    </row>
    <row r="177" spans="3:9" ht="54" hidden="1" customHeight="1" outlineLevel="1" x14ac:dyDescent="0.3">
      <c r="C177" s="258" t="str">
        <f>_xlfn.CONCAT(_xlfn.XLOOKUP("[S08_ActivityDataIssuesDetail]["&amp;ROW(B177)-ROW($B$156)&amp;"][AnnexIActivity]",Submission!$O:$O,Submission!$H:$N,""))</f>
        <v/>
      </c>
      <c r="D177" s="260"/>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61" t="str">
        <f>_xlfn.CONCAT(_xlfn.XLOOKUP("[S08_ActivityDataIssuesDetail]["&amp;ROW(B177)-ROW($B$156)&amp;"][NumberOfInstallationsConEst]",Submission!$O:$O,Submission!$H:$N,""))</f>
        <v/>
      </c>
      <c r="I177" s="462"/>
    </row>
    <row r="178" spans="3:9" ht="54" hidden="1" customHeight="1" outlineLevel="1" x14ac:dyDescent="0.3">
      <c r="C178" s="258" t="str">
        <f>_xlfn.CONCAT(_xlfn.XLOOKUP("[S08_ActivityDataIssuesDetail]["&amp;ROW(B178)-ROW($B$156)&amp;"][AnnexIActivity]",Submission!$O:$O,Submission!$H:$N,""))</f>
        <v/>
      </c>
      <c r="D178" s="260"/>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61" t="str">
        <f>_xlfn.CONCAT(_xlfn.XLOOKUP("[S08_ActivityDataIssuesDetail]["&amp;ROW(B178)-ROW($B$156)&amp;"][NumberOfInstallationsConEst]",Submission!$O:$O,Submission!$H:$N,""))</f>
        <v/>
      </c>
      <c r="I178" s="462"/>
    </row>
    <row r="179" spans="3:9" ht="54" hidden="1" customHeight="1" outlineLevel="1" x14ac:dyDescent="0.3">
      <c r="C179" s="258" t="str">
        <f>_xlfn.CONCAT(_xlfn.XLOOKUP("[S08_ActivityDataIssuesDetail]["&amp;ROW(B179)-ROW($B$156)&amp;"][AnnexIActivity]",Submission!$O:$O,Submission!$H:$N,""))</f>
        <v/>
      </c>
      <c r="D179" s="260"/>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61" t="str">
        <f>_xlfn.CONCAT(_xlfn.XLOOKUP("[S08_ActivityDataIssuesDetail]["&amp;ROW(B179)-ROW($B$156)&amp;"][NumberOfInstallationsConEst]",Submission!$O:$O,Submission!$H:$N,""))</f>
        <v/>
      </c>
      <c r="I179" s="462"/>
    </row>
    <row r="180" spans="3:9" ht="54" hidden="1" customHeight="1" outlineLevel="1" x14ac:dyDescent="0.3">
      <c r="C180" s="258" t="str">
        <f>_xlfn.CONCAT(_xlfn.XLOOKUP("[S08_ActivityDataIssuesDetail]["&amp;ROW(B180)-ROW($B$156)&amp;"][AnnexIActivity]",Submission!$O:$O,Submission!$H:$N,""))</f>
        <v/>
      </c>
      <c r="D180" s="260"/>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61" t="str">
        <f>_xlfn.CONCAT(_xlfn.XLOOKUP("[S08_ActivityDataIssuesDetail]["&amp;ROW(B180)-ROW($B$156)&amp;"][NumberOfInstallationsConEst]",Submission!$O:$O,Submission!$H:$N,""))</f>
        <v/>
      </c>
      <c r="I180" s="462"/>
    </row>
    <row r="181" spans="3:9" ht="54" hidden="1" customHeight="1" outlineLevel="1" x14ac:dyDescent="0.3">
      <c r="C181" s="258" t="str">
        <f>_xlfn.CONCAT(_xlfn.XLOOKUP("[S08_ActivityDataIssuesDetail]["&amp;ROW(B181)-ROW($B$156)&amp;"][AnnexIActivity]",Submission!$O:$O,Submission!$H:$N,""))</f>
        <v/>
      </c>
      <c r="D181" s="260"/>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61" t="str">
        <f>_xlfn.CONCAT(_xlfn.XLOOKUP("[S08_ActivityDataIssuesDetail]["&amp;ROW(B181)-ROW($B$156)&amp;"][NumberOfInstallationsConEst]",Submission!$O:$O,Submission!$H:$N,""))</f>
        <v/>
      </c>
      <c r="I181" s="462"/>
    </row>
    <row r="182" spans="3:9" ht="54" hidden="1" customHeight="1" outlineLevel="1" x14ac:dyDescent="0.3">
      <c r="C182" s="258" t="str">
        <f>_xlfn.CONCAT(_xlfn.XLOOKUP("[S08_ActivityDataIssuesDetail]["&amp;ROW(B182)-ROW($B$156)&amp;"][AnnexIActivity]",Submission!$O:$O,Submission!$H:$N,""))</f>
        <v/>
      </c>
      <c r="D182" s="260"/>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61" t="str">
        <f>_xlfn.CONCAT(_xlfn.XLOOKUP("[S08_ActivityDataIssuesDetail]["&amp;ROW(B182)-ROW($B$156)&amp;"][NumberOfInstallationsConEst]",Submission!$O:$O,Submission!$H:$N,""))</f>
        <v/>
      </c>
      <c r="I182" s="462"/>
    </row>
    <row r="183" spans="3:9" ht="54" hidden="1" customHeight="1" outlineLevel="1" x14ac:dyDescent="0.3">
      <c r="C183" s="258" t="str">
        <f>_xlfn.CONCAT(_xlfn.XLOOKUP("[S08_ActivityDataIssuesDetail]["&amp;ROW(B183)-ROW($B$156)&amp;"][AnnexIActivity]",Submission!$O:$O,Submission!$H:$N,""))</f>
        <v/>
      </c>
      <c r="D183" s="260"/>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61" t="str">
        <f>_xlfn.CONCAT(_xlfn.XLOOKUP("[S08_ActivityDataIssuesDetail]["&amp;ROW(B183)-ROW($B$156)&amp;"][NumberOfInstallationsConEst]",Submission!$O:$O,Submission!$H:$N,""))</f>
        <v/>
      </c>
      <c r="I183" s="462"/>
    </row>
    <row r="184" spans="3:9" ht="54" hidden="1" customHeight="1" outlineLevel="1" x14ac:dyDescent="0.3">
      <c r="C184" s="258" t="str">
        <f>_xlfn.CONCAT(_xlfn.XLOOKUP("[S08_ActivityDataIssuesDetail]["&amp;ROW(B184)-ROW($B$156)&amp;"][AnnexIActivity]",Submission!$O:$O,Submission!$H:$N,""))</f>
        <v/>
      </c>
      <c r="D184" s="260"/>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61" t="str">
        <f>_xlfn.CONCAT(_xlfn.XLOOKUP("[S08_ActivityDataIssuesDetail]["&amp;ROW(B184)-ROW($B$156)&amp;"][NumberOfInstallationsConEst]",Submission!$O:$O,Submission!$H:$N,""))</f>
        <v/>
      </c>
      <c r="I184" s="462"/>
    </row>
    <row r="185" spans="3:9" ht="54" hidden="1" customHeight="1" outlineLevel="1" x14ac:dyDescent="0.3">
      <c r="C185" s="258" t="str">
        <f>_xlfn.CONCAT(_xlfn.XLOOKUP("[S08_ActivityDataIssuesDetail]["&amp;ROW(B185)-ROW($B$156)&amp;"][AnnexIActivity]",Submission!$O:$O,Submission!$H:$N,""))</f>
        <v/>
      </c>
      <c r="D185" s="260"/>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61" t="str">
        <f>_xlfn.CONCAT(_xlfn.XLOOKUP("[S08_ActivityDataIssuesDetail]["&amp;ROW(B185)-ROW($B$156)&amp;"][NumberOfInstallationsConEst]",Submission!$O:$O,Submission!$H:$N,""))</f>
        <v/>
      </c>
      <c r="I185" s="462"/>
    </row>
    <row r="186" spans="3:9" ht="54" hidden="1" customHeight="1" outlineLevel="1" x14ac:dyDescent="0.3">
      <c r="C186" s="258" t="str">
        <f>_xlfn.CONCAT(_xlfn.XLOOKUP("[S08_ActivityDataIssuesDetail]["&amp;ROW(B186)-ROW($B$156)&amp;"][AnnexIActivity]",Submission!$O:$O,Submission!$H:$N,""))</f>
        <v/>
      </c>
      <c r="D186" s="260"/>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61" t="str">
        <f>_xlfn.CONCAT(_xlfn.XLOOKUP("[S08_ActivityDataIssuesDetail]["&amp;ROW(B186)-ROW($B$156)&amp;"][NumberOfInstallationsConEst]",Submission!$O:$O,Submission!$H:$N,""))</f>
        <v/>
      </c>
      <c r="I186" s="462"/>
    </row>
    <row r="187" spans="3:9" ht="54" hidden="1" customHeight="1" outlineLevel="1" x14ac:dyDescent="0.3">
      <c r="C187" s="258" t="str">
        <f>_xlfn.CONCAT(_xlfn.XLOOKUP("[S08_ActivityDataIssuesDetail]["&amp;ROW(B187)-ROW($B$156)&amp;"][AnnexIActivity]",Submission!$O:$O,Submission!$H:$N,""))</f>
        <v/>
      </c>
      <c r="D187" s="260"/>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61" t="str">
        <f>_xlfn.CONCAT(_xlfn.XLOOKUP("[S08_ActivityDataIssuesDetail]["&amp;ROW(B187)-ROW($B$156)&amp;"][NumberOfInstallationsConEst]",Submission!$O:$O,Submission!$H:$N,""))</f>
        <v/>
      </c>
      <c r="I187" s="462"/>
    </row>
    <row r="188" spans="3:9" ht="54" hidden="1" customHeight="1" outlineLevel="1" x14ac:dyDescent="0.3">
      <c r="C188" s="258" t="str">
        <f>_xlfn.CONCAT(_xlfn.XLOOKUP("[S08_ActivityDataIssuesDetail]["&amp;ROW(B188)-ROW($B$156)&amp;"][AnnexIActivity]",Submission!$O:$O,Submission!$H:$N,""))</f>
        <v/>
      </c>
      <c r="D188" s="260"/>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61" t="str">
        <f>_xlfn.CONCAT(_xlfn.XLOOKUP("[S08_ActivityDataIssuesDetail]["&amp;ROW(B188)-ROW($B$156)&amp;"][NumberOfInstallationsConEst]",Submission!$O:$O,Submission!$H:$N,""))</f>
        <v/>
      </c>
      <c r="I188" s="462"/>
    </row>
    <row r="189" spans="3:9" ht="54" hidden="1" customHeight="1" outlineLevel="1" x14ac:dyDescent="0.3">
      <c r="C189" s="258" t="str">
        <f>_xlfn.CONCAT(_xlfn.XLOOKUP("[S08_ActivityDataIssuesDetail]["&amp;ROW(B189)-ROW($B$156)&amp;"][AnnexIActivity]",Submission!$O:$O,Submission!$H:$N,""))</f>
        <v/>
      </c>
      <c r="D189" s="260"/>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61" t="str">
        <f>_xlfn.CONCAT(_xlfn.XLOOKUP("[S08_ActivityDataIssuesDetail]["&amp;ROW(B189)-ROW($B$156)&amp;"][NumberOfInstallationsConEst]",Submission!$O:$O,Submission!$H:$N,""))</f>
        <v/>
      </c>
      <c r="I189" s="462"/>
    </row>
    <row r="190" spans="3:9" ht="54" hidden="1" customHeight="1" outlineLevel="1" x14ac:dyDescent="0.3">
      <c r="C190" s="258" t="str">
        <f>_xlfn.CONCAT(_xlfn.XLOOKUP("[S08_ActivityDataIssuesDetail]["&amp;ROW(B190)-ROW($B$156)&amp;"][AnnexIActivity]",Submission!$O:$O,Submission!$H:$N,""))</f>
        <v/>
      </c>
      <c r="D190" s="260"/>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61" t="str">
        <f>_xlfn.CONCAT(_xlfn.XLOOKUP("[S08_ActivityDataIssuesDetail]["&amp;ROW(B190)-ROW($B$156)&amp;"][NumberOfInstallationsConEst]",Submission!$O:$O,Submission!$H:$N,""))</f>
        <v/>
      </c>
      <c r="I190" s="462"/>
    </row>
    <row r="191" spans="3:9" ht="54" hidden="1" customHeight="1" outlineLevel="1" x14ac:dyDescent="0.3">
      <c r="C191" s="258" t="str">
        <f>_xlfn.CONCAT(_xlfn.XLOOKUP("[S08_ActivityDataIssuesDetail]["&amp;ROW(B191)-ROW($B$156)&amp;"][AnnexIActivity]",Submission!$O:$O,Submission!$H:$N,""))</f>
        <v/>
      </c>
      <c r="D191" s="260"/>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61" t="str">
        <f>_xlfn.CONCAT(_xlfn.XLOOKUP("[S08_ActivityDataIssuesDetail]["&amp;ROW(B191)-ROW($B$156)&amp;"][NumberOfInstallationsConEst]",Submission!$O:$O,Submission!$H:$N,""))</f>
        <v/>
      </c>
      <c r="I191" s="462"/>
    </row>
    <row r="192" spans="3:9" ht="54" hidden="1" customHeight="1" outlineLevel="1" x14ac:dyDescent="0.3">
      <c r="C192" s="258" t="str">
        <f>_xlfn.CONCAT(_xlfn.XLOOKUP("[S08_ActivityDataIssuesDetail]["&amp;ROW(B192)-ROW($B$156)&amp;"][AnnexIActivity]",Submission!$O:$O,Submission!$H:$N,""))</f>
        <v/>
      </c>
      <c r="D192" s="260"/>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61" t="str">
        <f>_xlfn.CONCAT(_xlfn.XLOOKUP("[S08_ActivityDataIssuesDetail]["&amp;ROW(B192)-ROW($B$156)&amp;"][NumberOfInstallationsConEst]",Submission!$O:$O,Submission!$H:$N,""))</f>
        <v/>
      </c>
      <c r="I192" s="462"/>
    </row>
    <row r="193" spans="3:9" ht="54" hidden="1" customHeight="1" outlineLevel="1" x14ac:dyDescent="0.3">
      <c r="C193" s="258" t="str">
        <f>_xlfn.CONCAT(_xlfn.XLOOKUP("[S08_ActivityDataIssuesDetail]["&amp;ROW(B193)-ROW($B$156)&amp;"][AnnexIActivity]",Submission!$O:$O,Submission!$H:$N,""))</f>
        <v/>
      </c>
      <c r="D193" s="260"/>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61" t="str">
        <f>_xlfn.CONCAT(_xlfn.XLOOKUP("[S08_ActivityDataIssuesDetail]["&amp;ROW(B193)-ROW($B$156)&amp;"][NumberOfInstallationsConEst]",Submission!$O:$O,Submission!$H:$N,""))</f>
        <v/>
      </c>
      <c r="I193" s="462"/>
    </row>
    <row r="194" spans="3:9" ht="54" hidden="1" customHeight="1" outlineLevel="1" x14ac:dyDescent="0.3">
      <c r="C194" s="258" t="str">
        <f>_xlfn.CONCAT(_xlfn.XLOOKUP("[S08_ActivityDataIssuesDetail]["&amp;ROW(B194)-ROW($B$156)&amp;"][AnnexIActivity]",Submission!$O:$O,Submission!$H:$N,""))</f>
        <v/>
      </c>
      <c r="D194" s="260"/>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61" t="str">
        <f>_xlfn.CONCAT(_xlfn.XLOOKUP("[S08_ActivityDataIssuesDetail]["&amp;ROW(B194)-ROW($B$156)&amp;"][NumberOfInstallationsConEst]",Submission!$O:$O,Submission!$H:$N,""))</f>
        <v/>
      </c>
      <c r="I194" s="462"/>
    </row>
    <row r="195" spans="3:9" ht="54" hidden="1" customHeight="1" outlineLevel="1" x14ac:dyDescent="0.3">
      <c r="C195" s="258" t="str">
        <f>_xlfn.CONCAT(_xlfn.XLOOKUP("[S08_ActivityDataIssuesDetail]["&amp;ROW(B195)-ROW($B$156)&amp;"][AnnexIActivity]",Submission!$O:$O,Submission!$H:$N,""))</f>
        <v/>
      </c>
      <c r="D195" s="260"/>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61" t="str">
        <f>_xlfn.CONCAT(_xlfn.XLOOKUP("[S08_ActivityDataIssuesDetail]["&amp;ROW(B195)-ROW($B$156)&amp;"][NumberOfInstallationsConEst]",Submission!$O:$O,Submission!$H:$N,""))</f>
        <v/>
      </c>
      <c r="I195" s="462"/>
    </row>
    <row r="196" spans="3:9" ht="54" hidden="1" customHeight="1" outlineLevel="1" x14ac:dyDescent="0.3">
      <c r="C196" s="258" t="str">
        <f>_xlfn.CONCAT(_xlfn.XLOOKUP("[S08_ActivityDataIssuesDetail]["&amp;ROW(B196)-ROW($B$156)&amp;"][AnnexIActivity]",Submission!$O:$O,Submission!$H:$N,""))</f>
        <v/>
      </c>
      <c r="D196" s="260"/>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61" t="str">
        <f>_xlfn.CONCAT(_xlfn.XLOOKUP("[S08_ActivityDataIssuesDetail]["&amp;ROW(B196)-ROW($B$156)&amp;"][NumberOfInstallationsConEst]",Submission!$O:$O,Submission!$H:$N,""))</f>
        <v/>
      </c>
      <c r="I196" s="462"/>
    </row>
    <row r="197" spans="3:9" ht="54" hidden="1" customHeight="1" outlineLevel="1" x14ac:dyDescent="0.3">
      <c r="C197" s="258" t="str">
        <f>_xlfn.CONCAT(_xlfn.XLOOKUP("[S08_ActivityDataIssuesDetail]["&amp;ROW(B197)-ROW($B$156)&amp;"][AnnexIActivity]",Submission!$O:$O,Submission!$H:$N,""))</f>
        <v/>
      </c>
      <c r="D197" s="260"/>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61" t="str">
        <f>_xlfn.CONCAT(_xlfn.XLOOKUP("[S08_ActivityDataIssuesDetail]["&amp;ROW(B197)-ROW($B$156)&amp;"][NumberOfInstallationsConEst]",Submission!$O:$O,Submission!$H:$N,""))</f>
        <v/>
      </c>
      <c r="I197" s="462"/>
    </row>
    <row r="198" spans="3:9" ht="54" hidden="1" customHeight="1" outlineLevel="1" x14ac:dyDescent="0.3">
      <c r="C198" s="258" t="str">
        <f>_xlfn.CONCAT(_xlfn.XLOOKUP("[S08_ActivityDataIssuesDetail]["&amp;ROW(B198)-ROW($B$156)&amp;"][AnnexIActivity]",Submission!$O:$O,Submission!$H:$N,""))</f>
        <v/>
      </c>
      <c r="D198" s="260"/>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61" t="str">
        <f>_xlfn.CONCAT(_xlfn.XLOOKUP("[S08_ActivityDataIssuesDetail]["&amp;ROW(B198)-ROW($B$156)&amp;"][NumberOfInstallationsConEst]",Submission!$O:$O,Submission!$H:$N,""))</f>
        <v/>
      </c>
      <c r="I198" s="462"/>
    </row>
    <row r="199" spans="3:9" ht="54" hidden="1" customHeight="1" outlineLevel="1" x14ac:dyDescent="0.3">
      <c r="C199" s="258" t="str">
        <f>_xlfn.CONCAT(_xlfn.XLOOKUP("[S08_ActivityDataIssuesDetail]["&amp;ROW(B199)-ROW($B$156)&amp;"][AnnexIActivity]",Submission!$O:$O,Submission!$H:$N,""))</f>
        <v/>
      </c>
      <c r="D199" s="260"/>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61" t="str">
        <f>_xlfn.CONCAT(_xlfn.XLOOKUP("[S08_ActivityDataIssuesDetail]["&amp;ROW(B199)-ROW($B$156)&amp;"][NumberOfInstallationsConEst]",Submission!$O:$O,Submission!$H:$N,""))</f>
        <v/>
      </c>
      <c r="I199" s="462"/>
    </row>
    <row r="200" spans="3:9" ht="54" hidden="1" customHeight="1" outlineLevel="1" x14ac:dyDescent="0.3">
      <c r="C200" s="258" t="str">
        <f>_xlfn.CONCAT(_xlfn.XLOOKUP("[S08_ActivityDataIssuesDetail]["&amp;ROW(B200)-ROW($B$156)&amp;"][AnnexIActivity]",Submission!$O:$O,Submission!$H:$N,""))</f>
        <v/>
      </c>
      <c r="D200" s="260"/>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61" t="str">
        <f>_xlfn.CONCAT(_xlfn.XLOOKUP("[S08_ActivityDataIssuesDetail]["&amp;ROW(B200)-ROW($B$156)&amp;"][NumberOfInstallationsConEst]",Submission!$O:$O,Submission!$H:$N,""))</f>
        <v/>
      </c>
      <c r="I200" s="462"/>
    </row>
    <row r="201" spans="3:9" ht="54" hidden="1" customHeight="1" outlineLevel="1" x14ac:dyDescent="0.3">
      <c r="C201" s="258" t="str">
        <f>_xlfn.CONCAT(_xlfn.XLOOKUP("[S08_ActivityDataIssuesDetail]["&amp;ROW(B201)-ROW($B$156)&amp;"][AnnexIActivity]",Submission!$O:$O,Submission!$H:$N,""))</f>
        <v/>
      </c>
      <c r="D201" s="260"/>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61" t="str">
        <f>_xlfn.CONCAT(_xlfn.XLOOKUP("[S08_ActivityDataIssuesDetail]["&amp;ROW(B201)-ROW($B$156)&amp;"][NumberOfInstallationsConEst]",Submission!$O:$O,Submission!$H:$N,""))</f>
        <v/>
      </c>
      <c r="I201" s="462"/>
    </row>
    <row r="202" spans="3:9" ht="54" hidden="1" customHeight="1" outlineLevel="1" x14ac:dyDescent="0.3">
      <c r="C202" s="258" t="str">
        <f>_xlfn.CONCAT(_xlfn.XLOOKUP("[S08_ActivityDataIssuesDetail]["&amp;ROW(B202)-ROW($B$156)&amp;"][AnnexIActivity]",Submission!$O:$O,Submission!$H:$N,""))</f>
        <v/>
      </c>
      <c r="D202" s="260"/>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61" t="str">
        <f>_xlfn.CONCAT(_xlfn.XLOOKUP("[S08_ActivityDataIssuesDetail]["&amp;ROW(B202)-ROW($B$156)&amp;"][NumberOfInstallationsConEst]",Submission!$O:$O,Submission!$H:$N,""))</f>
        <v/>
      </c>
      <c r="I202" s="462"/>
    </row>
    <row r="203" spans="3:9" ht="54" hidden="1" customHeight="1" outlineLevel="1" x14ac:dyDescent="0.3">
      <c r="C203" s="258" t="str">
        <f>_xlfn.CONCAT(_xlfn.XLOOKUP("[S08_ActivityDataIssuesDetail]["&amp;ROW(B203)-ROW($B$156)&amp;"][AnnexIActivity]",Submission!$O:$O,Submission!$H:$N,""))</f>
        <v/>
      </c>
      <c r="D203" s="260"/>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61" t="str">
        <f>_xlfn.CONCAT(_xlfn.XLOOKUP("[S08_ActivityDataIssuesDetail]["&amp;ROW(B203)-ROW($B$156)&amp;"][NumberOfInstallationsConEst]",Submission!$O:$O,Submission!$H:$N,""))</f>
        <v/>
      </c>
      <c r="I203" s="462"/>
    </row>
    <row r="204" spans="3:9" ht="54" hidden="1" customHeight="1" outlineLevel="1" x14ac:dyDescent="0.3">
      <c r="C204" s="258" t="str">
        <f>_xlfn.CONCAT(_xlfn.XLOOKUP("[S08_ActivityDataIssuesDetail]["&amp;ROW(B204)-ROW($B$156)&amp;"][AnnexIActivity]",Submission!$O:$O,Submission!$H:$N,""))</f>
        <v/>
      </c>
      <c r="D204" s="260"/>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61" t="str">
        <f>_xlfn.CONCAT(_xlfn.XLOOKUP("[S08_ActivityDataIssuesDetail]["&amp;ROW(B204)-ROW($B$156)&amp;"][NumberOfInstallationsConEst]",Submission!$O:$O,Submission!$H:$N,""))</f>
        <v/>
      </c>
      <c r="I204" s="462"/>
    </row>
    <row r="205" spans="3:9" ht="54" hidden="1" customHeight="1" outlineLevel="1" x14ac:dyDescent="0.3">
      <c r="C205" s="258" t="str">
        <f>_xlfn.CONCAT(_xlfn.XLOOKUP("[S08_ActivityDataIssuesDetail]["&amp;ROW(B205)-ROW($B$156)&amp;"][AnnexIActivity]",Submission!$O:$O,Submission!$H:$N,""))</f>
        <v/>
      </c>
      <c r="D205" s="260"/>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61" t="str">
        <f>_xlfn.CONCAT(_xlfn.XLOOKUP("[S08_ActivityDataIssuesDetail]["&amp;ROW(B205)-ROW($B$156)&amp;"][NumberOfInstallationsConEst]",Submission!$O:$O,Submission!$H:$N,""))</f>
        <v/>
      </c>
      <c r="I205" s="462"/>
    </row>
    <row r="206" spans="3:9" ht="54" hidden="1" customHeight="1" outlineLevel="1" x14ac:dyDescent="0.3">
      <c r="C206" s="258" t="str">
        <f>_xlfn.CONCAT(_xlfn.XLOOKUP("[S08_ActivityDataIssuesDetail]["&amp;ROW(B206)-ROW($B$156)&amp;"][AnnexIActivity]",Submission!$O:$O,Submission!$H:$N,""))</f>
        <v/>
      </c>
      <c r="D206" s="260"/>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61" t="str">
        <f>_xlfn.CONCAT(_xlfn.XLOOKUP("[S08_ActivityDataIssuesDetail]["&amp;ROW(B206)-ROW($B$156)&amp;"][NumberOfInstallationsConEst]",Submission!$O:$O,Submission!$H:$N,""))</f>
        <v/>
      </c>
      <c r="I206" s="462"/>
    </row>
    <row r="207" spans="3:9" ht="54" hidden="1" customHeight="1" outlineLevel="1" x14ac:dyDescent="0.3">
      <c r="C207" s="258" t="str">
        <f>_xlfn.CONCAT(_xlfn.XLOOKUP("[S08_ActivityDataIssuesDetail]["&amp;ROW(B207)-ROW($B$156)&amp;"][AnnexIActivity]",Submission!$O:$O,Submission!$H:$N,""))</f>
        <v/>
      </c>
      <c r="D207" s="260"/>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61" t="str">
        <f>_xlfn.CONCAT(_xlfn.XLOOKUP("[S08_ActivityDataIssuesDetail]["&amp;ROW(B207)-ROW($B$156)&amp;"][NumberOfInstallationsConEst]",Submission!$O:$O,Submission!$H:$N,""))</f>
        <v/>
      </c>
      <c r="I207" s="462"/>
    </row>
    <row r="208" spans="3:9" ht="54" hidden="1" customHeight="1" outlineLevel="1" x14ac:dyDescent="0.3">
      <c r="C208" s="258" t="str">
        <f>_xlfn.CONCAT(_xlfn.XLOOKUP("[S08_ActivityDataIssuesDetail]["&amp;ROW(B208)-ROW($B$156)&amp;"][AnnexIActivity]",Submission!$O:$O,Submission!$H:$N,""))</f>
        <v/>
      </c>
      <c r="D208" s="260"/>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61" t="str">
        <f>_xlfn.CONCAT(_xlfn.XLOOKUP("[S08_ActivityDataIssuesDetail]["&amp;ROW(B208)-ROW($B$156)&amp;"][NumberOfInstallationsConEst]",Submission!$O:$O,Submission!$H:$N,""))</f>
        <v/>
      </c>
      <c r="I208" s="462"/>
    </row>
    <row r="209" spans="3:9" ht="54" hidden="1" customHeight="1" outlineLevel="1" x14ac:dyDescent="0.3">
      <c r="C209" s="258" t="str">
        <f>_xlfn.CONCAT(_xlfn.XLOOKUP("[S08_ActivityDataIssuesDetail]["&amp;ROW(B209)-ROW($B$156)&amp;"][AnnexIActivity]",Submission!$O:$O,Submission!$H:$N,""))</f>
        <v/>
      </c>
      <c r="D209" s="260"/>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61" t="str">
        <f>_xlfn.CONCAT(_xlfn.XLOOKUP("[S08_ActivityDataIssuesDetail]["&amp;ROW(B209)-ROW($B$156)&amp;"][NumberOfInstallationsConEst]",Submission!$O:$O,Submission!$H:$N,""))</f>
        <v/>
      </c>
      <c r="I209" s="462"/>
    </row>
    <row r="210" spans="3:9" ht="54" hidden="1" customHeight="1" outlineLevel="1" x14ac:dyDescent="0.3">
      <c r="C210" s="258" t="str">
        <f>_xlfn.CONCAT(_xlfn.XLOOKUP("[S08_ActivityDataIssuesDetail]["&amp;ROW(B210)-ROW($B$156)&amp;"][AnnexIActivity]",Submission!$O:$O,Submission!$H:$N,""))</f>
        <v/>
      </c>
      <c r="D210" s="260"/>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61" t="str">
        <f>_xlfn.CONCAT(_xlfn.XLOOKUP("[S08_ActivityDataIssuesDetail]["&amp;ROW(B210)-ROW($B$156)&amp;"][NumberOfInstallationsConEst]",Submission!$O:$O,Submission!$H:$N,""))</f>
        <v/>
      </c>
      <c r="I210" s="462"/>
    </row>
    <row r="211" spans="3:9" ht="54" hidden="1" customHeight="1" outlineLevel="1" x14ac:dyDescent="0.3">
      <c r="C211" s="258" t="str">
        <f>_xlfn.CONCAT(_xlfn.XLOOKUP("[S08_ActivityDataIssuesDetail]["&amp;ROW(B211)-ROW($B$156)&amp;"][AnnexIActivity]",Submission!$O:$O,Submission!$H:$N,""))</f>
        <v/>
      </c>
      <c r="D211" s="260"/>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61" t="str">
        <f>_xlfn.CONCAT(_xlfn.XLOOKUP("[S08_ActivityDataIssuesDetail]["&amp;ROW(B211)-ROW($B$156)&amp;"][NumberOfInstallationsConEst]",Submission!$O:$O,Submission!$H:$N,""))</f>
        <v/>
      </c>
      <c r="I211" s="462"/>
    </row>
    <row r="212" spans="3:9" ht="54" hidden="1" customHeight="1" outlineLevel="1" x14ac:dyDescent="0.3">
      <c r="C212" s="258" t="str">
        <f>_xlfn.CONCAT(_xlfn.XLOOKUP("[S08_ActivityDataIssuesDetail]["&amp;ROW(B212)-ROW($B$156)&amp;"][AnnexIActivity]",Submission!$O:$O,Submission!$H:$N,""))</f>
        <v/>
      </c>
      <c r="D212" s="260"/>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61" t="str">
        <f>_xlfn.CONCAT(_xlfn.XLOOKUP("[S08_ActivityDataIssuesDetail]["&amp;ROW(B212)-ROW($B$156)&amp;"][NumberOfInstallationsConEst]",Submission!$O:$O,Submission!$H:$N,""))</f>
        <v/>
      </c>
      <c r="I212" s="462"/>
    </row>
    <row r="213" spans="3:9" ht="54" hidden="1" customHeight="1" outlineLevel="1" x14ac:dyDescent="0.3">
      <c r="C213" s="258" t="str">
        <f>_xlfn.CONCAT(_xlfn.XLOOKUP("[S08_ActivityDataIssuesDetail]["&amp;ROW(B213)-ROW($B$156)&amp;"][AnnexIActivity]",Submission!$O:$O,Submission!$H:$N,""))</f>
        <v/>
      </c>
      <c r="D213" s="260"/>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61" t="str">
        <f>_xlfn.CONCAT(_xlfn.XLOOKUP("[S08_ActivityDataIssuesDetail]["&amp;ROW(B213)-ROW($B$156)&amp;"][NumberOfInstallationsConEst]",Submission!$O:$O,Submission!$H:$N,""))</f>
        <v/>
      </c>
      <c r="I213" s="462"/>
    </row>
    <row r="214" spans="3:9" ht="54" hidden="1" customHeight="1" outlineLevel="1" x14ac:dyDescent="0.3">
      <c r="C214" s="258" t="str">
        <f>_xlfn.CONCAT(_xlfn.XLOOKUP("[S08_ActivityDataIssuesDetail]["&amp;ROW(B214)-ROW($B$156)&amp;"][AnnexIActivity]",Submission!$O:$O,Submission!$H:$N,""))</f>
        <v/>
      </c>
      <c r="D214" s="260"/>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61" t="str">
        <f>_xlfn.CONCAT(_xlfn.XLOOKUP("[S08_ActivityDataIssuesDetail]["&amp;ROW(B214)-ROW($B$156)&amp;"][NumberOfInstallationsConEst]",Submission!$O:$O,Submission!$H:$N,""))</f>
        <v/>
      </c>
      <c r="I214" s="462"/>
    </row>
    <row r="215" spans="3:9" ht="54" hidden="1" customHeight="1" outlineLevel="1" x14ac:dyDescent="0.3">
      <c r="C215" s="258" t="str">
        <f>_xlfn.CONCAT(_xlfn.XLOOKUP("[S08_ActivityDataIssuesDetail]["&amp;ROW(B215)-ROW($B$156)&amp;"][AnnexIActivity]",Submission!$O:$O,Submission!$H:$N,""))</f>
        <v/>
      </c>
      <c r="D215" s="260"/>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61" t="str">
        <f>_xlfn.CONCAT(_xlfn.XLOOKUP("[S08_ActivityDataIssuesDetail]["&amp;ROW(B215)-ROW($B$156)&amp;"][NumberOfInstallationsConEst]",Submission!$O:$O,Submission!$H:$N,""))</f>
        <v/>
      </c>
      <c r="I215" s="462"/>
    </row>
    <row r="216" spans="3:9" ht="54" hidden="1" customHeight="1" outlineLevel="1" x14ac:dyDescent="0.3">
      <c r="C216" s="258" t="str">
        <f>_xlfn.CONCAT(_xlfn.XLOOKUP("[S08_ActivityDataIssuesDetail]["&amp;ROW(B216)-ROW($B$156)&amp;"][AnnexIActivity]",Submission!$O:$O,Submission!$H:$N,""))</f>
        <v/>
      </c>
      <c r="D216" s="260"/>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61" t="str">
        <f>_xlfn.CONCAT(_xlfn.XLOOKUP("[S08_ActivityDataIssuesDetail]["&amp;ROW(B216)-ROW($B$156)&amp;"][NumberOfInstallationsConEst]",Submission!$O:$O,Submission!$H:$N,""))</f>
        <v/>
      </c>
      <c r="I216" s="462"/>
    </row>
    <row r="217" spans="3:9" ht="54" hidden="1" customHeight="1" outlineLevel="1" x14ac:dyDescent="0.3">
      <c r="C217" s="258" t="str">
        <f>_xlfn.CONCAT(_xlfn.XLOOKUP("[S08_ActivityDataIssuesDetail]["&amp;ROW(B217)-ROW($B$156)&amp;"][AnnexIActivity]",Submission!$O:$O,Submission!$H:$N,""))</f>
        <v/>
      </c>
      <c r="D217" s="260"/>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61" t="str">
        <f>_xlfn.CONCAT(_xlfn.XLOOKUP("[S08_ActivityDataIssuesDetail]["&amp;ROW(B217)-ROW($B$156)&amp;"][NumberOfInstallationsConEst]",Submission!$O:$O,Submission!$H:$N,""))</f>
        <v/>
      </c>
      <c r="I217" s="462"/>
    </row>
    <row r="218" spans="3:9" ht="54" hidden="1" customHeight="1" outlineLevel="1" x14ac:dyDescent="0.3">
      <c r="C218" s="258" t="str">
        <f>_xlfn.CONCAT(_xlfn.XLOOKUP("[S08_ActivityDataIssuesDetail]["&amp;ROW(B218)-ROW($B$156)&amp;"][AnnexIActivity]",Submission!$O:$O,Submission!$H:$N,""))</f>
        <v/>
      </c>
      <c r="D218" s="260"/>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61" t="str">
        <f>_xlfn.CONCAT(_xlfn.XLOOKUP("[S08_ActivityDataIssuesDetail]["&amp;ROW(B218)-ROW($B$156)&amp;"][NumberOfInstallationsConEst]",Submission!$O:$O,Submission!$H:$N,""))</f>
        <v/>
      </c>
      <c r="I218" s="462"/>
    </row>
    <row r="219" spans="3:9" ht="54" hidden="1" customHeight="1" outlineLevel="1" x14ac:dyDescent="0.3">
      <c r="C219" s="258" t="str">
        <f>_xlfn.CONCAT(_xlfn.XLOOKUP("[S08_ActivityDataIssuesDetail]["&amp;ROW(B219)-ROW($B$156)&amp;"][AnnexIActivity]",Submission!$O:$O,Submission!$H:$N,""))</f>
        <v/>
      </c>
      <c r="D219" s="260"/>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61" t="str">
        <f>_xlfn.CONCAT(_xlfn.XLOOKUP("[S08_ActivityDataIssuesDetail]["&amp;ROW(B219)-ROW($B$156)&amp;"][NumberOfInstallationsConEst]",Submission!$O:$O,Submission!$H:$N,""))</f>
        <v/>
      </c>
      <c r="I219" s="462"/>
    </row>
    <row r="220" spans="3:9" ht="54" hidden="1" customHeight="1" outlineLevel="1" x14ac:dyDescent="0.3">
      <c r="C220" s="258" t="str">
        <f>_xlfn.CONCAT(_xlfn.XLOOKUP("[S08_ActivityDataIssuesDetail]["&amp;ROW(B220)-ROW($B$156)&amp;"][AnnexIActivity]",Submission!$O:$O,Submission!$H:$N,""))</f>
        <v/>
      </c>
      <c r="D220" s="260"/>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61" t="str">
        <f>_xlfn.CONCAT(_xlfn.XLOOKUP("[S08_ActivityDataIssuesDetail]["&amp;ROW(B220)-ROW($B$156)&amp;"][NumberOfInstallationsConEst]",Submission!$O:$O,Submission!$H:$N,""))</f>
        <v/>
      </c>
      <c r="I220" s="462"/>
    </row>
    <row r="221" spans="3:9" ht="54" hidden="1" customHeight="1" outlineLevel="1" x14ac:dyDescent="0.3">
      <c r="C221" s="258" t="str">
        <f>_xlfn.CONCAT(_xlfn.XLOOKUP("[S08_ActivityDataIssuesDetail]["&amp;ROW(B221)-ROW($B$156)&amp;"][AnnexIActivity]",Submission!$O:$O,Submission!$H:$N,""))</f>
        <v/>
      </c>
      <c r="D221" s="260"/>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61" t="str">
        <f>_xlfn.CONCAT(_xlfn.XLOOKUP("[S08_ActivityDataIssuesDetail]["&amp;ROW(B221)-ROW($B$156)&amp;"][NumberOfInstallationsConEst]",Submission!$O:$O,Submission!$H:$N,""))</f>
        <v/>
      </c>
      <c r="I221" s="462"/>
    </row>
    <row r="222" spans="3:9" ht="54" hidden="1" customHeight="1" outlineLevel="1" x14ac:dyDescent="0.3">
      <c r="C222" s="258" t="str">
        <f>_xlfn.CONCAT(_xlfn.XLOOKUP("[S08_ActivityDataIssuesDetail]["&amp;ROW(B222)-ROW($B$156)&amp;"][AnnexIActivity]",Submission!$O:$O,Submission!$H:$N,""))</f>
        <v/>
      </c>
      <c r="D222" s="260"/>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61" t="str">
        <f>_xlfn.CONCAT(_xlfn.XLOOKUP("[S08_ActivityDataIssuesDetail]["&amp;ROW(B222)-ROW($B$156)&amp;"][NumberOfInstallationsConEst]",Submission!$O:$O,Submission!$H:$N,""))</f>
        <v/>
      </c>
      <c r="I222" s="462"/>
    </row>
    <row r="223" spans="3:9" ht="54" hidden="1" customHeight="1" outlineLevel="1" x14ac:dyDescent="0.3">
      <c r="C223" s="258" t="str">
        <f>_xlfn.CONCAT(_xlfn.XLOOKUP("[S08_ActivityDataIssuesDetail]["&amp;ROW(B223)-ROW($B$156)&amp;"][AnnexIActivity]",Submission!$O:$O,Submission!$H:$N,""))</f>
        <v/>
      </c>
      <c r="D223" s="260"/>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61" t="str">
        <f>_xlfn.CONCAT(_xlfn.XLOOKUP("[S08_ActivityDataIssuesDetail]["&amp;ROW(B223)-ROW($B$156)&amp;"][NumberOfInstallationsConEst]",Submission!$O:$O,Submission!$H:$N,""))</f>
        <v/>
      </c>
      <c r="I223" s="462"/>
    </row>
    <row r="224" spans="3:9" ht="54" hidden="1" customHeight="1" outlineLevel="1" x14ac:dyDescent="0.3">
      <c r="C224" s="258" t="str">
        <f>_xlfn.CONCAT(_xlfn.XLOOKUP("[S08_ActivityDataIssuesDetail]["&amp;ROW(B224)-ROW($B$156)&amp;"][AnnexIActivity]",Submission!$O:$O,Submission!$H:$N,""))</f>
        <v/>
      </c>
      <c r="D224" s="260"/>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61" t="str">
        <f>_xlfn.CONCAT(_xlfn.XLOOKUP("[S08_ActivityDataIssuesDetail]["&amp;ROW(B224)-ROW($B$156)&amp;"][NumberOfInstallationsConEst]",Submission!$O:$O,Submission!$H:$N,""))</f>
        <v/>
      </c>
      <c r="I224" s="462"/>
    </row>
    <row r="225" spans="1:9" ht="54" hidden="1" customHeight="1" outlineLevel="1" x14ac:dyDescent="0.3">
      <c r="C225" s="258" t="str">
        <f>_xlfn.CONCAT(_xlfn.XLOOKUP("[S08_ActivityDataIssuesDetail]["&amp;ROW(B225)-ROW($B$156)&amp;"][AnnexIActivity]",Submission!$O:$O,Submission!$H:$N,""))</f>
        <v/>
      </c>
      <c r="D225" s="260"/>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61" t="str">
        <f>_xlfn.CONCAT(_xlfn.XLOOKUP("[S08_ActivityDataIssuesDetail]["&amp;ROW(B225)-ROW($B$156)&amp;"][NumberOfInstallationsConEst]",Submission!$O:$O,Submission!$H:$N,""))</f>
        <v/>
      </c>
      <c r="I225" s="462"/>
    </row>
    <row r="226" spans="1:9" ht="54" hidden="1" customHeight="1" outlineLevel="1" x14ac:dyDescent="0.3">
      <c r="C226" s="258" t="str">
        <f>_xlfn.CONCAT(_xlfn.XLOOKUP("[S08_ActivityDataIssuesDetail]["&amp;ROW(B226)-ROW($B$156)&amp;"][AnnexIActivity]",Submission!$O:$O,Submission!$H:$N,""))</f>
        <v/>
      </c>
      <c r="D226" s="260"/>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61" t="str">
        <f>_xlfn.CONCAT(_xlfn.XLOOKUP("[S08_ActivityDataIssuesDetail]["&amp;ROW(B226)-ROW($B$156)&amp;"][NumberOfInstallationsConEst]",Submission!$O:$O,Submission!$H:$N,""))</f>
        <v/>
      </c>
      <c r="I226" s="462"/>
    </row>
    <row r="227" spans="1:9" ht="54" hidden="1" customHeight="1" outlineLevel="1" x14ac:dyDescent="0.3">
      <c r="C227" s="258" t="str">
        <f>_xlfn.CONCAT(_xlfn.XLOOKUP("[S08_ActivityDataIssuesDetail]["&amp;ROW(B227)-ROW($B$156)&amp;"][AnnexIActivity]",Submission!$O:$O,Submission!$H:$N,""))</f>
        <v/>
      </c>
      <c r="D227" s="260"/>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61" t="str">
        <f>_xlfn.CONCAT(_xlfn.XLOOKUP("[S08_ActivityDataIssuesDetail]["&amp;ROW(B227)-ROW($B$156)&amp;"][NumberOfInstallationsConEst]",Submission!$O:$O,Submission!$H:$N,""))</f>
        <v/>
      </c>
      <c r="I227" s="462"/>
    </row>
    <row r="228" spans="1:9" ht="54" hidden="1" customHeight="1" outlineLevel="1" x14ac:dyDescent="0.3">
      <c r="C228" s="258" t="str">
        <f>_xlfn.CONCAT(_xlfn.XLOOKUP("[S08_ActivityDataIssuesDetail]["&amp;ROW(B228)-ROW($B$156)&amp;"][AnnexIActivity]",Submission!$O:$O,Submission!$H:$N,""))</f>
        <v/>
      </c>
      <c r="D228" s="260"/>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61" t="str">
        <f>_xlfn.CONCAT(_xlfn.XLOOKUP("[S08_ActivityDataIssuesDetail]["&amp;ROW(B228)-ROW($B$156)&amp;"][NumberOfInstallationsConEst]",Submission!$O:$O,Submission!$H:$N,""))</f>
        <v/>
      </c>
      <c r="I228" s="462"/>
    </row>
    <row r="229" spans="1:9" ht="54" hidden="1" customHeight="1" outlineLevel="1" x14ac:dyDescent="0.3">
      <c r="C229" s="258" t="str">
        <f>_xlfn.CONCAT(_xlfn.XLOOKUP("[S08_ActivityDataIssuesDetail]["&amp;ROW(B229)-ROW($B$156)&amp;"][AnnexIActivity]",Submission!$O:$O,Submission!$H:$N,""))</f>
        <v/>
      </c>
      <c r="D229" s="260"/>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61" t="str">
        <f>_xlfn.CONCAT(_xlfn.XLOOKUP("[S08_ActivityDataIssuesDetail]["&amp;ROW(B229)-ROW($B$156)&amp;"][NumberOfInstallationsConEst]",Submission!$O:$O,Submission!$H:$N,""))</f>
        <v/>
      </c>
      <c r="I229" s="462"/>
    </row>
    <row r="230" spans="1:9" ht="54" hidden="1" customHeight="1" outlineLevel="1" x14ac:dyDescent="0.3">
      <c r="C230" s="258" t="str">
        <f>_xlfn.CONCAT(_xlfn.XLOOKUP("[S08_ActivityDataIssuesDetail]["&amp;ROW(B230)-ROW($B$156)&amp;"][AnnexIActivity]",Submission!$O:$O,Submission!$H:$N,""))</f>
        <v/>
      </c>
      <c r="D230" s="260"/>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61" t="str">
        <f>_xlfn.CONCAT(_xlfn.XLOOKUP("[S08_ActivityDataIssuesDetail]["&amp;ROW(B230)-ROW($B$156)&amp;"][NumberOfInstallationsConEst]",Submission!$O:$O,Submission!$H:$N,""))</f>
        <v/>
      </c>
      <c r="I230" s="462"/>
    </row>
    <row r="231" spans="1:9" ht="54" hidden="1" customHeight="1" outlineLevel="1" x14ac:dyDescent="0.3">
      <c r="C231" s="258" t="str">
        <f>_xlfn.CONCAT(_xlfn.XLOOKUP("[S08_ActivityDataIssuesDetail]["&amp;ROW(B231)-ROW($B$156)&amp;"][AnnexIActivity]",Submission!$O:$O,Submission!$H:$N,""))</f>
        <v/>
      </c>
      <c r="D231" s="260"/>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61" t="str">
        <f>_xlfn.CONCAT(_xlfn.XLOOKUP("[S08_ActivityDataIssuesDetail]["&amp;ROW(B231)-ROW($B$156)&amp;"][NumberOfInstallationsConEst]",Submission!$O:$O,Submission!$H:$N,""))</f>
        <v/>
      </c>
      <c r="I231" s="462"/>
    </row>
    <row r="232" spans="1:9" ht="54" hidden="1" customHeight="1" outlineLevel="1" x14ac:dyDescent="0.3">
      <c r="C232" s="258" t="str">
        <f>_xlfn.CONCAT(_xlfn.XLOOKUP("[S08_ActivityDataIssuesDetail]["&amp;ROW(B232)-ROW($B$156)&amp;"][AnnexIActivity]",Submission!$O:$O,Submission!$H:$N,""))</f>
        <v/>
      </c>
      <c r="D232" s="260"/>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61" t="str">
        <f>_xlfn.CONCAT(_xlfn.XLOOKUP("[S08_ActivityDataIssuesDetail]["&amp;ROW(B232)-ROW($B$156)&amp;"][NumberOfInstallationsConEst]",Submission!$O:$O,Submission!$H:$N,""))</f>
        <v/>
      </c>
      <c r="I232" s="462"/>
    </row>
    <row r="233" spans="1:9" ht="54" hidden="1" customHeight="1" outlineLevel="1" x14ac:dyDescent="0.3">
      <c r="C233" s="258" t="str">
        <f>_xlfn.CONCAT(_xlfn.XLOOKUP("[S08_ActivityDataIssuesDetail]["&amp;ROW(B233)-ROW($B$156)&amp;"][AnnexIActivity]",Submission!$O:$O,Submission!$H:$N,""))</f>
        <v/>
      </c>
      <c r="D233" s="260"/>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61" t="str">
        <f>_xlfn.CONCAT(_xlfn.XLOOKUP("[S08_ActivityDataIssuesDetail]["&amp;ROW(B233)-ROW($B$156)&amp;"][NumberOfInstallationsConEst]",Submission!$O:$O,Submission!$H:$N,""))</f>
        <v/>
      </c>
      <c r="I233" s="462"/>
    </row>
    <row r="234" spans="1:9" ht="54" hidden="1" customHeight="1" outlineLevel="1" x14ac:dyDescent="0.3">
      <c r="C234" s="258" t="str">
        <f>_xlfn.CONCAT(_xlfn.XLOOKUP("[S08_ActivityDataIssuesDetail]["&amp;ROW(B234)-ROW($B$156)&amp;"][AnnexIActivity]",Submission!$O:$O,Submission!$H:$N,""))</f>
        <v/>
      </c>
      <c r="D234" s="260"/>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61" t="str">
        <f>_xlfn.CONCAT(_xlfn.XLOOKUP("[S08_ActivityDataIssuesDetail]["&amp;ROW(B234)-ROW($B$156)&amp;"][NumberOfInstallationsConEst]",Submission!$O:$O,Submission!$H:$N,""))</f>
        <v/>
      </c>
      <c r="I234" s="462"/>
    </row>
    <row r="235" spans="1:9" ht="54" hidden="1" customHeight="1" outlineLevel="1" x14ac:dyDescent="0.3">
      <c r="C235" s="258" t="str">
        <f>_xlfn.CONCAT(_xlfn.XLOOKUP("[S08_ActivityDataIssuesDetail]["&amp;ROW(B235)-ROW($B$156)&amp;"][AnnexIActivity]",Submission!$O:$O,Submission!$H:$N,""))</f>
        <v/>
      </c>
      <c r="D235" s="260"/>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61" t="str">
        <f>_xlfn.CONCAT(_xlfn.XLOOKUP("[S08_ActivityDataIssuesDetail]["&amp;ROW(B235)-ROW($B$156)&amp;"][NumberOfInstallationsConEst]",Submission!$O:$O,Submission!$H:$N,""))</f>
        <v/>
      </c>
      <c r="I235" s="462"/>
    </row>
    <row r="236" spans="1:9" ht="54" hidden="1" customHeight="1" outlineLevel="1" x14ac:dyDescent="0.3">
      <c r="C236" s="258" t="str">
        <f>_xlfn.CONCAT(_xlfn.XLOOKUP("[S08_ActivityDataIssuesDetail]["&amp;ROW(B236)-ROW($B$156)&amp;"][AnnexIActivity]",Submission!$O:$O,Submission!$H:$N,""))</f>
        <v/>
      </c>
      <c r="D236" s="260"/>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61" t="str">
        <f>_xlfn.CONCAT(_xlfn.XLOOKUP("[S08_ActivityDataIssuesDetail]["&amp;ROW(B236)-ROW($B$156)&amp;"][NumberOfInstallationsConEst]",Submission!$O:$O,Submission!$H:$N,""))</f>
        <v/>
      </c>
      <c r="I236" s="462"/>
    </row>
    <row r="237" spans="1:9" collapsed="1" x14ac:dyDescent="0.3">
      <c r="B237" s="26" t="s">
        <v>1000</v>
      </c>
    </row>
    <row r="238" spans="1:9" ht="27.6" customHeight="1" x14ac:dyDescent="0.3">
      <c r="C238" s="466" t="s">
        <v>1205</v>
      </c>
      <c r="D238" s="466"/>
      <c r="E238" s="466"/>
      <c r="F238" s="466"/>
      <c r="G238" s="466"/>
      <c r="H238" s="466"/>
      <c r="I238" s="466"/>
    </row>
    <row r="240" spans="1:9" ht="18" customHeight="1" x14ac:dyDescent="0.3">
      <c r="A240" s="12" t="s">
        <v>518</v>
      </c>
      <c r="B240" s="338" t="s">
        <v>1206</v>
      </c>
      <c r="C240" s="308"/>
      <c r="D240" s="308"/>
      <c r="E240" s="308"/>
      <c r="F240" s="308"/>
      <c r="G240" s="308"/>
      <c r="H240" s="345"/>
      <c r="I240" s="41" t="str">
        <f>_xlfn.CONCAT(_xlfn.XLOOKUP("[ActivityReportRejected][0][ActivityReportRejected]",Submission!$O:$O,Submission!$H:$N,""))</f>
        <v>No</v>
      </c>
    </row>
    <row r="241" spans="1:9" ht="17.399999999999999" customHeight="1" x14ac:dyDescent="0.3">
      <c r="B241" s="467" t="s">
        <v>1207</v>
      </c>
      <c r="C241" s="467"/>
      <c r="D241" s="467"/>
      <c r="E241" s="467"/>
      <c r="F241" s="467"/>
      <c r="G241" s="467"/>
      <c r="H241" s="467"/>
      <c r="I241" s="467"/>
    </row>
    <row r="242" spans="1:9" x14ac:dyDescent="0.3">
      <c r="C242" s="496" t="s">
        <v>519</v>
      </c>
      <c r="D242" s="497"/>
      <c r="E242" s="497"/>
      <c r="F242" s="497"/>
      <c r="G242" s="497"/>
      <c r="H242" s="497"/>
      <c r="I242" s="498"/>
    </row>
    <row r="243" spans="1:9" s="58" customFormat="1" ht="48" customHeight="1" x14ac:dyDescent="0.3">
      <c r="A243" s="75"/>
      <c r="C243" s="249" t="s">
        <v>1208</v>
      </c>
      <c r="D243" s="272"/>
      <c r="E243" s="273"/>
      <c r="F243" s="351" t="str">
        <f>_xlfn.CONCAT(_xlfn.XLOOKUP("[S08_ActivityReportRejectedDetail][1][NumberActivityReportRejected]",Submission!$O:$O,Submission!$H:$N,""))</f>
        <v/>
      </c>
      <c r="G243" s="361"/>
      <c r="H243" s="490"/>
      <c r="I243" s="491"/>
    </row>
    <row r="244" spans="1:9" s="58" customFormat="1" ht="48" customHeight="1" x14ac:dyDescent="0.3">
      <c r="A244" s="75"/>
      <c r="C244" s="249" t="s">
        <v>1209</v>
      </c>
      <c r="D244" s="272"/>
      <c r="E244" s="273"/>
      <c r="F244" s="351" t="str">
        <f>_xlfn.CONCAT(_xlfn.XLOOKUP("[S08_ActivityReportRejectedDetail][2][NumberActivityReportRejected]",Submission!$O:$O,Submission!$H:$N,""))</f>
        <v/>
      </c>
      <c r="G244" s="361"/>
      <c r="H244" s="351" t="str">
        <f>_xlfn.CONCAT(_xlfn.XLOOKUP("[S08_ActivityReportRejectedDetail][2][ReasonForRejection]",Submission!$O:$O,Submission!$H:$N,""))</f>
        <v/>
      </c>
      <c r="I244" s="361"/>
    </row>
    <row r="245" spans="1:9" s="58" customFormat="1" ht="48" customHeight="1" x14ac:dyDescent="0.3">
      <c r="A245" s="75"/>
      <c r="C245" s="249" t="s">
        <v>1210</v>
      </c>
      <c r="D245" s="272"/>
      <c r="E245" s="273"/>
      <c r="F245" s="258" t="str">
        <f>_xlfn.CONCAT(_xlfn.XLOOKUP("[S08_ActivityReportRejectedDetail][3][ActionsTaken]",Submission!$O:$O,Submission!$H:$N,""))</f>
        <v/>
      </c>
      <c r="G245" s="353"/>
      <c r="H245" s="353"/>
      <c r="I245" s="260"/>
    </row>
    <row r="246" spans="1:9" s="58" customFormat="1" ht="48" customHeight="1" x14ac:dyDescent="0.3">
      <c r="A246" s="75"/>
      <c r="C246" s="249" t="s">
        <v>1211</v>
      </c>
      <c r="D246" s="272"/>
      <c r="E246" s="273"/>
      <c r="F246" s="258" t="str">
        <f>_xlfn.CONCAT(_xlfn.XLOOKUP("[S08_ActivityReportRejectedDetail][4][ActionsTaken]",Submission!$O:$O,Submission!$H:$N,""))</f>
        <v/>
      </c>
      <c r="G246" s="353"/>
      <c r="H246" s="353"/>
      <c r="I246" s="260"/>
    </row>
    <row r="248" spans="1:9" ht="17.399999999999999" customHeight="1" x14ac:dyDescent="0.3">
      <c r="A248" s="12" t="s">
        <v>521</v>
      </c>
      <c r="B248" s="338" t="s">
        <v>1212</v>
      </c>
      <c r="C248" s="308"/>
      <c r="D248" s="308"/>
      <c r="E248" s="308"/>
      <c r="F248" s="308"/>
      <c r="G248" s="308"/>
      <c r="H248" s="345"/>
      <c r="I248" s="41" t="str">
        <f>_xlfn.CONCAT(_xlfn.XLOOKUP("[ActivityLevelVisitsWaived][0][ActivityLevelVisitsWaived]",Submission!$O:$O,Submission!$H:$N,""))</f>
        <v>No</v>
      </c>
    </row>
    <row r="249" spans="1:9" ht="16.95" customHeight="1" x14ac:dyDescent="0.3">
      <c r="B249" s="467" t="s">
        <v>1213</v>
      </c>
      <c r="C249" s="467"/>
      <c r="D249" s="467"/>
      <c r="E249" s="467"/>
      <c r="F249" s="467"/>
      <c r="G249" s="467"/>
      <c r="H249" s="467"/>
      <c r="I249" s="467"/>
    </row>
    <row r="250" spans="1:9" x14ac:dyDescent="0.3">
      <c r="C250" s="435" t="s">
        <v>1214</v>
      </c>
      <c r="D250" s="436"/>
      <c r="E250" s="436"/>
      <c r="F250" s="437"/>
      <c r="G250" s="435" t="s">
        <v>1045</v>
      </c>
      <c r="H250" s="436"/>
      <c r="I250" s="437"/>
    </row>
    <row r="251" spans="1:9" s="58" customFormat="1" ht="20.399999999999999" customHeight="1" x14ac:dyDescent="0.3">
      <c r="A251" s="75"/>
      <c r="C251" s="468" t="s">
        <v>2207</v>
      </c>
      <c r="D251" s="469"/>
      <c r="E251" s="469"/>
      <c r="F251" s="470"/>
      <c r="G251" s="461" t="str">
        <f>_xlfn.CONCAT(_xlfn.XLOOKUP("[S08_ActivityLevelVisitsWaivedDetail][1][NumberOfInstallations]",Submission!$O:$O,Submission!$H:$N,""))</f>
        <v/>
      </c>
      <c r="H251" s="465"/>
      <c r="I251" s="462"/>
    </row>
    <row r="252" spans="1:9" s="58" customFormat="1" ht="20.399999999999999" customHeight="1" x14ac:dyDescent="0.3">
      <c r="A252" s="75"/>
      <c r="C252" s="468" t="s">
        <v>2208</v>
      </c>
      <c r="D252" s="469"/>
      <c r="E252" s="469"/>
      <c r="F252" s="470"/>
      <c r="G252" s="461" t="str">
        <f>_xlfn.CONCAT(_xlfn.XLOOKUP("[S08_ActivityLevelVisitsWaivedDetail][2][NumberOfInstallations]",Submission!$O:$O,Submission!$H:$N,""))</f>
        <v/>
      </c>
      <c r="H252" s="465"/>
      <c r="I252" s="462"/>
    </row>
    <row r="253" spans="1:9" s="58" customFormat="1" ht="20.399999999999999" customHeight="1" x14ac:dyDescent="0.3">
      <c r="A253" s="75"/>
      <c r="C253" s="468" t="s">
        <v>2209</v>
      </c>
      <c r="D253" s="469"/>
      <c r="E253" s="469"/>
      <c r="F253" s="470"/>
      <c r="G253" s="461" t="str">
        <f>_xlfn.CONCAT(_xlfn.XLOOKUP("[S08_ActivityLevelVisitsWaivedDetail][3][NumberOfInstallations]",Submission!$O:$O,Submission!$H:$N,""))</f>
        <v/>
      </c>
      <c r="H253" s="465"/>
      <c r="I253" s="462"/>
    </row>
    <row r="254" spans="1:9" s="58" customFormat="1" ht="20.399999999999999" customHeight="1" x14ac:dyDescent="0.3">
      <c r="A254" s="75"/>
      <c r="C254" s="468" t="s">
        <v>2210</v>
      </c>
      <c r="D254" s="469"/>
      <c r="E254" s="469"/>
      <c r="F254" s="470"/>
      <c r="G254" s="461" t="str">
        <f>_xlfn.CONCAT(_xlfn.XLOOKUP("[S08_ActivityLevelVisitsWaivedDetail][4][NumberOfInstallations]",Submission!$O:$O,Submission!$H:$N,""))</f>
        <v/>
      </c>
      <c r="H254" s="465"/>
      <c r="I254" s="462"/>
    </row>
    <row r="255" spans="1:9" s="58" customFormat="1" ht="20.399999999999999" customHeight="1" x14ac:dyDescent="0.3">
      <c r="A255" s="75"/>
      <c r="C255" s="468" t="s">
        <v>2211</v>
      </c>
      <c r="D255" s="469"/>
      <c r="E255" s="469"/>
      <c r="F255" s="470"/>
      <c r="G255" s="461" t="str">
        <f>_xlfn.CONCAT(_xlfn.XLOOKUP("[S08_ActivityLevelVisitsWaivedDetail][5][NumberOfInstallations]",Submission!$O:$O,Submission!$H:$N,""))</f>
        <v/>
      </c>
      <c r="H255" s="465"/>
      <c r="I255" s="462"/>
    </row>
    <row r="256" spans="1:9" x14ac:dyDescent="0.3">
      <c r="C256" s="466" t="s">
        <v>1215</v>
      </c>
      <c r="D256" s="466"/>
      <c r="E256" s="466"/>
      <c r="F256" s="466"/>
      <c r="G256" s="466"/>
      <c r="H256" s="466"/>
      <c r="I256" s="466"/>
    </row>
    <row r="258" spans="1:9" ht="31.2" customHeight="1" x14ac:dyDescent="0.3">
      <c r="A258" s="12" t="s">
        <v>528</v>
      </c>
      <c r="B258" s="338" t="s">
        <v>1216</v>
      </c>
      <c r="C258" s="308"/>
      <c r="D258" s="308"/>
      <c r="E258" s="308"/>
      <c r="F258" s="308"/>
      <c r="G258" s="308"/>
      <c r="H258" s="345"/>
      <c r="I258" s="41" t="str">
        <f>_xlfn.CONCAT(_xlfn.XLOOKUP("[VirtualVisitsActivityLevel][0][VirtualVisitsActivityLevel]",Submission!$O:$O,Submission!$H:$N,""))</f>
        <v>No</v>
      </c>
    </row>
    <row r="259" spans="1:9" ht="15.9" customHeight="1" x14ac:dyDescent="0.3">
      <c r="B259" s="338" t="s">
        <v>1070</v>
      </c>
      <c r="C259" s="308"/>
      <c r="D259" s="308"/>
      <c r="E259" s="308"/>
      <c r="F259" s="308"/>
      <c r="G259" s="308"/>
      <c r="H259" s="308"/>
      <c r="I259" s="308"/>
    </row>
    <row r="260" spans="1:9" ht="15.9" customHeight="1" x14ac:dyDescent="0.3">
      <c r="B260" s="15" t="s">
        <v>8</v>
      </c>
      <c r="C260" s="339" t="s">
        <v>1217</v>
      </c>
      <c r="D260" s="339"/>
      <c r="E260" s="339"/>
      <c r="F260" s="339"/>
      <c r="G260" s="339"/>
      <c r="H260" s="339"/>
      <c r="I260" s="339"/>
    </row>
    <row r="261" spans="1:9" ht="15.9" customHeight="1" x14ac:dyDescent="0.3">
      <c r="B261" s="15" t="s">
        <v>8</v>
      </c>
      <c r="C261" s="339" t="s">
        <v>1218</v>
      </c>
      <c r="D261" s="339"/>
      <c r="E261" s="339"/>
      <c r="F261" s="339"/>
      <c r="G261" s="339"/>
      <c r="H261" s="339"/>
      <c r="I261" s="339"/>
    </row>
    <row r="262" spans="1:9" ht="15.9" customHeight="1" x14ac:dyDescent="0.3">
      <c r="B262" s="15" t="s">
        <v>8</v>
      </c>
      <c r="C262" s="327" t="s">
        <v>1073</v>
      </c>
      <c r="D262" s="327"/>
      <c r="E262" s="327"/>
      <c r="F262" s="327"/>
      <c r="G262" s="327"/>
      <c r="H262" s="327"/>
      <c r="I262" s="327"/>
    </row>
    <row r="263" spans="1:9" ht="28.95" customHeight="1" x14ac:dyDescent="0.3">
      <c r="B263" s="11"/>
      <c r="C263" s="42" t="s">
        <v>1074</v>
      </c>
      <c r="D263" s="314" t="s">
        <v>1075</v>
      </c>
      <c r="E263" s="334"/>
      <c r="F263" s="314" t="s">
        <v>1219</v>
      </c>
      <c r="G263" s="334"/>
      <c r="H263" s="314" t="s">
        <v>1220</v>
      </c>
      <c r="I263" s="334"/>
    </row>
    <row r="264" spans="1:9" ht="27.6" customHeight="1" x14ac:dyDescent="0.3">
      <c r="B264" s="11"/>
      <c r="C264" s="91" t="str">
        <f>_xlfn.CONCAT(_xlfn.XLOOKUP("[S08_VirtualVisitsActivityLevelDetail][1][TypeForceMajeur]",Submission!$O:$O,Submission!$H:$N,""))</f>
        <v/>
      </c>
      <c r="D264" s="335" t="str">
        <f>_xlfn.CONCAT(_xlfn.XLOOKUP("[S08_VirtualVisitsActivityLevelDetail][1][NumberOfInstallationsVV]",Submission!$O:$O,Submission!$H:$N,""))</f>
        <v/>
      </c>
      <c r="E264" s="337"/>
      <c r="F264" s="419" t="str">
        <f>_xlfn.CONCAT(_xlfn.XLOOKUP("[S08_VirtualVisitsActivityLevelDetail][1][AuthorityApproval]",Submission!$O:$O,Submission!$H:$N,""))</f>
        <v/>
      </c>
      <c r="G264" s="421"/>
      <c r="H264" s="419" t="str">
        <f>_xlfn.CONCAT(_xlfn.XLOOKUP("[S08_VirtualVisitsActivityLevelDetail][1][ConfirmationConditionsMet]",Submission!$O:$O,Submission!$H:$N,""))</f>
        <v/>
      </c>
      <c r="I264" s="421"/>
    </row>
    <row r="265" spans="1:9" ht="27.6" customHeight="1" x14ac:dyDescent="0.3">
      <c r="B265" s="11"/>
      <c r="C265" s="91" t="str">
        <f>_xlfn.CONCAT(_xlfn.XLOOKUP("[S08_VirtualVisitsActivityLevelDetail][2][TypeForceMajeur]",Submission!$O:$O,Submission!$H:$N,""))</f>
        <v/>
      </c>
      <c r="D265" s="335" t="str">
        <f>_xlfn.CONCAT(_xlfn.XLOOKUP("[S08_VirtualVisitsActivityLevelDetail][2][NumberOfInstallationsVV]",Submission!$O:$O,Submission!$H:$N,""))</f>
        <v/>
      </c>
      <c r="E265" s="337"/>
      <c r="F265" s="419" t="str">
        <f>_xlfn.CONCAT(_xlfn.XLOOKUP("[S08_VirtualVisitsActivityLevelDetail][2][AuthorityApproval]",Submission!$O:$O,Submission!$H:$N,""))</f>
        <v/>
      </c>
      <c r="G265" s="421"/>
      <c r="H265" s="419" t="str">
        <f>_xlfn.CONCAT(_xlfn.XLOOKUP("[S08_VirtualVisitsActivityLevelDetail][2][ConfirmationConditionsMet]",Submission!$O:$O,Submission!$H:$N,""))</f>
        <v/>
      </c>
      <c r="I265" s="421"/>
    </row>
    <row r="266" spans="1:9" ht="27.6" customHeight="1" x14ac:dyDescent="0.3">
      <c r="B266" s="11"/>
      <c r="C266" s="91" t="str">
        <f>_xlfn.CONCAT(_xlfn.XLOOKUP("[S08_VirtualVisitsActivityLevelDetail][3][TypeForceMajeur]",Submission!$O:$O,Submission!$H:$N,""))</f>
        <v/>
      </c>
      <c r="D266" s="335" t="str">
        <f>_xlfn.CONCAT(_xlfn.XLOOKUP("[S08_VirtualVisitsActivityLevelDetail][3][NumberOfInstallationsVV]",Submission!$O:$O,Submission!$H:$N,""))</f>
        <v/>
      </c>
      <c r="E266" s="337"/>
      <c r="F266" s="419" t="str">
        <f>_xlfn.CONCAT(_xlfn.XLOOKUP("[S08_VirtualVisitsActivityLevelDetail][3][AuthorityApproval]",Submission!$O:$O,Submission!$H:$N,""))</f>
        <v/>
      </c>
      <c r="G266" s="421"/>
      <c r="H266" s="419" t="str">
        <f>_xlfn.CONCAT(_xlfn.XLOOKUP("[S08_VirtualVisitsActivityLevelDetail][3][ConfirmationConditionsMet]",Submission!$O:$O,Submission!$H:$N,""))</f>
        <v/>
      </c>
      <c r="I266" s="421"/>
    </row>
    <row r="267" spans="1:9" ht="27.6" customHeight="1" x14ac:dyDescent="0.3">
      <c r="B267" s="11"/>
      <c r="C267" s="91" t="str">
        <f>_xlfn.CONCAT(_xlfn.XLOOKUP("[S08_VirtualVisitsActivityLevelDetail][4][TypeForceMajeur]",Submission!$O:$O,Submission!$H:$N,""))</f>
        <v/>
      </c>
      <c r="D267" s="335" t="str">
        <f>_xlfn.CONCAT(_xlfn.XLOOKUP("[S08_VirtualVisitsActivityLevelDetail][4][NumberOfInstallationsVV]",Submission!$O:$O,Submission!$H:$N,""))</f>
        <v/>
      </c>
      <c r="E267" s="337"/>
      <c r="F267" s="419" t="str">
        <f>_xlfn.CONCAT(_xlfn.XLOOKUP("[S08_VirtualVisitsActivityLevelDetail][4][AuthorityApproval]",Submission!$O:$O,Submission!$H:$N,""))</f>
        <v/>
      </c>
      <c r="G267" s="421"/>
      <c r="H267" s="419" t="str">
        <f>_xlfn.CONCAT(_xlfn.XLOOKUP("[S08_VirtualVisitsActivityLevelDetail][4][ConfirmationConditionsMet]",Submission!$O:$O,Submission!$H:$N,""))</f>
        <v/>
      </c>
      <c r="I267" s="421"/>
    </row>
    <row r="268" spans="1:9" ht="27.6" hidden="1" customHeight="1" outlineLevel="1" x14ac:dyDescent="0.3">
      <c r="B268" s="11"/>
      <c r="C268" s="91" t="str">
        <f>_xlfn.CONCAT(_xlfn.XLOOKUP("[S08_VirtualVisitsActivityLevelDetail][5][TypeForceMajeur]",Submission!$O:$O,Submission!$H:$N,""))</f>
        <v/>
      </c>
      <c r="D268" s="335" t="str">
        <f>_xlfn.CONCAT(_xlfn.XLOOKUP("[S08_VirtualVisitsActivityLevelDetail][5][NumberOfInstallationsVV]",Submission!$O:$O,Submission!$H:$N,""))</f>
        <v/>
      </c>
      <c r="E268" s="337"/>
      <c r="F268" s="419" t="str">
        <f>_xlfn.CONCAT(_xlfn.XLOOKUP("[S08_VirtualVisitsActivityLevelDetail][5][AuthorityApproval]",Submission!$O:$O,Submission!$H:$N,""))</f>
        <v/>
      </c>
      <c r="G268" s="421"/>
      <c r="H268" s="419" t="str">
        <f>_xlfn.CONCAT(_xlfn.XLOOKUP("[S08_VirtualVisitsActivityLevelDetail][5][ConfirmationConditionsMet]",Submission!$O:$O,Submission!$H:$N,""))</f>
        <v/>
      </c>
      <c r="I268" s="421"/>
    </row>
    <row r="269" spans="1:9" ht="27.6" hidden="1" customHeight="1" outlineLevel="1" x14ac:dyDescent="0.3">
      <c r="B269" s="11"/>
      <c r="C269" s="91" t="str">
        <f>_xlfn.CONCAT(_xlfn.XLOOKUP("[S08_VirtualVisitsActivityLevelDetail][6][TypeForceMajeur]",Submission!$O:$O,Submission!$H:$N,""))</f>
        <v/>
      </c>
      <c r="D269" s="335" t="str">
        <f>_xlfn.CONCAT(_xlfn.XLOOKUP("[S08_VirtualVisitsActivityLevelDetail][6][NumberOfInstallationsVV]",Submission!$O:$O,Submission!$H:$N,""))</f>
        <v/>
      </c>
      <c r="E269" s="337"/>
      <c r="F269" s="419" t="str">
        <f>_xlfn.CONCAT(_xlfn.XLOOKUP("[S08_VirtualVisitsActivityLevelDetail][6][AuthorityApproval]",Submission!$O:$O,Submission!$H:$N,""))</f>
        <v/>
      </c>
      <c r="G269" s="421"/>
      <c r="H269" s="419" t="str">
        <f>_xlfn.CONCAT(_xlfn.XLOOKUP("[S08_VirtualVisitsActivityLevelDetail][6][ConfirmationConditionsMet]",Submission!$O:$O,Submission!$H:$N,""))</f>
        <v/>
      </c>
      <c r="I269" s="421"/>
    </row>
    <row r="270" spans="1:9" ht="27.6" hidden="1" customHeight="1" outlineLevel="1" x14ac:dyDescent="0.3">
      <c r="B270" s="11"/>
      <c r="C270" s="91" t="str">
        <f>_xlfn.CONCAT(_xlfn.XLOOKUP("[S08_VirtualVisitsActivityLevelDetail][7][TypeForceMajeur]",Submission!$O:$O,Submission!$H:$N,""))</f>
        <v/>
      </c>
      <c r="D270" s="335" t="str">
        <f>_xlfn.CONCAT(_xlfn.XLOOKUP("[S08_VirtualVisitsActivityLevelDetail][7][NumberOfInstallationsVV]",Submission!$O:$O,Submission!$H:$N,""))</f>
        <v/>
      </c>
      <c r="E270" s="337"/>
      <c r="F270" s="419" t="str">
        <f>_xlfn.CONCAT(_xlfn.XLOOKUP("[S08_VirtualVisitsActivityLevelDetail][7][AuthorityApproval]",Submission!$O:$O,Submission!$H:$N,""))</f>
        <v/>
      </c>
      <c r="G270" s="421"/>
      <c r="H270" s="419" t="str">
        <f>_xlfn.CONCAT(_xlfn.XLOOKUP("[S08_VirtualVisitsActivityLevelDetail][7][ConfirmationConditionsMet]",Submission!$O:$O,Submission!$H:$N,""))</f>
        <v/>
      </c>
      <c r="I270" s="421"/>
    </row>
    <row r="271" spans="1:9" ht="27.6" hidden="1" customHeight="1" outlineLevel="1" x14ac:dyDescent="0.3">
      <c r="B271" s="11"/>
      <c r="C271" s="91" t="str">
        <f>_xlfn.CONCAT(_xlfn.XLOOKUP("[S08_VirtualVisitsActivityLevelDetail][8][TypeForceMajeur]",Submission!$O:$O,Submission!$H:$N,""))</f>
        <v/>
      </c>
      <c r="D271" s="335" t="str">
        <f>_xlfn.CONCAT(_xlfn.XLOOKUP("[S08_VirtualVisitsActivityLevelDetail][8][NumberOfInstallationsVV]",Submission!$O:$O,Submission!$H:$N,""))</f>
        <v/>
      </c>
      <c r="E271" s="337"/>
      <c r="F271" s="419" t="str">
        <f>_xlfn.CONCAT(_xlfn.XLOOKUP("[S08_VirtualVisitsActivityLevelDetail][8][AuthorityApproval]",Submission!$O:$O,Submission!$H:$N,""))</f>
        <v/>
      </c>
      <c r="G271" s="421"/>
      <c r="H271" s="419" t="str">
        <f>_xlfn.CONCAT(_xlfn.XLOOKUP("[S08_VirtualVisitsActivityLevelDetail][8][ConfirmationConditionsMet]",Submission!$O:$O,Submission!$H:$N,""))</f>
        <v/>
      </c>
      <c r="I271" s="421"/>
    </row>
    <row r="272" spans="1:9" ht="27.6" hidden="1" customHeight="1" outlineLevel="1" x14ac:dyDescent="0.3">
      <c r="B272" s="11"/>
      <c r="C272" s="91" t="str">
        <f>_xlfn.CONCAT(_xlfn.XLOOKUP("[S08_VirtualVisitsActivityLevelDetail][9][TypeForceMajeur]",Submission!$O:$O,Submission!$H:$N,""))</f>
        <v/>
      </c>
      <c r="D272" s="335" t="str">
        <f>_xlfn.CONCAT(_xlfn.XLOOKUP("[S08_VirtualVisitsActivityLevelDetail][9][NumberOfInstallationsVV]",Submission!$O:$O,Submission!$H:$N,""))</f>
        <v/>
      </c>
      <c r="E272" s="337"/>
      <c r="F272" s="419" t="str">
        <f>_xlfn.CONCAT(_xlfn.XLOOKUP("[S08_VirtualVisitsActivityLevelDetail][9][AuthorityApproval]",Submission!$O:$O,Submission!$H:$N,""))</f>
        <v/>
      </c>
      <c r="G272" s="421"/>
      <c r="H272" s="419" t="str">
        <f>_xlfn.CONCAT(_xlfn.XLOOKUP("[S08_VirtualVisitsActivityLevelDetail][9][ConfirmationConditionsMet]",Submission!$O:$O,Submission!$H:$N,""))</f>
        <v/>
      </c>
      <c r="I272" s="421"/>
    </row>
    <row r="273" spans="1:10" ht="27.6" hidden="1" customHeight="1" outlineLevel="1" x14ac:dyDescent="0.3">
      <c r="B273" s="11"/>
      <c r="C273" s="91" t="str">
        <f>_xlfn.CONCAT(_xlfn.XLOOKUP("[S08_VirtualVisitsActivityLevelDetail][10][TypeForceMajeur]",Submission!$O:$O,Submission!$H:$N,""))</f>
        <v/>
      </c>
      <c r="D273" s="335" t="str">
        <f>_xlfn.CONCAT(_xlfn.XLOOKUP("[S08_VirtualVisitsActivityLevelDetail][10][NumberOfInstallationsVV]",Submission!$O:$O,Submission!$H:$N,""))</f>
        <v/>
      </c>
      <c r="E273" s="337"/>
      <c r="F273" s="419" t="str">
        <f>_xlfn.CONCAT(_xlfn.XLOOKUP("[S08_VirtualVisitsActivityLevelDetail][10][AuthorityApproval]",Submission!$O:$O,Submission!$H:$N,""))</f>
        <v/>
      </c>
      <c r="G273" s="421"/>
      <c r="H273" s="419" t="str">
        <f>_xlfn.CONCAT(_xlfn.XLOOKUP("[S08_VirtualVisitsActivityLevelDetail][10][ConfirmationConditionsMet]",Submission!$O:$O,Submission!$H:$N,""))</f>
        <v/>
      </c>
      <c r="I273" s="421"/>
    </row>
    <row r="274" spans="1:10" ht="27.6" hidden="1" customHeight="1" outlineLevel="1" x14ac:dyDescent="0.3">
      <c r="B274" s="11"/>
      <c r="C274" s="91" t="str">
        <f>_xlfn.CONCAT(_xlfn.XLOOKUP("[S08_VirtualVisitsActivityLevelDetail][11][TypeForceMajeur]",Submission!$O:$O,Submission!$H:$N,""))</f>
        <v/>
      </c>
      <c r="D274" s="335" t="str">
        <f>_xlfn.CONCAT(_xlfn.XLOOKUP("[S08_VirtualVisitsActivityLevelDetail][11][NumberOfInstallationsVV]",Submission!$O:$O,Submission!$H:$N,""))</f>
        <v/>
      </c>
      <c r="E274" s="337"/>
      <c r="F274" s="419" t="str">
        <f>_xlfn.CONCAT(_xlfn.XLOOKUP("[S08_VirtualVisitsActivityLevelDetail][11][AuthorityApproval]",Submission!$O:$O,Submission!$H:$N,""))</f>
        <v/>
      </c>
      <c r="G274" s="421"/>
      <c r="H274" s="419" t="str">
        <f>_xlfn.CONCAT(_xlfn.XLOOKUP("[S08_VirtualVisitsActivityLevelDetail][11][ConfirmationConditionsMet]",Submission!$O:$O,Submission!$H:$N,""))</f>
        <v/>
      </c>
      <c r="I274" s="421"/>
    </row>
    <row r="275" spans="1:10" ht="27.6" hidden="1" customHeight="1" outlineLevel="1" x14ac:dyDescent="0.3">
      <c r="B275" s="11"/>
      <c r="C275" s="91" t="str">
        <f>_xlfn.CONCAT(_xlfn.XLOOKUP("[S08_VirtualVisitsActivityLevelDetail][12][TypeForceMajeur]",Submission!$O:$O,Submission!$H:$N,""))</f>
        <v/>
      </c>
      <c r="D275" s="335" t="str">
        <f>_xlfn.CONCAT(_xlfn.XLOOKUP("[S08_VirtualVisitsActivityLevelDetail][12][NumberOfInstallationsVV]",Submission!$O:$O,Submission!$H:$N,""))</f>
        <v/>
      </c>
      <c r="E275" s="337"/>
      <c r="F275" s="419" t="str">
        <f>_xlfn.CONCAT(_xlfn.XLOOKUP("[S08_VirtualVisitsActivityLevelDetail][12][AuthorityApproval]",Submission!$O:$O,Submission!$H:$N,""))</f>
        <v/>
      </c>
      <c r="G275" s="421"/>
      <c r="H275" s="419" t="str">
        <f>_xlfn.CONCAT(_xlfn.XLOOKUP("[S08_VirtualVisitsActivityLevelDetail][12][ConfirmationConditionsMet]",Submission!$O:$O,Submission!$H:$N,""))</f>
        <v/>
      </c>
      <c r="I275" s="421"/>
    </row>
    <row r="276" spans="1:10" collapsed="1" x14ac:dyDescent="0.3">
      <c r="B276" s="26" t="s">
        <v>1000</v>
      </c>
      <c r="C276" s="16"/>
      <c r="D276" s="19"/>
      <c r="E276" s="11"/>
      <c r="F276" s="11"/>
      <c r="G276" s="11"/>
      <c r="H276" s="11"/>
      <c r="I276" s="11"/>
    </row>
    <row r="277" spans="1:10" x14ac:dyDescent="0.3">
      <c r="C277" s="418" t="s">
        <v>1221</v>
      </c>
      <c r="D277" s="477"/>
      <c r="E277" s="477"/>
      <c r="F277" s="477"/>
      <c r="G277" s="477"/>
      <c r="H277" s="477"/>
      <c r="I277" s="477"/>
      <c r="J277" s="477"/>
    </row>
    <row r="278" spans="1:10" x14ac:dyDescent="0.3">
      <c r="C278" s="26"/>
      <c r="D278" s="16"/>
      <c r="E278" s="16"/>
      <c r="F278" s="16"/>
      <c r="G278" s="16"/>
      <c r="H278" s="16"/>
      <c r="I278" s="16"/>
      <c r="J278" s="16"/>
    </row>
    <row r="279" spans="1:10" x14ac:dyDescent="0.3">
      <c r="A279" s="12" t="s">
        <v>533</v>
      </c>
      <c r="B279" s="481" t="s">
        <v>1222</v>
      </c>
      <c r="C279" s="481"/>
      <c r="D279" s="481"/>
      <c r="E279" s="481"/>
      <c r="F279" s="481"/>
      <c r="G279" s="481"/>
      <c r="H279" s="481"/>
      <c r="I279" s="481"/>
    </row>
    <row r="280" spans="1:10" ht="31.2" customHeight="1" x14ac:dyDescent="0.3">
      <c r="A280" s="12"/>
      <c r="B280" s="338" t="s">
        <v>1223</v>
      </c>
      <c r="C280" s="308"/>
      <c r="D280" s="308"/>
      <c r="E280" s="308"/>
      <c r="F280" s="308"/>
      <c r="G280" s="308"/>
      <c r="H280" s="308"/>
      <c r="I280" s="308"/>
    </row>
    <row r="281" spans="1:10" x14ac:dyDescent="0.3">
      <c r="C281" s="484" t="s">
        <v>1224</v>
      </c>
      <c r="D281" s="485"/>
      <c r="E281" s="488" t="s">
        <v>1225</v>
      </c>
      <c r="F281" s="489"/>
      <c r="G281" s="488" t="s">
        <v>1226</v>
      </c>
      <c r="H281" s="489"/>
      <c r="I281" s="463" t="s">
        <v>1227</v>
      </c>
    </row>
    <row r="282" spans="1:10" x14ac:dyDescent="0.3">
      <c r="C282" s="415"/>
      <c r="D282" s="417"/>
      <c r="E282" s="52" t="s">
        <v>1228</v>
      </c>
      <c r="F282" s="52" t="s">
        <v>1229</v>
      </c>
      <c r="G282" s="52" t="s">
        <v>1228</v>
      </c>
      <c r="H282" s="52" t="s">
        <v>1229</v>
      </c>
      <c r="I282" s="464"/>
    </row>
    <row r="283" spans="1:10" ht="37.950000000000003" customHeight="1" x14ac:dyDescent="0.3">
      <c r="C283" s="249" t="s">
        <v>1230</v>
      </c>
      <c r="D283" s="273"/>
      <c r="E283" s="105" t="str">
        <f>_xlfn.CONCAT(_xlfn.XLOOKUP("[S08_PenaltiesAllocation][1][MinFine]",Submission!$O:$O,Submission!$H:$N,""))</f>
        <v>70</v>
      </c>
      <c r="F283" s="105" t="str">
        <f>_xlfn.CONCAT(_xlfn.XLOOKUP("[S08_PenaltiesAllocation][1][MaxFine]",Submission!$O:$O,Submission!$H:$N,""))</f>
        <v>1400</v>
      </c>
      <c r="G283" s="105" t="str">
        <f>_xlfn.CONCAT(_xlfn.XLOOKUP("[S08_PenaltiesAllocation][1][PrisonMin]",Submission!$O:$O,Submission!$H:$N,""))</f>
        <v>0</v>
      </c>
      <c r="H283" s="105" t="str">
        <f>_xlfn.CONCAT(_xlfn.XLOOKUP("[S08_PenaltiesAllocation][1][PrisonMax]",Submission!$O:$O,Submission!$H:$N,""))</f>
        <v>0</v>
      </c>
      <c r="I283" s="72" t="str">
        <f>_xlfn.CONCAT(_xlfn.XLOOKUP("[S08_PenaltiesAllocation][1][OtherPenalty]",Submission!$O:$O,Submission!$H:$N,""))</f>
        <v>0</v>
      </c>
    </row>
    <row r="284" spans="1:10" ht="58.2" customHeight="1" x14ac:dyDescent="0.3">
      <c r="C284" s="249" t="s">
        <v>1231</v>
      </c>
      <c r="D284" s="273"/>
      <c r="E284" s="105" t="str">
        <f>_xlfn.CONCAT(_xlfn.XLOOKUP("[S08_PenaltiesAllocation][2][MinFine]",Submission!$O:$O,Submission!$H:$N,""))</f>
        <v>70</v>
      </c>
      <c r="F284" s="105" t="str">
        <f>_xlfn.CONCAT(_xlfn.XLOOKUP("[S08_PenaltiesAllocation][2][MaxFine]",Submission!$O:$O,Submission!$H:$N,""))</f>
        <v>1400</v>
      </c>
      <c r="G284" s="105" t="str">
        <f>_xlfn.CONCAT(_xlfn.XLOOKUP("[S08_PenaltiesAllocation][2][PrisonMin]",Submission!$O:$O,Submission!$H:$N,""))</f>
        <v>0</v>
      </c>
      <c r="H284" s="105" t="str">
        <f>_xlfn.CONCAT(_xlfn.XLOOKUP("[S08_PenaltiesAllocation][2][PrisonMax]",Submission!$O:$O,Submission!$H:$N,""))</f>
        <v>0</v>
      </c>
      <c r="I284" s="72" t="str">
        <f>_xlfn.CONCAT(_xlfn.XLOOKUP("[S08_PenaltiesAllocation][2][OtherPenalty]",Submission!$O:$O,Submission!$H:$N,""))</f>
        <v>0</v>
      </c>
    </row>
    <row r="285" spans="1:10" ht="58.2" customHeight="1" x14ac:dyDescent="0.3">
      <c r="C285" s="249" t="s">
        <v>1232</v>
      </c>
      <c r="D285" s="273"/>
      <c r="E285" s="105" t="str">
        <f>_xlfn.CONCAT(_xlfn.XLOOKUP("[S08_PenaltiesAllocation][3][MinFine]",Submission!$O:$O,Submission!$H:$N,""))</f>
        <v>70</v>
      </c>
      <c r="F285" s="105" t="str">
        <f>_xlfn.CONCAT(_xlfn.XLOOKUP("[S08_PenaltiesAllocation][3][MaxFine]",Submission!$O:$O,Submission!$H:$N,""))</f>
        <v>1400</v>
      </c>
      <c r="G285" s="105" t="str">
        <f>_xlfn.CONCAT(_xlfn.XLOOKUP("[S08_PenaltiesAllocation][3][PrisonMin]",Submission!$O:$O,Submission!$H:$N,""))</f>
        <v>0</v>
      </c>
      <c r="H285" s="105" t="str">
        <f>_xlfn.CONCAT(_xlfn.XLOOKUP("[S08_PenaltiesAllocation][3][PrisonMax]",Submission!$O:$O,Submission!$H:$N,""))</f>
        <v>0</v>
      </c>
      <c r="I285" s="72" t="str">
        <f>_xlfn.CONCAT(_xlfn.XLOOKUP("[S08_PenaltiesAllocation][3][OtherPenalty]",Submission!$O:$O,Submission!$H:$N,""))</f>
        <v>0</v>
      </c>
    </row>
    <row r="286" spans="1:10" ht="36" customHeight="1" x14ac:dyDescent="0.3">
      <c r="C286" s="486" t="s">
        <v>1233</v>
      </c>
      <c r="D286" s="487"/>
      <c r="E286" s="105" t="str">
        <f>_xlfn.CONCAT(_xlfn.XLOOKUP("[S08_PenaltiesAllocation][4][MinFine]",Submission!$O:$O,Submission!$H:$N,""))</f>
        <v>70</v>
      </c>
      <c r="F286" s="105" t="str">
        <f>_xlfn.CONCAT(_xlfn.XLOOKUP("[S08_PenaltiesAllocation][4][MaxFine]",Submission!$O:$O,Submission!$H:$N,""))</f>
        <v>1400</v>
      </c>
      <c r="G286" s="105" t="str">
        <f>_xlfn.CONCAT(_xlfn.XLOOKUP("[S08_PenaltiesAllocation][4][PrisonMin]",Submission!$O:$O,Submission!$H:$N,""))</f>
        <v>0</v>
      </c>
      <c r="H286" s="105" t="str">
        <f>_xlfn.CONCAT(_xlfn.XLOOKUP("[S08_PenaltiesAllocation][4][PrisonMax]",Submission!$O:$O,Submission!$H:$N,""))</f>
        <v>0</v>
      </c>
      <c r="I286" s="72" t="str">
        <f>_xlfn.CONCAT(_xlfn.XLOOKUP("[S08_PenaltiesAllocation][4][OtherPenalty]",Submission!$O:$O,Submission!$H:$N,""))</f>
        <v>0</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140</v>
      </c>
      <c r="F287" s="105" t="str">
        <f>_xlfn.CONCAT(_xlfn.XLOOKUP("[S08_PenaltiesAllocation][5][MaxFine]",Submission!$O:$O,Submission!$H:$N,""))</f>
        <v>2900</v>
      </c>
      <c r="G287" s="105" t="str">
        <f>_xlfn.CONCAT(_xlfn.XLOOKUP("[S08_PenaltiesAllocation][5][PrisonMin]",Submission!$O:$O,Submission!$H:$N,""))</f>
        <v>0</v>
      </c>
      <c r="H287" s="105" t="str">
        <f>_xlfn.CONCAT(_xlfn.XLOOKUP("[S08_PenaltiesAllocation][5][PrisonMax]",Submission!$O:$O,Submission!$H:$N,""))</f>
        <v>0</v>
      </c>
      <c r="I287" s="72" t="str">
        <f>_xlfn.CONCAT(_xlfn.XLOOKUP("[S08_PenaltiesAllocation][5][OtherPenalty]",Submission!$O:$O,Submission!$H:$N,""))</f>
        <v>0</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338" t="s">
        <v>1238</v>
      </c>
      <c r="C293" s="308"/>
      <c r="D293" s="308"/>
      <c r="E293" s="308"/>
      <c r="F293" s="308"/>
      <c r="G293" s="308"/>
      <c r="H293" s="308"/>
      <c r="I293" s="308"/>
    </row>
    <row r="294" spans="1:9" x14ac:dyDescent="0.3">
      <c r="C294" s="484" t="s">
        <v>1239</v>
      </c>
      <c r="D294" s="485"/>
      <c r="E294" s="314" t="s">
        <v>1240</v>
      </c>
      <c r="F294" s="333"/>
      <c r="G294" s="334"/>
      <c r="H294" s="482" t="s">
        <v>1241</v>
      </c>
      <c r="I294" s="482" t="s">
        <v>1242</v>
      </c>
    </row>
    <row r="295" spans="1:9" ht="41.4" customHeight="1" x14ac:dyDescent="0.3">
      <c r="C295" s="415"/>
      <c r="D295" s="417"/>
      <c r="E295" s="53" t="s">
        <v>1225</v>
      </c>
      <c r="F295" s="53" t="s">
        <v>1226</v>
      </c>
      <c r="G295" s="53" t="s">
        <v>1227</v>
      </c>
      <c r="H295" s="483"/>
      <c r="I295" s="483"/>
    </row>
    <row r="296" spans="1:9" ht="39.6" customHeight="1" x14ac:dyDescent="0.3">
      <c r="C296" s="258" t="str">
        <f>_xlfn.CONCAT(_xlfn.XLOOKUP("[S08_InfringementsIncurredAllocation][1][InfringementType]",Submission!$O:$O,Submission!$H:$N,""))</f>
        <v/>
      </c>
      <c r="D296" s="260"/>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58" t="str">
        <f>_xlfn.CONCAT(_xlfn.XLOOKUP("[S08_InfringementsIncurredAllocation][2][InfringementType]",Submission!$O:$O,Submission!$H:$N,""))</f>
        <v/>
      </c>
      <c r="D297" s="260"/>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58" t="str">
        <f>_xlfn.CONCAT(_xlfn.XLOOKUP("[S08_InfringementsIncurredAllocation][3][InfringementType]",Submission!$O:$O,Submission!$H:$N,""))</f>
        <v/>
      </c>
      <c r="D298" s="260"/>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58" t="str">
        <f>_xlfn.CONCAT(_xlfn.XLOOKUP("[S08_InfringementsIncurredAllocation][4][InfringementType]",Submission!$O:$O,Submission!$H:$N,""))</f>
        <v/>
      </c>
      <c r="D299" s="260"/>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58" t="str">
        <f>_xlfn.CONCAT(_xlfn.XLOOKUP("[S08_InfringementsIncurredAllocation][5][InfringementType]",Submission!$O:$O,Submission!$H:$N,""))</f>
        <v/>
      </c>
      <c r="D300" s="260"/>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58" t="str">
        <f>_xlfn.CONCAT(_xlfn.XLOOKUP("[S08_InfringementsIncurredAllocation][6][InfringementType]",Submission!$O:$O,Submission!$H:$N,""))</f>
        <v/>
      </c>
      <c r="D301" s="260"/>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58" t="str">
        <f>_xlfn.CONCAT(_xlfn.XLOOKUP("[S08_InfringementsIncurredAllocation][7][InfringementType]",Submission!$O:$O,Submission!$H:$N,""))</f>
        <v/>
      </c>
      <c r="D302" s="260"/>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58" t="str">
        <f>_xlfn.CONCAT(_xlfn.XLOOKUP("[S08_InfringementsIncurredAllocation][8][InfringementType]",Submission!$O:$O,Submission!$H:$N,""))</f>
        <v/>
      </c>
      <c r="D303" s="260"/>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58" t="str">
        <f>_xlfn.CONCAT(_xlfn.XLOOKUP("[S08_InfringementsIncurredAllocation][9][InfringementType]",Submission!$O:$O,Submission!$H:$N,""))</f>
        <v/>
      </c>
      <c r="D304" s="260"/>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58" t="str">
        <f>_xlfn.CONCAT(_xlfn.XLOOKUP("[S08_InfringementsIncurredAllocation][10][InfringementType]",Submission!$O:$O,Submission!$H:$N,""))</f>
        <v/>
      </c>
      <c r="D305" s="260"/>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58" t="str">
        <f>_xlfn.CONCAT(_xlfn.XLOOKUP("[S08_InfringementsIncurredAllocation][11][InfringementType]",Submission!$O:$O,Submission!$H:$N,""))</f>
        <v/>
      </c>
      <c r="D306" s="260"/>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58" t="str">
        <f>_xlfn.CONCAT(_xlfn.XLOOKUP("[S08_InfringementsIncurredAllocation][12][InfringementType]",Submission!$O:$O,Submission!$H:$N,""))</f>
        <v/>
      </c>
      <c r="D307" s="260"/>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58" t="str">
        <f>_xlfn.CONCAT(_xlfn.XLOOKUP("[S08_InfringementsIncurredAllocation][13][InfringementType]",Submission!$O:$O,Submission!$H:$N,""))</f>
        <v/>
      </c>
      <c r="D308" s="260"/>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58" t="str">
        <f>_xlfn.CONCAT(_xlfn.XLOOKUP("[S08_InfringementsIncurredAllocation][14][InfringementType]",Submission!$O:$O,Submission!$H:$N,""))</f>
        <v/>
      </c>
      <c r="D309" s="260"/>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58" t="str">
        <f>_xlfn.CONCAT(_xlfn.XLOOKUP("[S08_InfringementsIncurredAllocation][15][InfringementType]",Submission!$O:$O,Submission!$H:$N,""))</f>
        <v/>
      </c>
      <c r="D310" s="260"/>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58" t="str">
        <f>_xlfn.CONCAT(_xlfn.XLOOKUP("[S08_InfringementsIncurredAllocation][16][InfringementType]",Submission!$O:$O,Submission!$H:$N,""))</f>
        <v/>
      </c>
      <c r="D311" s="260"/>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58" t="str">
        <f>_xlfn.CONCAT(_xlfn.XLOOKUP("[S08_InfringementsIncurredAllocation][17][InfringementType]",Submission!$O:$O,Submission!$H:$N,""))</f>
        <v/>
      </c>
      <c r="D312" s="260"/>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58" t="str">
        <f>_xlfn.CONCAT(_xlfn.XLOOKUP("[S08_InfringementsIncurredAllocation][18][InfringementType]",Submission!$O:$O,Submission!$H:$N,""))</f>
        <v/>
      </c>
      <c r="D313" s="260"/>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58" t="str">
        <f>_xlfn.CONCAT(_xlfn.XLOOKUP("[S08_InfringementsIncurredAllocation][19][InfringementType]",Submission!$O:$O,Submission!$H:$N,""))</f>
        <v/>
      </c>
      <c r="D314" s="260"/>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58" t="str">
        <f>_xlfn.CONCAT(_xlfn.XLOOKUP("[S08_InfringementsIncurredAllocation][20][InfringementType]",Submission!$O:$O,Submission!$H:$N,""))</f>
        <v/>
      </c>
      <c r="D315" s="260"/>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58" t="str">
        <f>_xlfn.CONCAT(_xlfn.XLOOKUP("[S08_InfringementsIncurredAllocation][21][InfringementType]",Submission!$O:$O,Submission!$H:$N,""))</f>
        <v/>
      </c>
      <c r="D316" s="260"/>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58" t="str">
        <f>_xlfn.CONCAT(_xlfn.XLOOKUP("[S08_InfringementsIncurredAllocation][22][InfringementType]",Submission!$O:$O,Submission!$H:$N,""))</f>
        <v/>
      </c>
      <c r="D317" s="260"/>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18" t="s">
        <v>1243</v>
      </c>
      <c r="D319" s="477"/>
      <c r="E319" s="477"/>
      <c r="F319" s="477"/>
      <c r="G319" s="477"/>
      <c r="H319" s="477"/>
      <c r="I319" s="477"/>
      <c r="J319" s="477"/>
    </row>
    <row r="321" spans="2:9" ht="15.6" customHeight="1" x14ac:dyDescent="0.3">
      <c r="B321" s="478" t="s">
        <v>1244</v>
      </c>
      <c r="C321" s="478"/>
      <c r="D321" s="478"/>
      <c r="E321" s="478"/>
      <c r="F321" s="478"/>
      <c r="G321" s="478"/>
      <c r="H321" s="479"/>
      <c r="I321" s="41" t="str">
        <f>_xlfn.CONCAT(_xlfn.XLOOKUP("[PriorPenaltiesEnforced][0][PriorPenaltiesEnforced]",Submission!$O:$O,Submission!$H:$N,""))</f>
        <v>No</v>
      </c>
    </row>
    <row r="322" spans="2:9" ht="16.2" customHeight="1" x14ac:dyDescent="0.3">
      <c r="B322" s="338" t="s">
        <v>1245</v>
      </c>
      <c r="C322" s="308"/>
      <c r="D322" s="308"/>
      <c r="E322" s="308"/>
      <c r="F322" s="308"/>
      <c r="G322" s="308"/>
      <c r="H322" s="308"/>
      <c r="I322" s="308"/>
    </row>
    <row r="323" spans="2:9" x14ac:dyDescent="0.3">
      <c r="C323" s="435" t="s">
        <v>1224</v>
      </c>
      <c r="D323" s="436"/>
      <c r="E323" s="437"/>
      <c r="F323" s="435" t="s">
        <v>1246</v>
      </c>
      <c r="G323" s="437"/>
      <c r="H323" s="435" t="s">
        <v>1247</v>
      </c>
      <c r="I323" s="437"/>
    </row>
    <row r="324" spans="2:9" x14ac:dyDescent="0.3">
      <c r="C324" s="255" t="str">
        <f>_xlfn.CONCAT(_xlfn.XLOOKUP("[S08_PriorPenaltiesEnforcedDetail][1][TypeInfringement]",Submission!$O:$O,Submission!$H:$N,""))</f>
        <v/>
      </c>
      <c r="D324" s="460"/>
      <c r="E324" s="256"/>
      <c r="F324" s="255" t="str">
        <f>_xlfn.CONCAT(_xlfn.XLOOKUP("[S08_PriorPenaltiesEnforcedDetail][1][TypePenalty]",Submission!$O:$O,Submission!$H:$N,""))</f>
        <v/>
      </c>
      <c r="G324" s="256"/>
      <c r="H324" s="458" t="str">
        <f>_xlfn.CONCAT(_xlfn.XLOOKUP("[S08_PriorPenaltiesEnforcedDetail][1][ReportinYear]",Submission!$O:$O,Submission!$H:$N,""))</f>
        <v/>
      </c>
      <c r="I324" s="459"/>
    </row>
    <row r="325" spans="2:9" x14ac:dyDescent="0.3">
      <c r="C325" s="255" t="str">
        <f>_xlfn.CONCAT(_xlfn.XLOOKUP("[S08_PriorPenaltiesEnforcedDetail][2][TypeInfringement]",Submission!$O:$O,Submission!$H:$N,""))</f>
        <v/>
      </c>
      <c r="D325" s="460"/>
      <c r="E325" s="256"/>
      <c r="F325" s="255" t="str">
        <f>_xlfn.CONCAT(_xlfn.XLOOKUP("[S08_PriorPenaltiesEnforcedDetail][2][TypePenalty]",Submission!$O:$O,Submission!$H:$N,""))</f>
        <v/>
      </c>
      <c r="G325" s="256"/>
      <c r="H325" s="458" t="str">
        <f>_xlfn.CONCAT(_xlfn.XLOOKUP("[S08_PriorPenaltiesEnforcedDetail][2][ReportinYear]",Submission!$O:$O,Submission!$H:$N,""))</f>
        <v/>
      </c>
      <c r="I325" s="459"/>
    </row>
    <row r="326" spans="2:9" x14ac:dyDescent="0.3">
      <c r="C326" s="255" t="str">
        <f>_xlfn.CONCAT(_xlfn.XLOOKUP("[S08_PriorPenaltiesEnforcedDetail][3][TypeInfringement]",Submission!$O:$O,Submission!$H:$N,""))</f>
        <v/>
      </c>
      <c r="D326" s="460"/>
      <c r="E326" s="256"/>
      <c r="F326" s="255" t="str">
        <f>_xlfn.CONCAT(_xlfn.XLOOKUP("[S08_PriorPenaltiesEnforcedDetail][3][TypePenalty]",Submission!$O:$O,Submission!$H:$N,""))</f>
        <v/>
      </c>
      <c r="G326" s="256"/>
      <c r="H326" s="458" t="str">
        <f>_xlfn.CONCAT(_xlfn.XLOOKUP("[S08_PriorPenaltiesEnforcedDetail][3][ReportinYear]",Submission!$O:$O,Submission!$H:$N,""))</f>
        <v/>
      </c>
      <c r="I326" s="459"/>
    </row>
    <row r="327" spans="2:9" x14ac:dyDescent="0.3">
      <c r="C327" s="255" t="str">
        <f>_xlfn.CONCAT(_xlfn.XLOOKUP("[S08_PriorPenaltiesEnforcedDetail][4][TypeInfringement]",Submission!$O:$O,Submission!$H:$N,""))</f>
        <v/>
      </c>
      <c r="D327" s="460"/>
      <c r="E327" s="256"/>
      <c r="F327" s="255" t="str">
        <f>_xlfn.CONCAT(_xlfn.XLOOKUP("[S08_PriorPenaltiesEnforcedDetail][4][TypePenalty]",Submission!$O:$O,Submission!$H:$N,""))</f>
        <v/>
      </c>
      <c r="G327" s="256"/>
      <c r="H327" s="458" t="str">
        <f>_xlfn.CONCAT(_xlfn.XLOOKUP("[S08_PriorPenaltiesEnforcedDetail][4][ReportinYear]",Submission!$O:$O,Submission!$H:$N,""))</f>
        <v/>
      </c>
      <c r="I327" s="459"/>
    </row>
    <row r="328" spans="2:9" x14ac:dyDescent="0.3">
      <c r="C328" s="255" t="str">
        <f>_xlfn.CONCAT(_xlfn.XLOOKUP("[S08_PriorPenaltiesEnforcedDetail][5][TypeInfringement]",Submission!$O:$O,Submission!$H:$N,""))</f>
        <v/>
      </c>
      <c r="D328" s="460"/>
      <c r="E328" s="256"/>
      <c r="F328" s="255" t="str">
        <f>_xlfn.CONCAT(_xlfn.XLOOKUP("[S08_PriorPenaltiesEnforcedDetail][5][TypePenalty]",Submission!$O:$O,Submission!$H:$N,""))</f>
        <v/>
      </c>
      <c r="G328" s="256"/>
      <c r="H328" s="458" t="str">
        <f>_xlfn.CONCAT(_xlfn.XLOOKUP("[S08_PriorPenaltiesEnforcedDetail][5][ReportinYear]",Submission!$O:$O,Submission!$H:$N,""))</f>
        <v/>
      </c>
      <c r="I328" s="459"/>
    </row>
    <row r="329" spans="2:9" hidden="1" outlineLevel="1" x14ac:dyDescent="0.3">
      <c r="C329" s="255" t="str">
        <f>_xlfn.CONCAT(_xlfn.XLOOKUP("[S08_PriorPenaltiesEnforcedDetail][6][TypeInfringement]",Submission!$O:$O,Submission!$H:$N,""))</f>
        <v/>
      </c>
      <c r="D329" s="460"/>
      <c r="E329" s="256"/>
      <c r="F329" s="255" t="str">
        <f>_xlfn.CONCAT(_xlfn.XLOOKUP("[S08_PriorPenaltiesEnforcedDetail][6][TypePenalty]",Submission!$O:$O,Submission!$H:$N,""))</f>
        <v/>
      </c>
      <c r="G329" s="256"/>
      <c r="H329" s="458" t="str">
        <f>_xlfn.CONCAT(_xlfn.XLOOKUP("[S08_PriorPenaltiesEnforcedDetail][6][ReportinYear]",Submission!$O:$O,Submission!$H:$N,""))</f>
        <v/>
      </c>
      <c r="I329" s="459"/>
    </row>
    <row r="330" spans="2:9" hidden="1" outlineLevel="1" x14ac:dyDescent="0.3">
      <c r="C330" s="255" t="str">
        <f>_xlfn.CONCAT(_xlfn.XLOOKUP("[S08_PriorPenaltiesEnforcedDetail][7][TypeInfringement]",Submission!$O:$O,Submission!$H:$N,""))</f>
        <v/>
      </c>
      <c r="D330" s="460"/>
      <c r="E330" s="256"/>
      <c r="F330" s="255" t="str">
        <f>_xlfn.CONCAT(_xlfn.XLOOKUP("[S08_PriorPenaltiesEnforcedDetail][7][TypePenalty]",Submission!$O:$O,Submission!$H:$N,""))</f>
        <v/>
      </c>
      <c r="G330" s="256"/>
      <c r="H330" s="458" t="str">
        <f>_xlfn.CONCAT(_xlfn.XLOOKUP("[S08_PriorPenaltiesEnforcedDetail][7][ReportinYear]",Submission!$O:$O,Submission!$H:$N,""))</f>
        <v/>
      </c>
      <c r="I330" s="459"/>
    </row>
    <row r="331" spans="2:9" hidden="1" outlineLevel="1" x14ac:dyDescent="0.3">
      <c r="C331" s="255" t="str">
        <f>_xlfn.CONCAT(_xlfn.XLOOKUP("[S08_PriorPenaltiesEnforcedDetail][8][TypeInfringement]",Submission!$O:$O,Submission!$H:$N,""))</f>
        <v/>
      </c>
      <c r="D331" s="460"/>
      <c r="E331" s="256"/>
      <c r="F331" s="255" t="str">
        <f>_xlfn.CONCAT(_xlfn.XLOOKUP("[S08_PriorPenaltiesEnforcedDetail][8][TypePenalty]",Submission!$O:$O,Submission!$H:$N,""))</f>
        <v/>
      </c>
      <c r="G331" s="256"/>
      <c r="H331" s="458" t="str">
        <f>_xlfn.CONCAT(_xlfn.XLOOKUP("[S08_PriorPenaltiesEnforcedDetail][8][ReportinYear]",Submission!$O:$O,Submission!$H:$N,""))</f>
        <v/>
      </c>
      <c r="I331" s="459"/>
    </row>
    <row r="332" spans="2:9" hidden="1" outlineLevel="1" x14ac:dyDescent="0.3">
      <c r="C332" s="255" t="str">
        <f>_xlfn.CONCAT(_xlfn.XLOOKUP("[S08_PriorPenaltiesEnforcedDetail][9][TypeInfringement]",Submission!$O:$O,Submission!$H:$N,""))</f>
        <v/>
      </c>
      <c r="D332" s="460"/>
      <c r="E332" s="256"/>
      <c r="F332" s="255" t="str">
        <f>_xlfn.CONCAT(_xlfn.XLOOKUP("[S08_PriorPenaltiesEnforcedDetail][9][TypePenalty]",Submission!$O:$O,Submission!$H:$N,""))</f>
        <v/>
      </c>
      <c r="G332" s="256"/>
      <c r="H332" s="458" t="str">
        <f>_xlfn.CONCAT(_xlfn.XLOOKUP("[S08_PriorPenaltiesEnforcedDetail][9][ReportinYear]",Submission!$O:$O,Submission!$H:$N,""))</f>
        <v/>
      </c>
      <c r="I332" s="459"/>
    </row>
    <row r="333" spans="2:9" hidden="1" outlineLevel="1" x14ac:dyDescent="0.3">
      <c r="C333" s="255" t="str">
        <f>_xlfn.CONCAT(_xlfn.XLOOKUP("[S08_PriorPenaltiesEnforcedDetail][10][TypeInfringement]",Submission!$O:$O,Submission!$H:$N,""))</f>
        <v/>
      </c>
      <c r="D333" s="460"/>
      <c r="E333" s="256"/>
      <c r="F333" s="255" t="str">
        <f>_xlfn.CONCAT(_xlfn.XLOOKUP("[S08_PriorPenaltiesEnforcedDetail][10][TypePenalty]",Submission!$O:$O,Submission!$H:$N,""))</f>
        <v/>
      </c>
      <c r="G333" s="256"/>
      <c r="H333" s="458" t="str">
        <f>_xlfn.CONCAT(_xlfn.XLOOKUP("[S08_PriorPenaltiesEnforcedDetail][10][ReportinYear]",Submission!$O:$O,Submission!$H:$N,""))</f>
        <v/>
      </c>
      <c r="I333" s="459"/>
    </row>
    <row r="334" spans="2:9" hidden="1" outlineLevel="1" x14ac:dyDescent="0.3">
      <c r="C334" s="255" t="str">
        <f>_xlfn.CONCAT(_xlfn.XLOOKUP("[S08_PriorPenaltiesEnforcedDetail][11][TypeInfringement]",Submission!$O:$O,Submission!$H:$N,""))</f>
        <v/>
      </c>
      <c r="D334" s="460"/>
      <c r="E334" s="256"/>
      <c r="F334" s="255" t="str">
        <f>_xlfn.CONCAT(_xlfn.XLOOKUP("[S08_PriorPenaltiesEnforcedDetail][11][TypePenalty]",Submission!$O:$O,Submission!$H:$N,""))</f>
        <v/>
      </c>
      <c r="G334" s="256"/>
      <c r="H334" s="458" t="str">
        <f>_xlfn.CONCAT(_xlfn.XLOOKUP("[S08_PriorPenaltiesEnforcedDetail][11][ReportinYear]",Submission!$O:$O,Submission!$H:$N,""))</f>
        <v/>
      </c>
      <c r="I334" s="459"/>
    </row>
    <row r="335" spans="2:9" hidden="1" outlineLevel="1" x14ac:dyDescent="0.3">
      <c r="C335" s="255" t="str">
        <f>_xlfn.CONCAT(_xlfn.XLOOKUP("[S08_PriorPenaltiesEnforcedDetail][12][TypeInfringement]",Submission!$O:$O,Submission!$H:$N,""))</f>
        <v/>
      </c>
      <c r="D335" s="460"/>
      <c r="E335" s="256"/>
      <c r="F335" s="255" t="str">
        <f>_xlfn.CONCAT(_xlfn.XLOOKUP("[S08_PriorPenaltiesEnforcedDetail][12][TypePenalty]",Submission!$O:$O,Submission!$H:$N,""))</f>
        <v/>
      </c>
      <c r="G335" s="256"/>
      <c r="H335" s="458" t="str">
        <f>_xlfn.CONCAT(_xlfn.XLOOKUP("[S08_PriorPenaltiesEnforcedDetail][12][ReportinYear]",Submission!$O:$O,Submission!$H:$N,""))</f>
        <v/>
      </c>
      <c r="I335" s="459"/>
    </row>
    <row r="336" spans="2:9" hidden="1" outlineLevel="1" x14ac:dyDescent="0.3">
      <c r="C336" s="255" t="str">
        <f>_xlfn.CONCAT(_xlfn.XLOOKUP("[S08_PriorPenaltiesEnforcedDetail][13][TypeInfringement]",Submission!$O:$O,Submission!$H:$N,""))</f>
        <v/>
      </c>
      <c r="D336" s="460"/>
      <c r="E336" s="256"/>
      <c r="F336" s="255" t="str">
        <f>_xlfn.CONCAT(_xlfn.XLOOKUP("[S08_PriorPenaltiesEnforcedDetail][13][TypePenalty]",Submission!$O:$O,Submission!$H:$N,""))</f>
        <v/>
      </c>
      <c r="G336" s="256"/>
      <c r="H336" s="458" t="str">
        <f>_xlfn.CONCAT(_xlfn.XLOOKUP("[S08_PriorPenaltiesEnforcedDetail][13][ReportinYear]",Submission!$O:$O,Submission!$H:$N,""))</f>
        <v/>
      </c>
      <c r="I336" s="459"/>
    </row>
    <row r="337" spans="2:10" hidden="1" outlineLevel="1" x14ac:dyDescent="0.3">
      <c r="C337" s="255" t="str">
        <f>_xlfn.CONCAT(_xlfn.XLOOKUP("[S08_PriorPenaltiesEnforcedDetail][14][TypeInfringement]",Submission!$O:$O,Submission!$H:$N,""))</f>
        <v/>
      </c>
      <c r="D337" s="460"/>
      <c r="E337" s="256"/>
      <c r="F337" s="255" t="str">
        <f>_xlfn.CONCAT(_xlfn.XLOOKUP("[S08_PriorPenaltiesEnforcedDetail][14][TypePenalty]",Submission!$O:$O,Submission!$H:$N,""))</f>
        <v/>
      </c>
      <c r="G337" s="256"/>
      <c r="H337" s="458" t="str">
        <f>_xlfn.CONCAT(_xlfn.XLOOKUP("[S08_PriorPenaltiesEnforcedDetail][14][ReportinYear]",Submission!$O:$O,Submission!$H:$N,""))</f>
        <v/>
      </c>
      <c r="I337" s="459"/>
    </row>
    <row r="338" spans="2:10" hidden="1" outlineLevel="1" x14ac:dyDescent="0.3">
      <c r="C338" s="255" t="str">
        <f>_xlfn.CONCAT(_xlfn.XLOOKUP("[S08_PriorPenaltiesEnforcedDetail][15][TypeInfringement]",Submission!$O:$O,Submission!$H:$N,""))</f>
        <v/>
      </c>
      <c r="D338" s="460"/>
      <c r="E338" s="256"/>
      <c r="F338" s="255" t="str">
        <f>_xlfn.CONCAT(_xlfn.XLOOKUP("[S08_PriorPenaltiesEnforcedDetail][15][TypePenalty]",Submission!$O:$O,Submission!$H:$N,""))</f>
        <v/>
      </c>
      <c r="G338" s="256"/>
      <c r="H338" s="458" t="str">
        <f>_xlfn.CONCAT(_xlfn.XLOOKUP("[S08_PriorPenaltiesEnforcedDetail][15][ReportinYear]",Submission!$O:$O,Submission!$H:$N,""))</f>
        <v/>
      </c>
      <c r="I338" s="459"/>
    </row>
    <row r="339" spans="2:10" hidden="1" outlineLevel="1" x14ac:dyDescent="0.3">
      <c r="C339" s="255" t="str">
        <f>_xlfn.CONCAT(_xlfn.XLOOKUP("[S08_PriorPenaltiesEnforcedDetail][16][TypeInfringement]",Submission!$O:$O,Submission!$H:$N,""))</f>
        <v/>
      </c>
      <c r="D339" s="460"/>
      <c r="E339" s="256"/>
      <c r="F339" s="255" t="str">
        <f>_xlfn.CONCAT(_xlfn.XLOOKUP("[S08_PriorPenaltiesEnforcedDetail][16][TypePenalty]",Submission!$O:$O,Submission!$H:$N,""))</f>
        <v/>
      </c>
      <c r="G339" s="256"/>
      <c r="H339" s="458" t="str">
        <f>_xlfn.CONCAT(_xlfn.XLOOKUP("[S08_PriorPenaltiesEnforcedDetail][16][ReportinYear]",Submission!$O:$O,Submission!$H:$N,""))</f>
        <v/>
      </c>
      <c r="I339" s="459"/>
    </row>
    <row r="340" spans="2:10" hidden="1" outlineLevel="1" x14ac:dyDescent="0.3">
      <c r="C340" s="255" t="str">
        <f>_xlfn.CONCAT(_xlfn.XLOOKUP("[S08_PriorPenaltiesEnforcedDetail][17][TypeInfringement]",Submission!$O:$O,Submission!$H:$N,""))</f>
        <v/>
      </c>
      <c r="D340" s="460"/>
      <c r="E340" s="256"/>
      <c r="F340" s="255" t="str">
        <f>_xlfn.CONCAT(_xlfn.XLOOKUP("[S08_PriorPenaltiesEnforcedDetail][17][TypePenalty]",Submission!$O:$O,Submission!$H:$N,""))</f>
        <v/>
      </c>
      <c r="G340" s="256"/>
      <c r="H340" s="458" t="str">
        <f>_xlfn.CONCAT(_xlfn.XLOOKUP("[S08_PriorPenaltiesEnforcedDetail][17][ReportinYear]",Submission!$O:$O,Submission!$H:$N,""))</f>
        <v/>
      </c>
      <c r="I340" s="459"/>
    </row>
    <row r="341" spans="2:10" collapsed="1" x14ac:dyDescent="0.3">
      <c r="B341" s="26" t="s">
        <v>1000</v>
      </c>
      <c r="C341" s="16"/>
      <c r="D341" s="19"/>
      <c r="E341" s="11"/>
      <c r="F341" s="11"/>
      <c r="G341" s="11"/>
      <c r="H341" s="11"/>
      <c r="I341" s="11"/>
    </row>
    <row r="342" spans="2:10" x14ac:dyDescent="0.3">
      <c r="C342" s="418" t="s">
        <v>1248</v>
      </c>
      <c r="D342" s="477"/>
      <c r="E342" s="477"/>
      <c r="F342" s="477"/>
      <c r="G342" s="477"/>
      <c r="H342" s="477"/>
      <c r="I342" s="477"/>
      <c r="J342" s="477"/>
    </row>
  </sheetData>
  <mergeCells count="583">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 ref="C223:D223"/>
    <mergeCell ref="H223:I223"/>
    <mergeCell ref="C224:D224"/>
    <mergeCell ref="H224:I224"/>
    <mergeCell ref="C225:D225"/>
    <mergeCell ref="H225:I225"/>
    <mergeCell ref="C226:D226"/>
    <mergeCell ref="H226:I226"/>
    <mergeCell ref="C227:D227"/>
    <mergeCell ref="H227:I227"/>
    <mergeCell ref="C218:D218"/>
    <mergeCell ref="H218:I218"/>
    <mergeCell ref="C219:D219"/>
    <mergeCell ref="H219:I219"/>
    <mergeCell ref="C220:D220"/>
    <mergeCell ref="H220:I220"/>
    <mergeCell ref="C221:D221"/>
    <mergeCell ref="H221:I221"/>
    <mergeCell ref="C222:D222"/>
    <mergeCell ref="H222:I222"/>
    <mergeCell ref="C213:D213"/>
    <mergeCell ref="H213:I213"/>
    <mergeCell ref="C214:D214"/>
    <mergeCell ref="H214:I214"/>
    <mergeCell ref="C215:D215"/>
    <mergeCell ref="H215:I215"/>
    <mergeCell ref="C216:D216"/>
    <mergeCell ref="H216:I216"/>
    <mergeCell ref="C217:D217"/>
    <mergeCell ref="H217:I217"/>
    <mergeCell ref="H208:I208"/>
    <mergeCell ref="C209:D209"/>
    <mergeCell ref="H209:I209"/>
    <mergeCell ref="C210:D210"/>
    <mergeCell ref="H210:I210"/>
    <mergeCell ref="C211:D211"/>
    <mergeCell ref="H211:I211"/>
    <mergeCell ref="C212:D212"/>
    <mergeCell ref="H212:I212"/>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B136:I136"/>
    <mergeCell ref="B138:H138"/>
    <mergeCell ref="B139:I139"/>
    <mergeCell ref="C140:F140"/>
    <mergeCell ref="G140:I140"/>
    <mergeCell ref="B147:I147"/>
    <mergeCell ref="C148:E148"/>
    <mergeCell ref="F148:G148"/>
    <mergeCell ref="H148:I148"/>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G54:I54"/>
    <mergeCell ref="B47:H47"/>
    <mergeCell ref="B48:I48"/>
    <mergeCell ref="C49:F49"/>
    <mergeCell ref="G49:I49"/>
    <mergeCell ref="C50:F50"/>
    <mergeCell ref="G50:I50"/>
    <mergeCell ref="B42:H42"/>
    <mergeCell ref="B43:I43"/>
    <mergeCell ref="C44:F44"/>
    <mergeCell ref="G44:I44"/>
    <mergeCell ref="C45:F45"/>
    <mergeCell ref="G45:I45"/>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C83:D83"/>
    <mergeCell ref="H83:I83"/>
    <mergeCell ref="C84:D84"/>
    <mergeCell ref="H84:I84"/>
    <mergeCell ref="C85:D85"/>
    <mergeCell ref="H85:I85"/>
    <mergeCell ref="C86:D86"/>
    <mergeCell ref="H86:I86"/>
    <mergeCell ref="C87:D87"/>
    <mergeCell ref="H87:I87"/>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H173:I173"/>
    <mergeCell ref="C174:D174"/>
    <mergeCell ref="H174:I174"/>
    <mergeCell ref="C175:D175"/>
    <mergeCell ref="H175:I175"/>
    <mergeCell ref="C176:D176"/>
    <mergeCell ref="H176:I176"/>
    <mergeCell ref="C177:D177"/>
    <mergeCell ref="H177:I177"/>
    <mergeCell ref="C173:D17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C194:D194"/>
    <mergeCell ref="H194:I194"/>
    <mergeCell ref="C195:D195"/>
    <mergeCell ref="H195:I195"/>
    <mergeCell ref="C196:D196"/>
    <mergeCell ref="H196:I196"/>
    <mergeCell ref="C197:D197"/>
    <mergeCell ref="H197:I197"/>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09" t="s">
        <v>545</v>
      </c>
      <c r="C3" s="309"/>
      <c r="D3" s="309"/>
      <c r="E3" s="309"/>
      <c r="F3" s="309"/>
      <c r="G3" s="309"/>
      <c r="H3" s="309"/>
      <c r="I3" s="309"/>
    </row>
    <row r="4" spans="1:9" s="7" customFormat="1" ht="18.899999999999999" customHeight="1" x14ac:dyDescent="0.35">
      <c r="A4" s="107" t="s">
        <v>546</v>
      </c>
      <c r="B4" s="523" t="s">
        <v>74</v>
      </c>
      <c r="C4" s="523"/>
      <c r="D4" s="523"/>
      <c r="E4" s="523"/>
      <c r="F4" s="523"/>
      <c r="G4" s="523"/>
      <c r="H4" s="523"/>
      <c r="I4" s="524"/>
    </row>
    <row r="5" spans="1:9" ht="15.9" customHeight="1" x14ac:dyDescent="0.25">
      <c r="A5" s="55" t="s">
        <v>547</v>
      </c>
      <c r="B5" s="392" t="s">
        <v>1249</v>
      </c>
      <c r="C5" s="393"/>
      <c r="D5" s="393"/>
      <c r="E5" s="393"/>
      <c r="F5" s="393"/>
      <c r="G5" s="393"/>
      <c r="H5" s="393"/>
      <c r="I5" s="393"/>
    </row>
    <row r="6" spans="1:9" ht="16.95" customHeight="1" x14ac:dyDescent="0.3">
      <c r="B6" s="338" t="s">
        <v>1250</v>
      </c>
      <c r="C6" s="308"/>
      <c r="D6" s="308"/>
      <c r="E6" s="308"/>
      <c r="F6" s="308"/>
      <c r="G6" s="308"/>
      <c r="H6" s="345"/>
      <c r="I6" s="41" t="str">
        <f>_xlfn.CONCAT(_xlfn.XLOOKUP("[InstallationOperatorFees][0][InstallationOperatorFees]",Submission!$O:$O,Submission!$H:$N,""))</f>
        <v>No</v>
      </c>
    </row>
    <row r="7" spans="1:9" ht="16.95" customHeight="1" x14ac:dyDescent="0.3">
      <c r="B7" s="307" t="s">
        <v>1251</v>
      </c>
      <c r="C7" s="467"/>
      <c r="D7" s="467"/>
      <c r="E7" s="467"/>
      <c r="F7" s="467"/>
      <c r="G7" s="467"/>
      <c r="H7" s="467"/>
      <c r="I7" s="467"/>
    </row>
    <row r="8" spans="1:9" x14ac:dyDescent="0.3">
      <c r="C8" s="435" t="s">
        <v>1145</v>
      </c>
      <c r="D8" s="436"/>
      <c r="E8" s="436"/>
      <c r="F8" s="437"/>
      <c r="G8" s="435" t="s">
        <v>1146</v>
      </c>
      <c r="H8" s="436"/>
      <c r="I8" s="437"/>
    </row>
    <row r="9" spans="1:9" x14ac:dyDescent="0.3">
      <c r="C9" s="468" t="s">
        <v>1252</v>
      </c>
      <c r="D9" s="469"/>
      <c r="E9" s="469"/>
      <c r="F9" s="470"/>
      <c r="G9" s="461" t="str">
        <f>_xlfn.CONCAT(_xlfn.XLOOKUP("[S09_InstallationOperatorFeesPermits][1][FeesAmount]",Submission!$O:$O,Submission!$H:$N,""))</f>
        <v/>
      </c>
      <c r="H9" s="465"/>
      <c r="I9" s="462"/>
    </row>
    <row r="10" spans="1:9" x14ac:dyDescent="0.3">
      <c r="C10" s="468" t="s">
        <v>1253</v>
      </c>
      <c r="D10" s="469"/>
      <c r="E10" s="469"/>
      <c r="F10" s="470"/>
      <c r="G10" s="461" t="str">
        <f>_xlfn.CONCAT(_xlfn.XLOOKUP("[S09_InstallationOperatorFeesPermits][2][FeesAmount]",Submission!$O:$O,Submission!$H:$N,""))</f>
        <v/>
      </c>
      <c r="H10" s="465"/>
      <c r="I10" s="462"/>
    </row>
    <row r="11" spans="1:9" x14ac:dyDescent="0.3">
      <c r="C11" s="468" t="s">
        <v>1254</v>
      </c>
      <c r="D11" s="469"/>
      <c r="E11" s="469"/>
      <c r="F11" s="470"/>
      <c r="G11" s="461" t="str">
        <f>_xlfn.CONCAT(_xlfn.XLOOKUP("[S09_InstallationOperatorFeesPermits][3][FeesAmount]",Submission!$O:$O,Submission!$H:$N,""))</f>
        <v/>
      </c>
      <c r="H11" s="465"/>
      <c r="I11" s="462"/>
    </row>
    <row r="12" spans="1:9" x14ac:dyDescent="0.3">
      <c r="C12" s="468" t="s">
        <v>1255</v>
      </c>
      <c r="D12" s="469"/>
      <c r="E12" s="469"/>
      <c r="F12" s="470"/>
      <c r="G12" s="461" t="str">
        <f>_xlfn.CONCAT(_xlfn.XLOOKUP("[S09_InstallationOperatorFeesPermits][4][FeesAmount]",Submission!$O:$O,Submission!$H:$N,""))</f>
        <v/>
      </c>
      <c r="H12" s="465"/>
      <c r="I12" s="462"/>
    </row>
    <row r="13" spans="1:9" x14ac:dyDescent="0.3">
      <c r="C13" s="468" t="s">
        <v>1256</v>
      </c>
      <c r="D13" s="469"/>
      <c r="E13" s="469"/>
      <c r="F13" s="470"/>
      <c r="G13" s="461" t="str">
        <f>_xlfn.CONCAT(_xlfn.XLOOKUP("[S09_InstallationOperatorFeesPermits][5][FeesAmount]",Submission!$O:$O,Submission!$H:$N,""))</f>
        <v/>
      </c>
      <c r="H13" s="465"/>
      <c r="I13" s="462"/>
    </row>
    <row r="14" spans="1:9" x14ac:dyDescent="0.3">
      <c r="C14" s="93" t="s">
        <v>697</v>
      </c>
      <c r="D14" s="520" t="str">
        <f>_xlfn.CONCAT(_xlfn.XLOOKUP("[S09_InstallationOperatorFeesPermits][6][FeesOther]",Submission!$O:$O,Submission!$H:$N,""))</f>
        <v/>
      </c>
      <c r="E14" s="521"/>
      <c r="F14" s="522"/>
      <c r="G14" s="351" t="str">
        <f>_xlfn.CONCAT(_xlfn.XLOOKUP("[S09_InstallationOperatorFeesPermits][6][FeesAmount]",Submission!$O:$O,Submission!$H:$N,""))</f>
        <v/>
      </c>
      <c r="H14" s="363"/>
      <c r="I14" s="361"/>
    </row>
    <row r="15" spans="1:9" hidden="1" outlineLevel="1" x14ac:dyDescent="0.3">
      <c r="C15" s="93" t="s">
        <v>1257</v>
      </c>
      <c r="D15" s="520" t="str">
        <f>_xlfn.CONCAT(_xlfn.XLOOKUP("[S09_InstallationOperatorFeesPermits][7][FeesOther]",Submission!$O:$O,Submission!$H:$N,""))</f>
        <v/>
      </c>
      <c r="E15" s="521"/>
      <c r="F15" s="522"/>
      <c r="G15" s="351" t="str">
        <f>_xlfn.CONCAT(_xlfn.XLOOKUP("[S09_InstallationOperatorFeesPermits][7][FeesAmount]",Submission!$O:$O,Submission!$H:$N,""))</f>
        <v/>
      </c>
      <c r="H15" s="363"/>
      <c r="I15" s="361"/>
    </row>
    <row r="16" spans="1:9" hidden="1" outlineLevel="1" x14ac:dyDescent="0.3">
      <c r="C16" s="93" t="s">
        <v>1258</v>
      </c>
      <c r="D16" s="520" t="str">
        <f>_xlfn.CONCAT(_xlfn.XLOOKUP("[S09_InstallationOperatorFeesPermits][8][FeesOther]",Submission!$O:$O,Submission!$H:$N,""))</f>
        <v/>
      </c>
      <c r="E16" s="521"/>
      <c r="F16" s="522"/>
      <c r="G16" s="351" t="str">
        <f>_xlfn.CONCAT(_xlfn.XLOOKUP("[S09_InstallationOperatorFeesPermits][8][FeesAmount]",Submission!$O:$O,Submission!$H:$N,""))</f>
        <v/>
      </c>
      <c r="H16" s="363"/>
      <c r="I16" s="361"/>
    </row>
    <row r="17" spans="1:9" hidden="1" outlineLevel="1" x14ac:dyDescent="0.3">
      <c r="C17" s="93" t="s">
        <v>1259</v>
      </c>
      <c r="D17" s="520" t="str">
        <f>_xlfn.CONCAT(_xlfn.XLOOKUP("[S09_InstallationOperatorFeesPermits][9][FeesOther]",Submission!$O:$O,Submission!$H:$N,""))</f>
        <v/>
      </c>
      <c r="E17" s="521"/>
      <c r="F17" s="522"/>
      <c r="G17" s="351" t="str">
        <f>_xlfn.CONCAT(_xlfn.XLOOKUP("[S09_InstallationOperatorFeesPermits][9][FeesAmount]",Submission!$O:$O,Submission!$H:$N,""))</f>
        <v/>
      </c>
      <c r="H17" s="363"/>
      <c r="I17" s="361"/>
    </row>
    <row r="18" spans="1:9" collapsed="1" x14ac:dyDescent="0.3">
      <c r="B18" s="26" t="s">
        <v>1000</v>
      </c>
      <c r="C18" s="16"/>
      <c r="D18" s="19"/>
      <c r="E18" s="11"/>
      <c r="F18" s="11"/>
      <c r="G18" s="11"/>
      <c r="H18" s="11"/>
      <c r="I18" s="11"/>
    </row>
    <row r="20" spans="1:9" x14ac:dyDescent="0.3">
      <c r="B20" s="467" t="s">
        <v>1260</v>
      </c>
      <c r="C20" s="467"/>
      <c r="D20" s="467"/>
      <c r="E20" s="467"/>
      <c r="F20" s="467"/>
      <c r="G20" s="467"/>
      <c r="H20" s="467"/>
      <c r="I20" s="467"/>
    </row>
    <row r="21" spans="1:9" x14ac:dyDescent="0.3">
      <c r="C21" s="357" t="s">
        <v>1145</v>
      </c>
      <c r="D21" s="357"/>
      <c r="E21" s="357"/>
      <c r="F21" s="357"/>
      <c r="G21" s="422" t="s">
        <v>1146</v>
      </c>
      <c r="H21" s="357"/>
      <c r="I21" s="357"/>
    </row>
    <row r="22" spans="1:9" x14ac:dyDescent="0.3">
      <c r="C22" s="383" t="s">
        <v>1261</v>
      </c>
      <c r="D22" s="383"/>
      <c r="E22" s="383"/>
      <c r="F22" s="383"/>
      <c r="G22" s="461" t="str">
        <f>_xlfn.CONCAT(_xlfn.XLOOKUP("[S09_InstallationOperatorFeesSubsistence][1][FeesAmount]",Submission!$O:$O,Submission!$H:$N,""))</f>
        <v/>
      </c>
      <c r="H22" s="465"/>
      <c r="I22" s="462"/>
    </row>
    <row r="23" spans="1:9" x14ac:dyDescent="0.3">
      <c r="C23" s="96" t="s">
        <v>1234</v>
      </c>
      <c r="D23" s="258" t="str">
        <f>_xlfn.CONCAT(_xlfn.XLOOKUP("[S09_InstallationOperatorFeesSubsistence][2][FeesOther]",Submission!$O:$O,Submission!$H:$N,""))</f>
        <v/>
      </c>
      <c r="E23" s="353"/>
      <c r="F23" s="260"/>
      <c r="G23" s="461" t="str">
        <f>_xlfn.CONCAT(_xlfn.XLOOKUP("[S09_InstallationOperatorFeesSubsistence][2][FeesAmount]",Submission!$O:$O,Submission!$H:$N,""))</f>
        <v/>
      </c>
      <c r="H23" s="465"/>
      <c r="I23" s="462"/>
    </row>
    <row r="24" spans="1:9" hidden="1" outlineLevel="1" x14ac:dyDescent="0.3">
      <c r="C24" s="93" t="s">
        <v>1257</v>
      </c>
      <c r="D24" s="520" t="str">
        <f>_xlfn.CONCAT(_xlfn.XLOOKUP("[S09_InstallationOperatorFeesSubsistence][3][FeesOther]",Submission!$O:$O,Submission!$H:$N,""))</f>
        <v/>
      </c>
      <c r="E24" s="521"/>
      <c r="F24" s="522"/>
      <c r="G24" s="351" t="str">
        <f>_xlfn.CONCAT(_xlfn.XLOOKUP("[S09_InstallationOperatorFeesSubsistence][3][FeesAmount]",Submission!$O:$O,Submission!$H:$N,""))</f>
        <v/>
      </c>
      <c r="H24" s="363"/>
      <c r="I24" s="361"/>
    </row>
    <row r="25" spans="1:9" hidden="1" outlineLevel="1" x14ac:dyDescent="0.3">
      <c r="C25" s="93" t="s">
        <v>1258</v>
      </c>
      <c r="D25" s="520" t="str">
        <f>_xlfn.CONCAT(_xlfn.XLOOKUP("[S09_InstallationOperatorFeesSubsistence][4][FeesOther]",Submission!$O:$O,Submission!$H:$N,""))</f>
        <v/>
      </c>
      <c r="E25" s="521"/>
      <c r="F25" s="522"/>
      <c r="G25" s="351" t="str">
        <f>_xlfn.CONCAT(_xlfn.XLOOKUP("[S09_InstallationOperatorFeesSubsistence][4][FeesAmount]",Submission!$O:$O,Submission!$H:$N,""))</f>
        <v/>
      </c>
      <c r="H25" s="363"/>
      <c r="I25" s="361"/>
    </row>
    <row r="26" spans="1:9" hidden="1" outlineLevel="1" x14ac:dyDescent="0.3">
      <c r="C26" s="93" t="s">
        <v>1259</v>
      </c>
      <c r="D26" s="520" t="str">
        <f>_xlfn.CONCAT(_xlfn.XLOOKUP("[S09_InstallationOperatorFeesSubsistence][5][FeesOther]",Submission!$O:$O,Submission!$H:$N,""))</f>
        <v/>
      </c>
      <c r="E26" s="521"/>
      <c r="F26" s="522"/>
      <c r="G26" s="351" t="str">
        <f>_xlfn.CONCAT(_xlfn.XLOOKUP("[S09_InstallationOperatorFeesSubsistence][5][FeesAmount]",Submission!$O:$O,Submission!$H:$N,""))</f>
        <v/>
      </c>
      <c r="H26" s="363"/>
      <c r="I26" s="361"/>
    </row>
    <row r="27" spans="1:9" collapsed="1" x14ac:dyDescent="0.3">
      <c r="B27" s="26" t="s">
        <v>1000</v>
      </c>
      <c r="C27" s="16"/>
      <c r="D27" s="19"/>
      <c r="E27" s="11"/>
      <c r="F27" s="11"/>
      <c r="G27" s="11"/>
      <c r="H27" s="11"/>
      <c r="I27" s="11"/>
    </row>
    <row r="29" spans="1:9" s="11" customFormat="1" ht="18.899999999999999" customHeight="1" x14ac:dyDescent="0.35">
      <c r="A29" s="107" t="s">
        <v>552</v>
      </c>
      <c r="B29" s="523" t="s">
        <v>97</v>
      </c>
      <c r="C29" s="523"/>
      <c r="D29" s="523"/>
      <c r="E29" s="523"/>
      <c r="F29" s="523"/>
      <c r="G29" s="523"/>
      <c r="H29" s="523"/>
      <c r="I29" s="524"/>
    </row>
    <row r="30" spans="1:9" ht="15.9" customHeight="1" x14ac:dyDescent="0.25">
      <c r="A30" s="55" t="s">
        <v>553</v>
      </c>
      <c r="B30" s="392" t="s">
        <v>1262</v>
      </c>
      <c r="C30" s="393"/>
      <c r="D30" s="393"/>
      <c r="E30" s="393"/>
      <c r="F30" s="393"/>
      <c r="G30" s="393"/>
      <c r="H30" s="393"/>
      <c r="I30" s="393"/>
    </row>
    <row r="31" spans="1:9" ht="16.95" customHeight="1" x14ac:dyDescent="0.3">
      <c r="B31" s="338" t="s">
        <v>1263</v>
      </c>
      <c r="C31" s="308"/>
      <c r="D31" s="308"/>
      <c r="E31" s="308"/>
      <c r="F31" s="308"/>
      <c r="G31" s="308"/>
      <c r="H31" s="345"/>
      <c r="I31" s="41" t="str">
        <f>_xlfn.CONCAT(_xlfn.XLOOKUP("[AircraftOperatorFees][0][AircraftOperatorFees]",Submission!$O:$O,Submission!$H:$N,""))</f>
        <v>No</v>
      </c>
    </row>
    <row r="32" spans="1:9" ht="16.95" customHeight="1" x14ac:dyDescent="0.3">
      <c r="B32" s="307" t="s">
        <v>1264</v>
      </c>
      <c r="C32" s="467"/>
      <c r="D32" s="467"/>
      <c r="E32" s="467"/>
      <c r="F32" s="467"/>
      <c r="G32" s="467"/>
      <c r="H32" s="467"/>
      <c r="I32" s="467"/>
    </row>
    <row r="33" spans="2:9" x14ac:dyDescent="0.3">
      <c r="C33" s="435" t="s">
        <v>1145</v>
      </c>
      <c r="D33" s="436"/>
      <c r="E33" s="436"/>
      <c r="F33" s="437"/>
      <c r="G33" s="435" t="s">
        <v>1146</v>
      </c>
      <c r="H33" s="436"/>
      <c r="I33" s="437"/>
    </row>
    <row r="34" spans="2:9" x14ac:dyDescent="0.3">
      <c r="C34" s="468" t="s">
        <v>1265</v>
      </c>
      <c r="D34" s="469"/>
      <c r="E34" s="469"/>
      <c r="F34" s="470"/>
      <c r="G34" s="461" t="str">
        <f>_xlfn.CONCAT(_xlfn.XLOOKUP("[S09_AircraftOperatorFeesMonitoringPlans][1][FeesAmount]",Submission!$O:$O,Submission!$H:$N,""))</f>
        <v/>
      </c>
      <c r="H34" s="465"/>
      <c r="I34" s="462"/>
    </row>
    <row r="35" spans="2:9" x14ac:dyDescent="0.3">
      <c r="C35" s="468" t="s">
        <v>1266</v>
      </c>
      <c r="D35" s="469"/>
      <c r="E35" s="469"/>
      <c r="F35" s="470"/>
      <c r="G35" s="461" t="str">
        <f>_xlfn.CONCAT(_xlfn.XLOOKUP("[S09_AircraftOperatorFeesMonitoringPlans][2][FeesAmount]",Submission!$O:$O,Submission!$H:$N,""))</f>
        <v/>
      </c>
      <c r="H35" s="465"/>
      <c r="I35" s="462"/>
    </row>
    <row r="36" spans="2:9" x14ac:dyDescent="0.3">
      <c r="C36" s="468" t="s">
        <v>1267</v>
      </c>
      <c r="D36" s="469"/>
      <c r="E36" s="469"/>
      <c r="F36" s="470"/>
      <c r="G36" s="461" t="str">
        <f>_xlfn.CONCAT(_xlfn.XLOOKUP("[S09_AircraftOperatorFeesMonitoringPlans][3][FeesAmount]",Submission!$O:$O,Submission!$H:$N,""))</f>
        <v/>
      </c>
      <c r="H36" s="465"/>
      <c r="I36" s="462"/>
    </row>
    <row r="37" spans="2:9" x14ac:dyDescent="0.3">
      <c r="C37" s="468" t="s">
        <v>1268</v>
      </c>
      <c r="D37" s="469"/>
      <c r="E37" s="469"/>
      <c r="F37" s="470"/>
      <c r="G37" s="461" t="str">
        <f>_xlfn.CONCAT(_xlfn.XLOOKUP("[S09_AircraftOperatorFeesMonitoringPlans][4][FeesAmount]",Submission!$O:$O,Submission!$H:$N,""))</f>
        <v/>
      </c>
      <c r="H37" s="465"/>
      <c r="I37" s="462"/>
    </row>
    <row r="38" spans="2:9" x14ac:dyDescent="0.3">
      <c r="C38" s="468" t="s">
        <v>1269</v>
      </c>
      <c r="D38" s="469"/>
      <c r="E38" s="469"/>
      <c r="F38" s="470"/>
      <c r="G38" s="461" t="str">
        <f>_xlfn.CONCAT(_xlfn.XLOOKUP("[S09_AircraftOperatorFeesMonitoringPlans][5][FeesAmount]",Submission!$O:$O,Submission!$H:$N,""))</f>
        <v/>
      </c>
      <c r="H38" s="465"/>
      <c r="I38" s="462"/>
    </row>
    <row r="39" spans="2:9" x14ac:dyDescent="0.3">
      <c r="C39" s="468" t="s">
        <v>1270</v>
      </c>
      <c r="D39" s="469"/>
      <c r="E39" s="469"/>
      <c r="F39" s="470"/>
      <c r="G39" s="461" t="str">
        <f>_xlfn.CONCAT(_xlfn.XLOOKUP("[S09_AircraftOperatorFeesMonitoringPlans][6][FeesAmount]",Submission!$O:$O,Submission!$H:$N,""))</f>
        <v/>
      </c>
      <c r="H39" s="465"/>
      <c r="I39" s="462"/>
    </row>
    <row r="40" spans="2:9" x14ac:dyDescent="0.3">
      <c r="C40" s="93" t="s">
        <v>1234</v>
      </c>
      <c r="D40" s="520" t="str">
        <f>_xlfn.CONCAT(_xlfn.XLOOKUP("[S09_AircraftOperatorFeesMonitoringPlans][7][FeesOther]",Submission!$O:$O,Submission!$H:$N,""))</f>
        <v/>
      </c>
      <c r="E40" s="521"/>
      <c r="F40" s="522"/>
      <c r="G40" s="461" t="str">
        <f>_xlfn.CONCAT(_xlfn.XLOOKUP("[S09_AircraftOperatorFeesMonitoringPlans][7][FeesAmount]",Submission!$O:$O,Submission!$H:$N,""))</f>
        <v/>
      </c>
      <c r="H40" s="465"/>
      <c r="I40" s="462"/>
    </row>
    <row r="41" spans="2:9" hidden="1" outlineLevel="1" x14ac:dyDescent="0.3">
      <c r="C41" s="93" t="s">
        <v>1257</v>
      </c>
      <c r="D41" s="520" t="str">
        <f>_xlfn.CONCAT(_xlfn.XLOOKUP("[S09_AircraftOperatorFeesMonitoringPlans][8][FeesOther]",Submission!$O:$O,Submission!$H:$N,""))</f>
        <v/>
      </c>
      <c r="E41" s="521"/>
      <c r="F41" s="522"/>
      <c r="G41" s="351" t="str">
        <f>_xlfn.CONCAT(_xlfn.XLOOKUP("[S09_AircraftOperatorFeesMonitoringPlans][8][FeesAmount]",Submission!$O:$O,Submission!$H:$N,""))</f>
        <v/>
      </c>
      <c r="H41" s="363"/>
      <c r="I41" s="361"/>
    </row>
    <row r="42" spans="2:9" hidden="1" outlineLevel="1" x14ac:dyDescent="0.3">
      <c r="C42" s="93" t="s">
        <v>1258</v>
      </c>
      <c r="D42" s="520" t="str">
        <f>_xlfn.CONCAT(_xlfn.XLOOKUP("[S09_AircraftOperatorFeesMonitoringPlans][9][FeesOther]",Submission!$O:$O,Submission!$H:$N,""))</f>
        <v/>
      </c>
      <c r="E42" s="521"/>
      <c r="F42" s="522"/>
      <c r="G42" s="351" t="str">
        <f>_xlfn.CONCAT(_xlfn.XLOOKUP("[S09_AircraftOperatorFeesMonitoringPlans][9][FeesAmount]",Submission!$O:$O,Submission!$H:$N,""))</f>
        <v/>
      </c>
      <c r="H42" s="363"/>
      <c r="I42" s="361"/>
    </row>
    <row r="43" spans="2:9" hidden="1" outlineLevel="1" x14ac:dyDescent="0.3">
      <c r="C43" s="93" t="s">
        <v>1259</v>
      </c>
      <c r="D43" s="520" t="str">
        <f>_xlfn.CONCAT(_xlfn.XLOOKUP("[S09_AircraftOperatorFeesMonitoringPlans][10][FeesOther]",Submission!$O:$O,Submission!$H:$N,""))</f>
        <v/>
      </c>
      <c r="E43" s="521"/>
      <c r="F43" s="522"/>
      <c r="G43" s="351" t="str">
        <f>_xlfn.CONCAT(_xlfn.XLOOKUP("[S09_AircraftOperatorFeesMonitoringPlans][10][FeesAmount]",Submission!$O:$O,Submission!$H:$N,""))</f>
        <v/>
      </c>
      <c r="H43" s="363"/>
      <c r="I43" s="361"/>
    </row>
    <row r="44" spans="2:9" collapsed="1" x14ac:dyDescent="0.3">
      <c r="B44" s="26" t="s">
        <v>1000</v>
      </c>
      <c r="C44" s="16"/>
      <c r="D44" s="19"/>
      <c r="E44" s="11"/>
      <c r="F44" s="11"/>
      <c r="G44" s="11"/>
      <c r="H44" s="11"/>
      <c r="I44" s="11"/>
    </row>
    <row r="46" spans="2:9" x14ac:dyDescent="0.3">
      <c r="B46" s="467" t="s">
        <v>1271</v>
      </c>
      <c r="C46" s="467"/>
      <c r="D46" s="467"/>
      <c r="E46" s="467"/>
      <c r="F46" s="467"/>
      <c r="G46" s="467"/>
      <c r="H46" s="467"/>
      <c r="I46" s="467"/>
    </row>
    <row r="47" spans="2:9" x14ac:dyDescent="0.3">
      <c r="C47" s="357" t="s">
        <v>1145</v>
      </c>
      <c r="D47" s="357"/>
      <c r="E47" s="357"/>
      <c r="F47" s="357"/>
      <c r="G47" s="422" t="s">
        <v>1146</v>
      </c>
      <c r="H47" s="357"/>
      <c r="I47" s="357"/>
    </row>
    <row r="48" spans="2:9" x14ac:dyDescent="0.3">
      <c r="C48" s="383" t="s">
        <v>1261</v>
      </c>
      <c r="D48" s="383"/>
      <c r="E48" s="383"/>
      <c r="F48" s="383"/>
      <c r="G48" s="461" t="str">
        <f>_xlfn.CONCAT(_xlfn.XLOOKUP("[S09_AircraftOperatorFeesSubsistence][1][FeesAmount]",Submission!$O:$O,Submission!$H:$N,""))</f>
        <v/>
      </c>
      <c r="H48" s="465"/>
      <c r="I48" s="462"/>
    </row>
    <row r="49" spans="1:9" x14ac:dyDescent="0.3">
      <c r="C49" s="93" t="s">
        <v>1234</v>
      </c>
      <c r="D49" s="525" t="str">
        <f>_xlfn.CONCAT(_xlfn.XLOOKUP("[S09_AircraftOperatorFeesSubsistence][2][FeesOther]",Submission!$O:$O,Submission!$H:$N,""))</f>
        <v/>
      </c>
      <c r="E49" s="369"/>
      <c r="F49" s="259"/>
      <c r="G49" s="461" t="str">
        <f>_xlfn.CONCAT(_xlfn.XLOOKUP("[S09_AircraftOperatorFeesSubsistence][2][FeesAmount]",Submission!$O:$O,Submission!$H:$N,""))</f>
        <v/>
      </c>
      <c r="H49" s="465"/>
      <c r="I49" s="462"/>
    </row>
    <row r="50" spans="1:9" hidden="1" outlineLevel="1" x14ac:dyDescent="0.3">
      <c r="C50" s="93" t="s">
        <v>1257</v>
      </c>
      <c r="D50" s="520" t="str">
        <f>_xlfn.CONCAT(_xlfn.XLOOKUP("[S09_AircraftOperatorFeesSubsistence][3][FeesOther]",Submission!$O:$O,Submission!$H:$N,""))</f>
        <v/>
      </c>
      <c r="E50" s="521"/>
      <c r="F50" s="522"/>
      <c r="G50" s="351" t="str">
        <f>_xlfn.CONCAT(_xlfn.XLOOKUP("[S09_AircraftOperatorFeesSubsistence][3][FeesAmount]",Submission!$O:$O,Submission!$H:$N,""))</f>
        <v/>
      </c>
      <c r="H50" s="363"/>
      <c r="I50" s="361"/>
    </row>
    <row r="51" spans="1:9" hidden="1" outlineLevel="1" x14ac:dyDescent="0.3">
      <c r="C51" s="93" t="s">
        <v>1258</v>
      </c>
      <c r="D51" s="520" t="str">
        <f>_xlfn.CONCAT(_xlfn.XLOOKUP("[S09_AircraftOperatorFeesSubsistence][4][FeesOther]",Submission!$O:$O,Submission!$H:$N,""))</f>
        <v/>
      </c>
      <c r="E51" s="521"/>
      <c r="F51" s="522"/>
      <c r="G51" s="351" t="str">
        <f>_xlfn.CONCAT(_xlfn.XLOOKUP("[S09_AircraftOperatorFeesSubsistence][4][FeesAmount]",Submission!$O:$O,Submission!$H:$N,""))</f>
        <v/>
      </c>
      <c r="H51" s="363"/>
      <c r="I51" s="361"/>
    </row>
    <row r="52" spans="1:9" hidden="1" outlineLevel="1" x14ac:dyDescent="0.3">
      <c r="C52" s="93" t="s">
        <v>1259</v>
      </c>
      <c r="D52" s="520" t="str">
        <f>_xlfn.CONCAT(_xlfn.XLOOKUP("[S09_AircraftOperatorFeesSubsistence][5][FeesOther]",Submission!$O:$O,Submission!$H:$N,""))</f>
        <v/>
      </c>
      <c r="E52" s="521"/>
      <c r="F52" s="522"/>
      <c r="G52" s="351" t="str">
        <f>_xlfn.CONCAT(_xlfn.XLOOKUP("[S09_AircraftOperatorFeesSubsistence][5][FeesAmount]",Submission!$O:$O,Submission!$H:$N,""))</f>
        <v/>
      </c>
      <c r="H52" s="363"/>
      <c r="I52" s="361"/>
    </row>
    <row r="53" spans="1:9" collapsed="1" x14ac:dyDescent="0.3">
      <c r="B53" s="26" t="s">
        <v>1000</v>
      </c>
      <c r="C53" s="16"/>
      <c r="D53" s="19"/>
      <c r="E53" s="11"/>
      <c r="F53" s="11"/>
      <c r="G53" s="11"/>
      <c r="H53" s="11"/>
      <c r="I53" s="11"/>
    </row>
    <row r="55" spans="1:9" s="11" customFormat="1" ht="18.899999999999999" customHeight="1" x14ac:dyDescent="0.35">
      <c r="A55" s="107" t="s">
        <v>557</v>
      </c>
      <c r="B55" s="523" t="s">
        <v>558</v>
      </c>
      <c r="C55" s="523"/>
      <c r="D55" s="523"/>
      <c r="E55" s="523"/>
      <c r="F55" s="523"/>
      <c r="G55" s="523"/>
      <c r="H55" s="523"/>
      <c r="I55" s="524"/>
    </row>
    <row r="56" spans="1:9" ht="15.9" customHeight="1" x14ac:dyDescent="0.25">
      <c r="A56" s="55" t="s">
        <v>559</v>
      </c>
      <c r="B56" s="392" t="s">
        <v>1272</v>
      </c>
      <c r="C56" s="393"/>
      <c r="D56" s="393"/>
      <c r="E56" s="393"/>
      <c r="F56" s="393"/>
      <c r="G56" s="393"/>
      <c r="H56" s="393"/>
      <c r="I56" s="393"/>
    </row>
    <row r="57" spans="1:9" x14ac:dyDescent="0.3">
      <c r="B57" s="467" t="s">
        <v>1273</v>
      </c>
      <c r="C57" s="467"/>
      <c r="D57" s="467"/>
      <c r="E57" s="467"/>
      <c r="F57" s="467"/>
      <c r="G57" s="467"/>
      <c r="H57" s="467"/>
      <c r="I57" s="467"/>
    </row>
    <row r="58" spans="1:9" ht="15.6" customHeight="1" x14ac:dyDescent="0.3">
      <c r="B58" s="25"/>
      <c r="C58" s="519" t="s">
        <v>1274</v>
      </c>
      <c r="D58" s="519"/>
      <c r="E58" s="519"/>
      <c r="F58" s="519"/>
      <c r="G58" s="519"/>
      <c r="H58" s="519"/>
      <c r="I58" s="519"/>
    </row>
    <row r="59" spans="1:9" x14ac:dyDescent="0.3">
      <c r="C59" s="357" t="s">
        <v>1145</v>
      </c>
      <c r="D59" s="357"/>
      <c r="E59" s="357"/>
      <c r="F59" s="357"/>
      <c r="G59" s="422" t="s">
        <v>1146</v>
      </c>
      <c r="H59" s="357"/>
      <c r="I59" s="357"/>
    </row>
    <row r="60" spans="1:9" x14ac:dyDescent="0.3">
      <c r="C60" s="255" t="str">
        <f>_xlfn.CONCAT(_xlfn.XLOOKUP("[S09_RegistryAccountOneOffFees][1][OneOffFeeReason]",Submission!$O:$O,Submission!$H:$N,""))</f>
        <v>Tādas darbības emisijas reģistrā, kas tiek veiktas operatora vai gaisa kuģa operatora vietā, tai skaitā verificētā emisiju apjoma ievadīšana un nodošanas pārskaitījuma veikšana, visu veidu darījumu veikšana, darījumu apstiprināšana, uzticamo kontu saraksta pievienošana</v>
      </c>
      <c r="D60" s="460"/>
      <c r="E60" s="460"/>
      <c r="F60" s="256"/>
      <c r="G60" s="461" t="str">
        <f>_xlfn.CONCAT(_xlfn.XLOOKUP("[S09_RegistryAccountOneOffFees][1][OneOffFeeAmount]",Submission!$O:$O,Submission!$H:$N,""))</f>
        <v>31.9</v>
      </c>
      <c r="H60" s="465"/>
      <c r="I60" s="462"/>
    </row>
    <row r="61" spans="1:9" x14ac:dyDescent="0.3">
      <c r="C61" s="255" t="str">
        <f>_xlfn.CONCAT(_xlfn.XLOOKUP("[S09_RegistryAccountOneOffFees][2][OneOffFeeReason]",Submission!$O:$O,Submission!$H:$N,""))</f>
        <v/>
      </c>
      <c r="D61" s="460"/>
      <c r="E61" s="460"/>
      <c r="F61" s="256"/>
      <c r="G61" s="461" t="str">
        <f>_xlfn.CONCAT(_xlfn.XLOOKUP("[S09_RegistryAccountOneOffFees][2][OneOffFeeAmount]",Submission!$O:$O,Submission!$H:$N,""))</f>
        <v/>
      </c>
      <c r="H61" s="465"/>
      <c r="I61" s="462"/>
    </row>
    <row r="62" spans="1:9" x14ac:dyDescent="0.3">
      <c r="C62" s="255" t="str">
        <f>_xlfn.CONCAT(_xlfn.XLOOKUP("[S09_RegistryAccountOneOffFees][3][OneOffFeeReason]",Submission!$O:$O,Submission!$H:$N,""))</f>
        <v/>
      </c>
      <c r="D62" s="460"/>
      <c r="E62" s="460"/>
      <c r="F62" s="256"/>
      <c r="G62" s="461" t="str">
        <f>_xlfn.CONCAT(_xlfn.XLOOKUP("[S09_RegistryAccountOneOffFees][3][OneOffFeeAmount]",Submission!$O:$O,Submission!$H:$N,""))</f>
        <v/>
      </c>
      <c r="H62" s="465"/>
      <c r="I62" s="462"/>
    </row>
    <row r="63" spans="1:9" x14ac:dyDescent="0.3">
      <c r="C63" s="255" t="str">
        <f>_xlfn.CONCAT(_xlfn.XLOOKUP("[S09_RegistryAccountOneOffFees][4][OneOffFeeReason]",Submission!$O:$O,Submission!$H:$N,""))</f>
        <v/>
      </c>
      <c r="D63" s="460"/>
      <c r="E63" s="460"/>
      <c r="F63" s="256"/>
      <c r="G63" s="461" t="str">
        <f>_xlfn.CONCAT(_xlfn.XLOOKUP("[S09_RegistryAccountOneOffFees][4][OneOffFeeAmount]",Submission!$O:$O,Submission!$H:$N,""))</f>
        <v/>
      </c>
      <c r="H63" s="465"/>
      <c r="I63" s="462"/>
    </row>
    <row r="64" spans="1:9" x14ac:dyDescent="0.3">
      <c r="C64" s="255" t="str">
        <f>_xlfn.CONCAT(_xlfn.XLOOKUP("[S09_RegistryAccountOneOffFees][5][OneOffFeeReason]",Submission!$O:$O,Submission!$H:$N,""))</f>
        <v/>
      </c>
      <c r="D64" s="460"/>
      <c r="E64" s="460"/>
      <c r="F64" s="256"/>
      <c r="G64" s="461" t="str">
        <f>_xlfn.CONCAT(_xlfn.XLOOKUP("[S09_RegistryAccountOneOffFees][5][OneOffFeeAmount]",Submission!$O:$O,Submission!$H:$N,""))</f>
        <v/>
      </c>
      <c r="H64" s="465"/>
      <c r="I64" s="462"/>
    </row>
    <row r="65" spans="2:9" hidden="1" outlineLevel="1" x14ac:dyDescent="0.3">
      <c r="C65" s="255" t="str">
        <f>_xlfn.CONCAT(_xlfn.XLOOKUP("[S09_RegistryAccountOneOffFees][6][OneOffFeeReason]",Submission!$O:$O,Submission!$H:$N,""))</f>
        <v/>
      </c>
      <c r="D65" s="460"/>
      <c r="E65" s="460"/>
      <c r="F65" s="256"/>
      <c r="G65" s="461" t="str">
        <f>_xlfn.CONCAT(_xlfn.XLOOKUP("[S09_RegistryAccountOneOffFees][6][OneOffFeeAmount]",Submission!$O:$O,Submission!$H:$N,""))</f>
        <v/>
      </c>
      <c r="H65" s="465"/>
      <c r="I65" s="462"/>
    </row>
    <row r="66" spans="2:9" hidden="1" outlineLevel="1" x14ac:dyDescent="0.3">
      <c r="C66" s="255" t="str">
        <f>_xlfn.CONCAT(_xlfn.XLOOKUP("[S09_RegistryAccountOneOffFees][7][OneOffFeeReason]",Submission!$O:$O,Submission!$H:$N,""))</f>
        <v/>
      </c>
      <c r="D66" s="460"/>
      <c r="E66" s="460"/>
      <c r="F66" s="256"/>
      <c r="G66" s="461" t="str">
        <f>_xlfn.CONCAT(_xlfn.XLOOKUP("[S09_RegistryAccountOneOffFees][7][OneOffFeeAmount]",Submission!$O:$O,Submission!$H:$N,""))</f>
        <v/>
      </c>
      <c r="H66" s="465"/>
      <c r="I66" s="462"/>
    </row>
    <row r="67" spans="2:9" hidden="1" outlineLevel="1" x14ac:dyDescent="0.3">
      <c r="C67" s="255" t="str">
        <f>_xlfn.CONCAT(_xlfn.XLOOKUP("[S09_RegistryAccountOneOffFees][8][OneOffFeeReason]",Submission!$O:$O,Submission!$H:$N,""))</f>
        <v/>
      </c>
      <c r="D67" s="460"/>
      <c r="E67" s="460"/>
      <c r="F67" s="256"/>
      <c r="G67" s="461" t="str">
        <f>_xlfn.CONCAT(_xlfn.XLOOKUP("[S09_RegistryAccountOneOffFees][8][OneOffFeeAmount]",Submission!$O:$O,Submission!$H:$N,""))</f>
        <v/>
      </c>
      <c r="H67" s="465"/>
      <c r="I67" s="462"/>
    </row>
    <row r="68" spans="2:9" hidden="1" outlineLevel="1" x14ac:dyDescent="0.3">
      <c r="C68" s="255" t="str">
        <f>_xlfn.CONCAT(_xlfn.XLOOKUP("[S09_RegistryAccountOneOffFees][9][OneOffFeeReason]",Submission!$O:$O,Submission!$H:$N,""))</f>
        <v/>
      </c>
      <c r="D68" s="460"/>
      <c r="E68" s="460"/>
      <c r="F68" s="256"/>
      <c r="G68" s="461" t="str">
        <f>_xlfn.CONCAT(_xlfn.XLOOKUP("[S09_RegistryAccountOneOffFees][9][OneOffFeeAmount]",Submission!$O:$O,Submission!$H:$N,""))</f>
        <v/>
      </c>
      <c r="H68" s="465"/>
      <c r="I68" s="462"/>
    </row>
    <row r="69" spans="2:9" hidden="1" outlineLevel="1" x14ac:dyDescent="0.3">
      <c r="C69" s="255" t="str">
        <f>_xlfn.CONCAT(_xlfn.XLOOKUP("[S09_RegistryAccountOneOffFees][10][OneOffFeeReason]",Submission!$O:$O,Submission!$H:$N,""))</f>
        <v/>
      </c>
      <c r="D69" s="460"/>
      <c r="E69" s="460"/>
      <c r="F69" s="256"/>
      <c r="G69" s="461" t="str">
        <f>_xlfn.CONCAT(_xlfn.XLOOKUP("[S09_RegistryAccountOneOffFees][10][OneOffFeeAmount]",Submission!$O:$O,Submission!$H:$N,""))</f>
        <v/>
      </c>
      <c r="H69" s="465"/>
      <c r="I69" s="462"/>
    </row>
    <row r="70" spans="2:9" collapsed="1" x14ac:dyDescent="0.3">
      <c r="B70" s="26" t="s">
        <v>1000</v>
      </c>
    </row>
    <row r="72" spans="2:9" x14ac:dyDescent="0.3">
      <c r="B72" s="25"/>
      <c r="C72" s="518" t="s">
        <v>1275</v>
      </c>
      <c r="D72" s="518"/>
      <c r="E72" s="518"/>
      <c r="F72" s="518"/>
      <c r="G72" s="518"/>
      <c r="H72" s="518"/>
      <c r="I72" s="518"/>
    </row>
    <row r="73" spans="2:9" x14ac:dyDescent="0.3">
      <c r="C73" s="357" t="s">
        <v>1145</v>
      </c>
      <c r="D73" s="357"/>
      <c r="E73" s="357"/>
      <c r="F73" s="357"/>
      <c r="G73" s="422" t="s">
        <v>1146</v>
      </c>
      <c r="H73" s="357"/>
      <c r="I73" s="357"/>
    </row>
    <row r="74" spans="2:9" x14ac:dyDescent="0.3">
      <c r="C74" s="255" t="str">
        <f>_xlfn.CONCAT(_xlfn.XLOOKUP("[S09_RegistryAccountAnnualFees][1][AnnualFeeReason]",Submission!$O:$O,Submission!$H:$N,""))</f>
        <v>Operatora vai gaisa kuģa operatora konta pilnvarotā pārstāvja apstiprināšana, ja konta turētājs nav Latvijas pilsonis, nepilsonis vai persona, kas Latvijā saņēmusi uzturēšanās atļauju, pastāvīgās uzturēšanās apliecību vai normatīvajos aktos par kārtību, kādā Savienības pilsoņi un viņu ģimenes locekļi ieceļo un uzturas Latvijas Republikā, noteikto Savienības pilsoņa reģistrācijas apliecību, un attiecīgi nav reģistrēts Iedzīvotāju reģistrā sākot no 638 līdz 1914</v>
      </c>
      <c r="D74" s="460"/>
      <c r="E74" s="460"/>
      <c r="F74" s="256"/>
      <c r="G74" s="461" t="str">
        <f>_xlfn.CONCAT(_xlfn.XLOOKUP("[S09_RegistryAccountAnnualFees][1][AnnualFeeAmount]",Submission!$O:$O,Submission!$H:$N,""))</f>
        <v>638</v>
      </c>
      <c r="H74" s="465"/>
      <c r="I74" s="462"/>
    </row>
    <row r="75" spans="2:9" x14ac:dyDescent="0.3">
      <c r="C75" s="255" t="str">
        <f>_xlfn.CONCAT(_xlfn.XLOOKUP("[S09_RegistryAccountAnnualFees][2][AnnualFeeReason]",Submission!$O:$O,Submission!$H:$N,""))</f>
        <v>Operatora vai gaisa kuģa operatora konta apkalpošanas gada maksa tiek noteikta, ņemot vērā operatoram vai gaisa kuģa operatoram piešķirto emisijas kvotu vai aviācijas emisijas kvotu apjomu konkrētajā gadā. sākot no 95,70 līdz 957</v>
      </c>
      <c r="D75" s="460"/>
      <c r="E75" s="460"/>
      <c r="F75" s="256"/>
      <c r="G75" s="461" t="str">
        <f>_xlfn.CONCAT(_xlfn.XLOOKUP("[S09_RegistryAccountAnnualFees][2][AnnualFeeAmount]",Submission!$O:$O,Submission!$H:$N,""))</f>
        <v>95.7</v>
      </c>
      <c r="H75" s="465"/>
      <c r="I75" s="462"/>
    </row>
    <row r="76" spans="2:9" x14ac:dyDescent="0.3">
      <c r="C76" s="255" t="str">
        <f>_xlfn.CONCAT(_xlfn.XLOOKUP("[S09_RegistryAccountAnnualFees][3][AnnualFeeReason]",Submission!$O:$O,Submission!$H:$N,""))</f>
        <v/>
      </c>
      <c r="D76" s="460"/>
      <c r="E76" s="460"/>
      <c r="F76" s="256"/>
      <c r="G76" s="461" t="str">
        <f>_xlfn.CONCAT(_xlfn.XLOOKUP("[S09_RegistryAccountAnnualFees][3][AnnualFeeAmount]",Submission!$O:$O,Submission!$H:$N,""))</f>
        <v/>
      </c>
      <c r="H76" s="465"/>
      <c r="I76" s="462"/>
    </row>
    <row r="77" spans="2:9" x14ac:dyDescent="0.3">
      <c r="C77" s="255" t="str">
        <f>_xlfn.CONCAT(_xlfn.XLOOKUP("[S09_RegistryAccountAnnualFees][4][AnnualFeeReason]",Submission!$O:$O,Submission!$H:$N,""))</f>
        <v/>
      </c>
      <c r="D77" s="460"/>
      <c r="E77" s="460"/>
      <c r="F77" s="256"/>
      <c r="G77" s="461" t="str">
        <f>_xlfn.CONCAT(_xlfn.XLOOKUP("[S09_RegistryAccountAnnualFees][4][AnnualFeeAmount]",Submission!$O:$O,Submission!$H:$N,""))</f>
        <v/>
      </c>
      <c r="H77" s="465"/>
      <c r="I77" s="462"/>
    </row>
    <row r="78" spans="2:9" x14ac:dyDescent="0.3">
      <c r="C78" s="255" t="str">
        <f>_xlfn.CONCAT(_xlfn.XLOOKUP("[S09_RegistryAccountAnnualFees][5][AnnualFeeReason]",Submission!$O:$O,Submission!$H:$N,""))</f>
        <v/>
      </c>
      <c r="D78" s="460"/>
      <c r="E78" s="460"/>
      <c r="F78" s="256"/>
      <c r="G78" s="461" t="str">
        <f>_xlfn.CONCAT(_xlfn.XLOOKUP("[S09_RegistryAccountAnnualFees][5][AnnualFeeAmount]",Submission!$O:$O,Submission!$H:$N,""))</f>
        <v/>
      </c>
      <c r="H78" s="465"/>
      <c r="I78" s="462"/>
    </row>
    <row r="79" spans="2:9" hidden="1" outlineLevel="1" x14ac:dyDescent="0.3">
      <c r="C79" s="255" t="str">
        <f>_xlfn.CONCAT(_xlfn.XLOOKUP("[S09_RegistryAccountAnnualFees][6][AnnualFeeReason]",Submission!$O:$O,Submission!$H:$N,""))</f>
        <v/>
      </c>
      <c r="D79" s="460"/>
      <c r="E79" s="460"/>
      <c r="F79" s="256"/>
      <c r="G79" s="461" t="str">
        <f>_xlfn.CONCAT(_xlfn.XLOOKUP("[S09_RegistryAccountAnnualFees][6][AnnualFeeAmount]",Submission!$O:$O,Submission!$H:$N,""))</f>
        <v/>
      </c>
      <c r="H79" s="465"/>
      <c r="I79" s="462"/>
    </row>
    <row r="80" spans="2:9" hidden="1" outlineLevel="1" x14ac:dyDescent="0.3">
      <c r="C80" s="255" t="str">
        <f>_xlfn.CONCAT(_xlfn.XLOOKUP("[S09_RegistryAccountAnnualFees][7][AnnualFeeReason]",Submission!$O:$O,Submission!$H:$N,""))</f>
        <v/>
      </c>
      <c r="D80" s="460"/>
      <c r="E80" s="460"/>
      <c r="F80" s="256"/>
      <c r="G80" s="461" t="str">
        <f>_xlfn.CONCAT(_xlfn.XLOOKUP("[S09_RegistryAccountAnnualFees][7][AnnualFeeAmount]",Submission!$O:$O,Submission!$H:$N,""))</f>
        <v/>
      </c>
      <c r="H80" s="465"/>
      <c r="I80" s="462"/>
    </row>
    <row r="81" spans="2:9" hidden="1" outlineLevel="1" x14ac:dyDescent="0.3">
      <c r="C81" s="255" t="str">
        <f>_xlfn.CONCAT(_xlfn.XLOOKUP("[S09_RegistryAccountAnnualFees][8][AnnualFeeReason]",Submission!$O:$O,Submission!$H:$N,""))</f>
        <v/>
      </c>
      <c r="D81" s="460"/>
      <c r="E81" s="460"/>
      <c r="F81" s="256"/>
      <c r="G81" s="461" t="str">
        <f>_xlfn.CONCAT(_xlfn.XLOOKUP("[S09_RegistryAccountAnnualFees][8][AnnualFeeAmount]",Submission!$O:$O,Submission!$H:$N,""))</f>
        <v/>
      </c>
      <c r="H81" s="465"/>
      <c r="I81" s="462"/>
    </row>
    <row r="82" spans="2:9" hidden="1" outlineLevel="1" x14ac:dyDescent="0.3">
      <c r="C82" s="255" t="str">
        <f>_xlfn.CONCAT(_xlfn.XLOOKUP("[S09_RegistryAccountAnnualFees][9][AnnualFeeReason]",Submission!$O:$O,Submission!$H:$N,""))</f>
        <v/>
      </c>
      <c r="D82" s="460"/>
      <c r="E82" s="460"/>
      <c r="F82" s="256"/>
      <c r="G82" s="461" t="str">
        <f>_xlfn.CONCAT(_xlfn.XLOOKUP("[S09_RegistryAccountAnnualFees][9][AnnualFeeAmount]",Submission!$O:$O,Submission!$H:$N,""))</f>
        <v/>
      </c>
      <c r="H82" s="465"/>
      <c r="I82" s="462"/>
    </row>
    <row r="83" spans="2:9" hidden="1" outlineLevel="1" x14ac:dyDescent="0.3">
      <c r="C83" s="255" t="str">
        <f>_xlfn.CONCAT(_xlfn.XLOOKUP("[S09_RegistryAccountAnnualFees][10][AnnualFeeReason]",Submission!$O:$O,Submission!$H:$N,""))</f>
        <v/>
      </c>
      <c r="D83" s="460"/>
      <c r="E83" s="460"/>
      <c r="F83" s="256"/>
      <c r="G83" s="461" t="str">
        <f>_xlfn.CONCAT(_xlfn.XLOOKUP("[S09_RegistryAccountAnnualFees][10][AnnualFeeAmount]",Submission!$O:$O,Submission!$H:$N,""))</f>
        <v/>
      </c>
      <c r="H83" s="465"/>
      <c r="I83" s="462"/>
    </row>
    <row r="84" spans="2:9" collapsed="1" x14ac:dyDescent="0.3">
      <c r="B84" s="26" t="s">
        <v>1000</v>
      </c>
    </row>
  </sheetData>
  <mergeCells count="127">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B31:H31"/>
    <mergeCell ref="D23:F23"/>
    <mergeCell ref="B32:I32"/>
    <mergeCell ref="C33:F33"/>
    <mergeCell ref="G33:I33"/>
    <mergeCell ref="D24:F24"/>
    <mergeCell ref="G24:I24"/>
    <mergeCell ref="D25:F25"/>
    <mergeCell ref="G25:I25"/>
    <mergeCell ref="D26:F26"/>
    <mergeCell ref="G26:I26"/>
    <mergeCell ref="C37:F37"/>
    <mergeCell ref="G37:I37"/>
    <mergeCell ref="C38:F38"/>
    <mergeCell ref="G38:I38"/>
    <mergeCell ref="C39:F39"/>
    <mergeCell ref="G39:I39"/>
    <mergeCell ref="C34:F34"/>
    <mergeCell ref="G34:I34"/>
    <mergeCell ref="C35:F35"/>
    <mergeCell ref="G35:I35"/>
    <mergeCell ref="C36:F36"/>
    <mergeCell ref="G36:I36"/>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C75:F75"/>
    <mergeCell ref="C66:F66"/>
    <mergeCell ref="C67:F67"/>
    <mergeCell ref="C68:F68"/>
    <mergeCell ref="C76:F76"/>
    <mergeCell ref="C77:F77"/>
    <mergeCell ref="C78:F78"/>
    <mergeCell ref="G65:I65"/>
    <mergeCell ref="C65:F65"/>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09" t="s">
        <v>1276</v>
      </c>
      <c r="C3" s="309"/>
      <c r="D3" s="309"/>
      <c r="E3" s="309"/>
      <c r="F3" s="309"/>
      <c r="G3" s="309"/>
      <c r="H3" s="309"/>
      <c r="I3" s="309"/>
    </row>
    <row r="4" spans="1:9" s="7" customFormat="1" ht="18.899999999999999" customHeight="1" x14ac:dyDescent="0.35">
      <c r="A4" s="48" t="s">
        <v>1277</v>
      </c>
      <c r="B4" s="310" t="s">
        <v>74</v>
      </c>
      <c r="C4" s="310"/>
      <c r="D4" s="310"/>
      <c r="E4" s="310"/>
      <c r="F4" s="310"/>
      <c r="G4" s="310"/>
      <c r="H4" s="310"/>
      <c r="I4" s="311"/>
    </row>
    <row r="5" spans="1:9" ht="32.1" customHeight="1" x14ac:dyDescent="0.3">
      <c r="A5" s="17" t="s">
        <v>567</v>
      </c>
      <c r="B5" s="275" t="s">
        <v>1278</v>
      </c>
      <c r="C5" s="276"/>
      <c r="D5" s="276"/>
      <c r="E5" s="276"/>
      <c r="F5" s="276"/>
      <c r="G5" s="276"/>
      <c r="H5" s="276"/>
      <c r="I5" s="276"/>
    </row>
    <row r="6" spans="1:9" ht="15.9" customHeight="1" x14ac:dyDescent="0.3">
      <c r="C6" s="317" t="s">
        <v>1279</v>
      </c>
      <c r="D6" s="370"/>
      <c r="E6" s="370"/>
      <c r="F6" s="370"/>
      <c r="G6" s="318"/>
      <c r="H6" s="53" t="s">
        <v>709</v>
      </c>
      <c r="I6" s="54" t="s">
        <v>1280</v>
      </c>
    </row>
    <row r="7" spans="1:9" s="58" customFormat="1" ht="25.2" customHeight="1" x14ac:dyDescent="0.3">
      <c r="A7" s="75"/>
      <c r="C7" s="249" t="s">
        <v>1281</v>
      </c>
      <c r="D7" s="272"/>
      <c r="E7" s="272"/>
      <c r="F7" s="272"/>
      <c r="G7" s="273"/>
      <c r="H7" s="47" t="str">
        <f>_xlfn.CONCAT(_xlfn.XLOOKUP("[S10_InstallationsComplianceMeasures][1][ComplianceMeasuresYesNo]",Submission!$O:$O,Submission!$H:$N,""))</f>
        <v>No</v>
      </c>
      <c r="I7" s="72" t="str">
        <f>_xlfn.CONCAT(_xlfn.XLOOKUP("[S10_InstallationsComplianceMeasures][1][ComplianceMeasuresComment]",Submission!$O:$O,Submission!$H:$N,""))</f>
        <v/>
      </c>
    </row>
    <row r="8" spans="1:9" s="58" customFormat="1" ht="25.2" customHeight="1" x14ac:dyDescent="0.3">
      <c r="A8" s="75"/>
      <c r="C8" s="249" t="s">
        <v>1282</v>
      </c>
      <c r="D8" s="272"/>
      <c r="E8" s="272"/>
      <c r="F8" s="272"/>
      <c r="G8" s="273"/>
      <c r="H8" s="47" t="str">
        <f>_xlfn.CONCAT(_xlfn.XLOOKUP("[S10_InstallationsComplianceMeasures][2][ComplianceMeasuresYesNo]",Submission!$O:$O,Submission!$H:$N,""))</f>
        <v>No</v>
      </c>
      <c r="I8" s="72" t="str">
        <f>_xlfn.CONCAT(_xlfn.XLOOKUP("[S10_InstallationsComplianceMeasures][2][ComplianceMeasuresComment]",Submission!$O:$O,Submission!$H:$N,""))</f>
        <v/>
      </c>
    </row>
    <row r="9" spans="1:9" s="58" customFormat="1" ht="25.2" customHeight="1" x14ac:dyDescent="0.3">
      <c r="A9" s="75"/>
      <c r="C9" s="249" t="s">
        <v>1283</v>
      </c>
      <c r="D9" s="272"/>
      <c r="E9" s="272"/>
      <c r="F9" s="272"/>
      <c r="G9" s="273"/>
      <c r="H9" s="47" t="str">
        <f>_xlfn.CONCAT(_xlfn.XLOOKUP("[S10_InstallationsComplianceMeasures][3][ComplianceMeasuresYesNo]",Submission!$O:$O,Submission!$H:$N,""))</f>
        <v>No</v>
      </c>
      <c r="I9" s="72" t="str">
        <f>_xlfn.CONCAT(_xlfn.XLOOKUP("[S10_InstallationsComplianceMeasures][3][ComplianceMeasuresComment]",Submission!$O:$O,Submission!$H:$N,""))</f>
        <v/>
      </c>
    </row>
    <row r="10" spans="1:9" s="58" customFormat="1" ht="25.2" customHeight="1" x14ac:dyDescent="0.3">
      <c r="A10" s="75"/>
      <c r="C10" s="249" t="s">
        <v>1284</v>
      </c>
      <c r="D10" s="272"/>
      <c r="E10" s="272"/>
      <c r="F10" s="272"/>
      <c r="G10" s="273"/>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9" t="s">
        <v>697</v>
      </c>
      <c r="D11" s="273"/>
      <c r="E11" s="258" t="str">
        <f>_xlfn.CONCAT(_xlfn.XLOOKUP("[S10_InstallationsComplianceMeasures][5][ComplianceMeasuresOther]",Submission!$O:$O,Submission!$H:$N,""))</f>
        <v/>
      </c>
      <c r="F11" s="353"/>
      <c r="G11" s="260"/>
      <c r="H11" s="47" t="str">
        <f>_xlfn.CONCAT(_xlfn.XLOOKUP("[S10_InstallationsComplianceMeasures][5][ComplianceMeasuresYesNo]",Submission!$O:$O,Submission!$H:$N,""))</f>
        <v>No</v>
      </c>
      <c r="I11" s="72" t="str">
        <f>_xlfn.CONCAT(_xlfn.XLOOKUP("[S10_InstallationsComplianceMeasures][5][ComplianceMeasuresComment]",Submission!$O:$O,Submission!$H:$N,""))</f>
        <v/>
      </c>
    </row>
    <row r="12" spans="1:9" s="58" customFormat="1" ht="25.2" hidden="1" customHeight="1" outlineLevel="1" x14ac:dyDescent="0.3">
      <c r="A12" s="75"/>
      <c r="C12" s="249" t="s">
        <v>1257</v>
      </c>
      <c r="D12" s="273"/>
      <c r="E12" s="258" t="str">
        <f>_xlfn.CONCAT(_xlfn.XLOOKUP("[S10_InstallationsComplianceMeasures][6][ComplianceMeasuresOther]",Submission!$O:$O,Submission!$H:$N,""))</f>
        <v/>
      </c>
      <c r="F12" s="353"/>
      <c r="G12" s="260"/>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9" t="s">
        <v>1258</v>
      </c>
      <c r="D13" s="273"/>
      <c r="E13" s="258" t="str">
        <f>_xlfn.CONCAT(_xlfn.XLOOKUP("[S10_InstallationsComplianceMeasures][7][ComplianceMeasuresOther]",Submission!$O:$O,Submission!$H:$N,""))</f>
        <v/>
      </c>
      <c r="F13" s="353"/>
      <c r="G13" s="260"/>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9" t="s">
        <v>1259</v>
      </c>
      <c r="D14" s="273"/>
      <c r="E14" s="258" t="str">
        <f>_xlfn.CONCAT(_xlfn.XLOOKUP("[S10_InstallationsComplianceMeasures][8][ComplianceMeasuresOther]",Submission!$O:$O,Submission!$H:$N,""))</f>
        <v/>
      </c>
      <c r="F14" s="353"/>
      <c r="G14" s="260"/>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92" t="s">
        <v>1285</v>
      </c>
      <c r="C17" s="393"/>
      <c r="D17" s="393"/>
      <c r="E17" s="393"/>
      <c r="F17" s="393"/>
      <c r="G17" s="393"/>
      <c r="H17" s="393"/>
      <c r="I17" s="393"/>
    </row>
    <row r="18" spans="1:9" ht="32.1" customHeight="1" x14ac:dyDescent="0.3">
      <c r="A18" s="13"/>
      <c r="B18" s="338" t="s">
        <v>1286</v>
      </c>
      <c r="C18" s="308"/>
      <c r="D18" s="308"/>
      <c r="E18" s="308"/>
      <c r="F18" s="308"/>
      <c r="G18" s="308"/>
      <c r="H18" s="308"/>
      <c r="I18" s="308"/>
    </row>
    <row r="19" spans="1:9" x14ac:dyDescent="0.3">
      <c r="A19" s="13"/>
      <c r="C19" s="551" t="s">
        <v>1224</v>
      </c>
      <c r="D19" s="551"/>
      <c r="E19" s="551" t="s">
        <v>1225</v>
      </c>
      <c r="F19" s="551"/>
      <c r="G19" s="551" t="s">
        <v>1226</v>
      </c>
      <c r="H19" s="551"/>
      <c r="I19" s="532" t="s">
        <v>1227</v>
      </c>
    </row>
    <row r="20" spans="1:9" ht="15.9" customHeight="1" x14ac:dyDescent="0.3">
      <c r="A20" s="13"/>
      <c r="C20" s="551"/>
      <c r="D20" s="551"/>
      <c r="E20" s="43" t="s">
        <v>1228</v>
      </c>
      <c r="F20" s="43" t="s">
        <v>1229</v>
      </c>
      <c r="G20" s="43" t="s">
        <v>1228</v>
      </c>
      <c r="H20" s="43" t="s">
        <v>1229</v>
      </c>
      <c r="I20" s="533"/>
    </row>
    <row r="21" spans="1:9" ht="33" customHeight="1" x14ac:dyDescent="0.3">
      <c r="A21" s="13"/>
      <c r="C21" s="249" t="s">
        <v>1287</v>
      </c>
      <c r="D21" s="250"/>
      <c r="E21" s="105" t="str">
        <f>_xlfn.CONCAT(_xlfn.XLOOKUP("[S10_InstallationsInfringementPenalties]["&amp;ROW(B21)-ROW($B$20)&amp;"][MinFine]",Submission!$O:$O,Submission!$H:$N,""))</f>
        <v/>
      </c>
      <c r="F21" s="105" t="str">
        <f>_xlfn.CONCAT(_xlfn.XLOOKUP("[S10_InstallationsInfringementPenalties]["&amp;ROW(B21)-ROW($B$20)&amp;"][MaxFine]",Submission!$O:$O,Submission!$H:$N,""))</f>
        <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
      </c>
    </row>
    <row r="22" spans="1:9" ht="33" customHeight="1" x14ac:dyDescent="0.3">
      <c r="A22" s="13"/>
      <c r="C22" s="249" t="s">
        <v>1288</v>
      </c>
      <c r="D22" s="250"/>
      <c r="E22" s="105" t="str">
        <f>_xlfn.CONCAT(_xlfn.XLOOKUP("[S10_InstallationsInfringementPenalties]["&amp;ROW(B22)-ROW($B$20)&amp;"][MinFine]",Submission!$O:$O,Submission!$H:$N,""))</f>
        <v/>
      </c>
      <c r="F22" s="105" t="str">
        <f>_xlfn.CONCAT(_xlfn.XLOOKUP("[S10_InstallationsInfringementPenalties]["&amp;ROW(B22)-ROW($B$20)&amp;"][MaxFine]",Submission!$O:$O,Submission!$H:$N,""))</f>
        <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
      </c>
    </row>
    <row r="23" spans="1:9" ht="33" customHeight="1" x14ac:dyDescent="0.3">
      <c r="A23" s="13"/>
      <c r="C23" s="249" t="s">
        <v>1289</v>
      </c>
      <c r="D23" s="250"/>
      <c r="E23" s="105" t="str">
        <f>_xlfn.CONCAT(_xlfn.XLOOKUP("[S10_InstallationsInfringementPenalties]["&amp;ROW(B23)-ROW($B$20)&amp;"][MinFine]",Submission!$O:$O,Submission!$H:$N,""))</f>
        <v/>
      </c>
      <c r="F23" s="105" t="str">
        <f>_xlfn.CONCAT(_xlfn.XLOOKUP("[S10_InstallationsInfringementPenalties]["&amp;ROW(B23)-ROW($B$20)&amp;"][MaxFine]",Submission!$O:$O,Submission!$H:$N,""))</f>
        <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
      </c>
    </row>
    <row r="24" spans="1:9" ht="41.4" customHeight="1" x14ac:dyDescent="0.3">
      <c r="A24" s="13"/>
      <c r="C24" s="249" t="s">
        <v>1290</v>
      </c>
      <c r="D24" s="250"/>
      <c r="E24" s="105" t="str">
        <f>_xlfn.CONCAT(_xlfn.XLOOKUP("[S10_InstallationsInfringementPenalties]["&amp;ROW(B24)-ROW($B$20)&amp;"][MinFine]",Submission!$O:$O,Submission!$H:$N,""))</f>
        <v/>
      </c>
      <c r="F24" s="105" t="str">
        <f>_xlfn.CONCAT(_xlfn.XLOOKUP("[S10_InstallationsInfringementPenalties]["&amp;ROW(B24)-ROW($B$20)&amp;"][MaxFine]",Submission!$O:$O,Submission!$H:$N,""))</f>
        <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
      </c>
    </row>
    <row r="25" spans="1:9" ht="33" customHeight="1" x14ac:dyDescent="0.3">
      <c r="C25" s="249" t="s">
        <v>1291</v>
      </c>
      <c r="D25" s="250"/>
      <c r="E25" s="105" t="str">
        <f>_xlfn.CONCAT(_xlfn.XLOOKUP("[S10_InstallationsInfringementPenalties]["&amp;ROW(B25)-ROW($B$20)&amp;"][MinFine]",Submission!$O:$O,Submission!$H:$N,""))</f>
        <v/>
      </c>
      <c r="F25" s="105" t="str">
        <f>_xlfn.CONCAT(_xlfn.XLOOKUP("[S10_InstallationsInfringementPenalties]["&amp;ROW(B25)-ROW($B$20)&amp;"][MaxFine]",Submission!$O:$O,Submission!$H:$N,""))</f>
        <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
      </c>
    </row>
    <row r="26" spans="1:9" ht="41.4" customHeight="1" x14ac:dyDescent="0.3">
      <c r="C26" s="249" t="s">
        <v>1292</v>
      </c>
      <c r="D26" s="250"/>
      <c r="E26" s="105" t="str">
        <f>_xlfn.CONCAT(_xlfn.XLOOKUP("[S10_InstallationsInfringementPenalties]["&amp;ROW(B26)-ROW($B$20)&amp;"][MinFine]",Submission!$O:$O,Submission!$H:$N,""))</f>
        <v/>
      </c>
      <c r="F26" s="105" t="str">
        <f>_xlfn.CONCAT(_xlfn.XLOOKUP("[S10_InstallationsInfringementPenalties]["&amp;ROW(B26)-ROW($B$20)&amp;"][MaxFine]",Submission!$O:$O,Submission!$H:$N,""))</f>
        <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
      </c>
    </row>
    <row r="27" spans="1:9" ht="41.4" customHeight="1" x14ac:dyDescent="0.3">
      <c r="C27" s="249" t="s">
        <v>1293</v>
      </c>
      <c r="D27" s="250"/>
      <c r="E27" s="105" t="str">
        <f>_xlfn.CONCAT(_xlfn.XLOOKUP("[S10_InstallationsInfringementPenalties]["&amp;ROW(B27)-ROW($B$20)&amp;"][MinFine]",Submission!$O:$O,Submission!$H:$N,""))</f>
        <v/>
      </c>
      <c r="F27" s="105" t="str">
        <f>_xlfn.CONCAT(_xlfn.XLOOKUP("[S10_InstallationsInfringementPenalties]["&amp;ROW(B27)-ROW($B$20)&amp;"][MaxFine]",Submission!$O:$O,Submission!$H:$N,""))</f>
        <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
      </c>
    </row>
    <row r="28" spans="1:9" ht="33" customHeight="1" x14ac:dyDescent="0.3">
      <c r="C28" s="249" t="s">
        <v>1294</v>
      </c>
      <c r="D28" s="250"/>
      <c r="E28" s="105" t="str">
        <f>_xlfn.CONCAT(_xlfn.XLOOKUP("[S10_InstallationsInfringementPenalties]["&amp;ROW(B28)-ROW($B$20)&amp;"][MinFine]",Submission!$O:$O,Submission!$H:$N,""))</f>
        <v/>
      </c>
      <c r="F28" s="105" t="str">
        <f>_xlfn.CONCAT(_xlfn.XLOOKUP("[S10_InstallationsInfringementPenalties]["&amp;ROW(B28)-ROW($B$20)&amp;"][MaxFine]",Submission!$O:$O,Submission!$H:$N,""))</f>
        <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
      </c>
    </row>
    <row r="29" spans="1:9" ht="33" customHeight="1" x14ac:dyDescent="0.3">
      <c r="C29" s="249" t="s">
        <v>1295</v>
      </c>
      <c r="D29" s="250"/>
      <c r="E29" s="105" t="str">
        <f>_xlfn.CONCAT(_xlfn.XLOOKUP("[S10_InstallationsInfringementPenalties]["&amp;ROW(B29)-ROW($B$20)&amp;"][MinFine]",Submission!$O:$O,Submission!$H:$N,""))</f>
        <v/>
      </c>
      <c r="F29" s="105" t="str">
        <f>_xlfn.CONCAT(_xlfn.XLOOKUP("[S10_InstallationsInfringementPenalties]["&amp;ROW(B29)-ROW($B$20)&amp;"][MaxFine]",Submission!$O:$O,Submission!$H:$N,""))</f>
        <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
      </c>
    </row>
    <row r="30" spans="1:9" ht="33" customHeight="1" x14ac:dyDescent="0.3">
      <c r="C30" s="249" t="s">
        <v>1296</v>
      </c>
      <c r="D30" s="250"/>
      <c r="E30" s="105" t="str">
        <f>_xlfn.CONCAT(_xlfn.XLOOKUP("[S10_InstallationsInfringementPenalties]["&amp;ROW(B30)-ROW($B$20)&amp;"][MinFine]",Submission!$O:$O,Submission!$H:$N,""))</f>
        <v/>
      </c>
      <c r="F30" s="105" t="str">
        <f>_xlfn.CONCAT(_xlfn.XLOOKUP("[S10_InstallationsInfringementPenalties]["&amp;ROW(B30)-ROW($B$20)&amp;"][MaxFine]",Submission!$O:$O,Submission!$H:$N,""))</f>
        <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
      </c>
    </row>
    <row r="31" spans="1:9" ht="33" customHeight="1" x14ac:dyDescent="0.3">
      <c r="C31" s="249" t="s">
        <v>1297</v>
      </c>
      <c r="D31" s="250"/>
      <c r="E31" s="105" t="str">
        <f>_xlfn.CONCAT(_xlfn.XLOOKUP("[S10_InstallationsInfringementPenalties]["&amp;ROW(B31)-ROW($B$20)&amp;"][MinFine]",Submission!$O:$O,Submission!$H:$N,""))</f>
        <v/>
      </c>
      <c r="F31" s="105" t="str">
        <f>_xlfn.CONCAT(_xlfn.XLOOKUP("[S10_InstallationsInfringementPenalties]["&amp;ROW(B31)-ROW($B$20)&amp;"][MaxFine]",Submission!$O:$O,Submission!$H:$N,""))</f>
        <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338" t="s">
        <v>1298</v>
      </c>
      <c r="C59" s="308"/>
      <c r="D59" s="308"/>
      <c r="E59" s="308"/>
      <c r="F59" s="308"/>
      <c r="G59" s="308"/>
      <c r="H59" s="308"/>
      <c r="I59" s="308"/>
    </row>
    <row r="60" spans="1:9" ht="15.9" customHeight="1" x14ac:dyDescent="0.3">
      <c r="B60" s="18"/>
      <c r="C60" s="531" t="str">
        <f>_xlfn.CONCAT(_xlfn.XLOOKUP("[InstallationsNationalLaw][0][InstallationsNationalLaw]",Submission!$O:$O,Submission!$H:$N,""))</f>
        <v/>
      </c>
      <c r="D60" s="531"/>
      <c r="E60" s="531"/>
      <c r="F60" s="531"/>
      <c r="G60" s="531"/>
      <c r="H60" s="531"/>
      <c r="I60" s="531"/>
    </row>
    <row r="61" spans="1:9" ht="15.9" customHeight="1" x14ac:dyDescent="0.3"/>
    <row r="62" spans="1:9" ht="32.1" customHeight="1" x14ac:dyDescent="0.3">
      <c r="A62" s="12" t="s">
        <v>579</v>
      </c>
      <c r="B62" s="338" t="s">
        <v>1238</v>
      </c>
      <c r="C62" s="308"/>
      <c r="D62" s="308"/>
      <c r="E62" s="308"/>
      <c r="F62" s="308"/>
      <c r="G62" s="308"/>
      <c r="H62" s="308"/>
      <c r="I62" s="308"/>
    </row>
    <row r="63" spans="1:9" ht="15.9" customHeight="1" x14ac:dyDescent="0.3">
      <c r="A63" s="13"/>
      <c r="C63" s="530" t="s">
        <v>1299</v>
      </c>
      <c r="D63" s="530"/>
      <c r="E63" s="530"/>
      <c r="F63" s="530"/>
      <c r="G63" s="530"/>
      <c r="H63" s="530"/>
      <c r="I63" s="530"/>
    </row>
    <row r="64" spans="1:9" ht="25.5" customHeight="1" x14ac:dyDescent="0.3">
      <c r="A64" s="13"/>
      <c r="C64" s="526" t="s">
        <v>1224</v>
      </c>
      <c r="D64" s="527"/>
      <c r="E64" s="317" t="s">
        <v>1240</v>
      </c>
      <c r="F64" s="370"/>
      <c r="G64" s="318"/>
      <c r="H64" s="557" t="s">
        <v>1300</v>
      </c>
      <c r="I64" s="557" t="s">
        <v>1242</v>
      </c>
    </row>
    <row r="65" spans="1:9" ht="31.2" customHeight="1" x14ac:dyDescent="0.3">
      <c r="A65" s="13"/>
      <c r="C65" s="528"/>
      <c r="D65" s="529"/>
      <c r="E65" s="46" t="s">
        <v>1225</v>
      </c>
      <c r="F65" s="46" t="s">
        <v>1226</v>
      </c>
      <c r="G65" s="46" t="s">
        <v>1227</v>
      </c>
      <c r="H65" s="558"/>
      <c r="I65" s="558"/>
    </row>
    <row r="66" spans="1:9" ht="41.4" customHeight="1" x14ac:dyDescent="0.3">
      <c r="A66" s="13"/>
      <c r="C66" s="258" t="str">
        <f>_xlfn.CONCAT(_xlfn.XLOOKUP("[S10_InstallationsPenaltiesImposed][1][InfringementType]",Submission!$O:$O,Submission!$H:$N,""))</f>
        <v/>
      </c>
      <c r="D66" s="260"/>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58" t="str">
        <f>_xlfn.CONCAT(_xlfn.XLOOKUP("[S10_InstallationsPenaltiesImposed][2][InfringementType]",Submission!$O:$O,Submission!$H:$N,""))</f>
        <v/>
      </c>
      <c r="D67" s="260"/>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58" t="str">
        <f>_xlfn.CONCAT(_xlfn.XLOOKUP("[S10_InstallationsPenaltiesImposed][3][InfringementType]",Submission!$O:$O,Submission!$H:$N,""))</f>
        <v/>
      </c>
      <c r="D68" s="260"/>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58" t="str">
        <f>_xlfn.CONCAT(_xlfn.XLOOKUP("[S10_InstallationsPenaltiesImposed][4][InfringementType]",Submission!$O:$O,Submission!$H:$N,""))</f>
        <v/>
      </c>
      <c r="D69" s="260"/>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58" t="str">
        <f>_xlfn.CONCAT(_xlfn.XLOOKUP("[S10_InstallationsPenaltiesImposed][5][InfringementType]",Submission!$O:$O,Submission!$H:$N,""))</f>
        <v/>
      </c>
      <c r="D70" s="260"/>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58" t="str">
        <f>_xlfn.CONCAT(_xlfn.XLOOKUP("[S10_InstallationsPenaltiesImposed][6][InfringementType]",Submission!$O:$O,Submission!$H:$N,""))</f>
        <v/>
      </c>
      <c r="D71" s="260"/>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58" t="str">
        <f>_xlfn.CONCAT(_xlfn.XLOOKUP("[S10_InstallationsPenaltiesImposed][7][InfringementType]",Submission!$O:$O,Submission!$H:$N,""))</f>
        <v/>
      </c>
      <c r="D72" s="260"/>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58" t="str">
        <f>_xlfn.CONCAT(_xlfn.XLOOKUP("[S10_InstallationsPenaltiesImposed][8][InfringementType]",Submission!$O:$O,Submission!$H:$N,""))</f>
        <v/>
      </c>
      <c r="D73" s="260"/>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58" t="str">
        <f>_xlfn.CONCAT(_xlfn.XLOOKUP("[S10_InstallationsPenaltiesImposed][9][InfringementType]",Submission!$O:$O,Submission!$H:$N,""))</f>
        <v/>
      </c>
      <c r="D74" s="260"/>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58" t="str">
        <f>_xlfn.CONCAT(_xlfn.XLOOKUP("[S10_InstallationsPenaltiesImposed][10][InfringementType]",Submission!$O:$O,Submission!$H:$N,""))</f>
        <v/>
      </c>
      <c r="D75" s="260"/>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58" t="str">
        <f>_xlfn.CONCAT(_xlfn.XLOOKUP("[S10_InstallationsPenaltiesImposed][11][InfringementType]",Submission!$O:$O,Submission!$H:$N,""))</f>
        <v/>
      </c>
      <c r="D76" s="260"/>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58" t="str">
        <f>_xlfn.CONCAT(_xlfn.XLOOKUP("[S10_InstallationsPenaltiesImposed][12][InfringementType]",Submission!$O:$O,Submission!$H:$N,""))</f>
        <v/>
      </c>
      <c r="D77" s="260"/>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58" t="str">
        <f>_xlfn.CONCAT(_xlfn.XLOOKUP("[S10_InstallationsPenaltiesImposed][13][InfringementType]",Submission!$O:$O,Submission!$H:$N,""))</f>
        <v/>
      </c>
      <c r="D78" s="260"/>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58" t="str">
        <f>_xlfn.CONCAT(_xlfn.XLOOKUP("[S10_InstallationsPenaltiesImposed][14][InfringementType]",Submission!$O:$O,Submission!$H:$N,""))</f>
        <v/>
      </c>
      <c r="D79" s="260"/>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58" t="str">
        <f>_xlfn.CONCAT(_xlfn.XLOOKUP("[S10_InstallationsPenaltiesImposed][15][InfringementType]",Submission!$O:$O,Submission!$H:$N,""))</f>
        <v/>
      </c>
      <c r="D80" s="260"/>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58" t="str">
        <f>_xlfn.CONCAT(_xlfn.XLOOKUP("[S10_InstallationsPenaltiesImposed][16][InfringementType]",Submission!$O:$O,Submission!$H:$N,""))</f>
        <v/>
      </c>
      <c r="D81" s="260"/>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58" t="str">
        <f>_xlfn.CONCAT(_xlfn.XLOOKUP("[S10_InstallationsPenaltiesImposed][17][InfringementType]",Submission!$O:$O,Submission!$H:$N,""))</f>
        <v/>
      </c>
      <c r="D82" s="260"/>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58" t="str">
        <f>_xlfn.CONCAT(_xlfn.XLOOKUP("[S10_InstallationsPenaltiesImposed][18][InfringementType]",Submission!$O:$O,Submission!$H:$N,""))</f>
        <v/>
      </c>
      <c r="D83" s="260"/>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58" t="str">
        <f>_xlfn.CONCAT(_xlfn.XLOOKUP("[S10_InstallationsPenaltiesImposed][19][InfringementType]",Submission!$O:$O,Submission!$H:$N,""))</f>
        <v/>
      </c>
      <c r="D84" s="260"/>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58" t="str">
        <f>_xlfn.CONCAT(_xlfn.XLOOKUP("[S10_InstallationsPenaltiesImposed][20][InfringementType]",Submission!$O:$O,Submission!$H:$N,""))</f>
        <v/>
      </c>
      <c r="D85" s="260"/>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58" t="str">
        <f>_xlfn.CONCAT(_xlfn.XLOOKUP("[S10_InstallationsPenaltiesImposed][21][InfringementType]",Submission!$O:$O,Submission!$H:$N,""))</f>
        <v/>
      </c>
      <c r="D86" s="260"/>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58" t="str">
        <f>_xlfn.CONCAT(_xlfn.XLOOKUP("[S10_InstallationsPenaltiesImposed][22][InfringementType]",Submission!$O:$O,Submission!$H:$N,""))</f>
        <v/>
      </c>
      <c r="D87" s="260"/>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478" t="s">
        <v>1244</v>
      </c>
      <c r="C90" s="478"/>
      <c r="D90" s="478"/>
      <c r="E90" s="478"/>
      <c r="F90" s="478"/>
      <c r="G90" s="478"/>
      <c r="H90" s="479"/>
      <c r="I90" s="41" t="str">
        <f>_xlfn.CONCAT(_xlfn.XLOOKUP("[InstallationsPriorPenaltiesEnforced][0][InstallationsPriorPenaltiesEnforced]",Submission!$O:$O,Submission!$H:$N,""))</f>
        <v>No</v>
      </c>
    </row>
    <row r="91" spans="1:9" ht="16.2" customHeight="1" x14ac:dyDescent="0.3">
      <c r="B91" s="338" t="s">
        <v>1245</v>
      </c>
      <c r="C91" s="308"/>
      <c r="D91" s="308"/>
      <c r="E91" s="308"/>
      <c r="F91" s="308"/>
      <c r="G91" s="308"/>
      <c r="H91" s="308"/>
      <c r="I91" s="308"/>
    </row>
    <row r="92" spans="1:9" x14ac:dyDescent="0.3">
      <c r="C92" s="435" t="s">
        <v>1224</v>
      </c>
      <c r="D92" s="436"/>
      <c r="E92" s="437"/>
      <c r="F92" s="435" t="s">
        <v>1246</v>
      </c>
      <c r="G92" s="437"/>
      <c r="H92" s="435" t="s">
        <v>1247</v>
      </c>
      <c r="I92" s="437"/>
    </row>
    <row r="93" spans="1:9" x14ac:dyDescent="0.3">
      <c r="C93" s="255" t="str">
        <f>_xlfn.CONCAT(_xlfn.XLOOKUP("[S10_InstallationsPriorPenaltiesEnforcedDetail][1][TypeInfringement]",Submission!$O:$O,Submission!$H:$N,""))</f>
        <v/>
      </c>
      <c r="D93" s="460"/>
      <c r="E93" s="256"/>
      <c r="F93" s="255" t="str">
        <f>_xlfn.CONCAT(_xlfn.XLOOKUP("[S10_InstallationsPriorPenaltiesEnforcedDetail][1][TypePenalty]",Submission!$O:$O,Submission!$H:$N,""))</f>
        <v/>
      </c>
      <c r="G93" s="256"/>
      <c r="H93" s="255" t="str">
        <f>_xlfn.CONCAT(_xlfn.XLOOKUP("[S10_InstallationsPriorPenaltiesEnforcedDetail][1][ReportinYear]",Submission!$O:$O,Submission!$H:$N,""))</f>
        <v/>
      </c>
      <c r="I93" s="256"/>
    </row>
    <row r="94" spans="1:9" x14ac:dyDescent="0.3">
      <c r="C94" s="255" t="str">
        <f>_xlfn.CONCAT(_xlfn.XLOOKUP("[S10_InstallationsPriorPenaltiesEnforcedDetail][2][TypeInfringement]",Submission!$O:$O,Submission!$H:$N,""))</f>
        <v/>
      </c>
      <c r="D94" s="460"/>
      <c r="E94" s="256"/>
      <c r="F94" s="255" t="str">
        <f>_xlfn.CONCAT(_xlfn.XLOOKUP("[S10_InstallationsPriorPenaltiesEnforcedDetail][2][TypePenalty]",Submission!$O:$O,Submission!$H:$N,""))</f>
        <v/>
      </c>
      <c r="G94" s="256"/>
      <c r="H94" s="255" t="str">
        <f>_xlfn.CONCAT(_xlfn.XLOOKUP("[S10_InstallationsPriorPenaltiesEnforcedDetail][2][ReportinYear]",Submission!$O:$O,Submission!$H:$N,""))</f>
        <v/>
      </c>
      <c r="I94" s="256"/>
    </row>
    <row r="95" spans="1:9" x14ac:dyDescent="0.3">
      <c r="C95" s="255" t="str">
        <f>_xlfn.CONCAT(_xlfn.XLOOKUP("[S10_InstallationsPriorPenaltiesEnforcedDetail][3][TypeInfringement]",Submission!$O:$O,Submission!$H:$N,""))</f>
        <v/>
      </c>
      <c r="D95" s="460"/>
      <c r="E95" s="256"/>
      <c r="F95" s="255" t="str">
        <f>_xlfn.CONCAT(_xlfn.XLOOKUP("[S10_InstallationsPriorPenaltiesEnforcedDetail][3][TypePenalty]",Submission!$O:$O,Submission!$H:$N,""))</f>
        <v/>
      </c>
      <c r="G95" s="256"/>
      <c r="H95" s="255" t="str">
        <f>_xlfn.CONCAT(_xlfn.XLOOKUP("[S10_InstallationsPriorPenaltiesEnforcedDetail][3][ReportinYear]",Submission!$O:$O,Submission!$H:$N,""))</f>
        <v/>
      </c>
      <c r="I95" s="256"/>
    </row>
    <row r="96" spans="1:9" x14ac:dyDescent="0.3">
      <c r="C96" s="255" t="str">
        <f>_xlfn.CONCAT(_xlfn.XLOOKUP("[S10_InstallationsPriorPenaltiesEnforcedDetail][4][TypeInfringement]",Submission!$O:$O,Submission!$H:$N,""))</f>
        <v/>
      </c>
      <c r="D96" s="460"/>
      <c r="E96" s="256"/>
      <c r="F96" s="255" t="str">
        <f>_xlfn.CONCAT(_xlfn.XLOOKUP("[S10_InstallationsPriorPenaltiesEnforcedDetail][4][TypePenalty]",Submission!$O:$O,Submission!$H:$N,""))</f>
        <v/>
      </c>
      <c r="G96" s="256"/>
      <c r="H96" s="255" t="str">
        <f>_xlfn.CONCAT(_xlfn.XLOOKUP("[S10_InstallationsPriorPenaltiesEnforcedDetail][4][ReportinYear]",Submission!$O:$O,Submission!$H:$N,""))</f>
        <v/>
      </c>
      <c r="I96" s="256"/>
    </row>
    <row r="97" spans="2:10" x14ac:dyDescent="0.3">
      <c r="C97" s="255" t="str">
        <f>_xlfn.CONCAT(_xlfn.XLOOKUP("[S10_InstallationsPriorPenaltiesEnforcedDetail][5][TypeInfringement]",Submission!$O:$O,Submission!$H:$N,""))</f>
        <v/>
      </c>
      <c r="D97" s="460"/>
      <c r="E97" s="256"/>
      <c r="F97" s="255" t="str">
        <f>_xlfn.CONCAT(_xlfn.XLOOKUP("[S10_InstallationsPriorPenaltiesEnforcedDetail][5][TypePenalty]",Submission!$O:$O,Submission!$H:$N,""))</f>
        <v/>
      </c>
      <c r="G97" s="256"/>
      <c r="H97" s="255" t="str">
        <f>_xlfn.CONCAT(_xlfn.XLOOKUP("[S10_InstallationsPriorPenaltiesEnforcedDetail][5][ReportinYear]",Submission!$O:$O,Submission!$H:$N,""))</f>
        <v/>
      </c>
      <c r="I97" s="256"/>
    </row>
    <row r="98" spans="2:10" hidden="1" outlineLevel="1" x14ac:dyDescent="0.3">
      <c r="C98" s="255" t="str">
        <f>_xlfn.CONCAT(_xlfn.XLOOKUP("[S10_InstallationsPriorPenaltiesEnforcedDetail][6][TypeInfringement]",Submission!$O:$O,Submission!$H:$N,""))</f>
        <v/>
      </c>
      <c r="D98" s="460"/>
      <c r="E98" s="256"/>
      <c r="F98" s="255" t="str">
        <f>_xlfn.CONCAT(_xlfn.XLOOKUP("[S10_InstallationsPriorPenaltiesEnforcedDetail][6][TypePenalty]",Submission!$O:$O,Submission!$H:$N,""))</f>
        <v/>
      </c>
      <c r="G98" s="256"/>
      <c r="H98" s="255" t="str">
        <f>_xlfn.CONCAT(_xlfn.XLOOKUP("[S10_InstallationsPriorPenaltiesEnforcedDetail][6][ReportinYear]",Submission!$O:$O,Submission!$H:$N,""))</f>
        <v/>
      </c>
      <c r="I98" s="256"/>
    </row>
    <row r="99" spans="2:10" hidden="1" outlineLevel="1" x14ac:dyDescent="0.3">
      <c r="C99" s="255" t="str">
        <f>_xlfn.CONCAT(_xlfn.XLOOKUP("[S10_InstallationsPriorPenaltiesEnforcedDetail][7][TypeInfringement]",Submission!$O:$O,Submission!$H:$N,""))</f>
        <v/>
      </c>
      <c r="D99" s="460"/>
      <c r="E99" s="256"/>
      <c r="F99" s="255" t="str">
        <f>_xlfn.CONCAT(_xlfn.XLOOKUP("[S10_InstallationsPriorPenaltiesEnforcedDetail][7][TypePenalty]",Submission!$O:$O,Submission!$H:$N,""))</f>
        <v/>
      </c>
      <c r="G99" s="256"/>
      <c r="H99" s="255" t="str">
        <f>_xlfn.CONCAT(_xlfn.XLOOKUP("[S10_InstallationsPriorPenaltiesEnforcedDetail][7][ReportinYear]",Submission!$O:$O,Submission!$H:$N,""))</f>
        <v/>
      </c>
      <c r="I99" s="256"/>
    </row>
    <row r="100" spans="2:10" hidden="1" outlineLevel="1" x14ac:dyDescent="0.3">
      <c r="C100" s="255" t="str">
        <f>_xlfn.CONCAT(_xlfn.XLOOKUP("[S10_InstallationsPriorPenaltiesEnforcedDetail][8][TypeInfringement]",Submission!$O:$O,Submission!$H:$N,""))</f>
        <v/>
      </c>
      <c r="D100" s="460"/>
      <c r="E100" s="256"/>
      <c r="F100" s="255" t="str">
        <f>_xlfn.CONCAT(_xlfn.XLOOKUP("[S10_InstallationsPriorPenaltiesEnforcedDetail][8][TypePenalty]",Submission!$O:$O,Submission!$H:$N,""))</f>
        <v/>
      </c>
      <c r="G100" s="256"/>
      <c r="H100" s="255" t="str">
        <f>_xlfn.CONCAT(_xlfn.XLOOKUP("[S10_InstallationsPriorPenaltiesEnforcedDetail][8][ReportinYear]",Submission!$O:$O,Submission!$H:$N,""))</f>
        <v/>
      </c>
      <c r="I100" s="256"/>
    </row>
    <row r="101" spans="2:10" hidden="1" outlineLevel="1" x14ac:dyDescent="0.3">
      <c r="C101" s="255" t="str">
        <f>_xlfn.CONCAT(_xlfn.XLOOKUP("[S10_InstallationsPriorPenaltiesEnforcedDetail][9][TypeInfringement]",Submission!$O:$O,Submission!$H:$N,""))</f>
        <v/>
      </c>
      <c r="D101" s="460"/>
      <c r="E101" s="256"/>
      <c r="F101" s="255" t="str">
        <f>_xlfn.CONCAT(_xlfn.XLOOKUP("[S10_InstallationsPriorPenaltiesEnforcedDetail][9][TypePenalty]",Submission!$O:$O,Submission!$H:$N,""))</f>
        <v/>
      </c>
      <c r="G101" s="256"/>
      <c r="H101" s="255" t="str">
        <f>_xlfn.CONCAT(_xlfn.XLOOKUP("[S10_InstallationsPriorPenaltiesEnforcedDetail][9][ReportinYear]",Submission!$O:$O,Submission!$H:$N,""))</f>
        <v/>
      </c>
      <c r="I101" s="256"/>
    </row>
    <row r="102" spans="2:10" hidden="1" outlineLevel="1" x14ac:dyDescent="0.3">
      <c r="C102" s="255" t="str">
        <f>_xlfn.CONCAT(_xlfn.XLOOKUP("[S10_InstallationsPriorPenaltiesEnforcedDetail][10][TypeInfringement]",Submission!$O:$O,Submission!$H:$N,""))</f>
        <v/>
      </c>
      <c r="D102" s="460"/>
      <c r="E102" s="256"/>
      <c r="F102" s="255" t="str">
        <f>_xlfn.CONCAT(_xlfn.XLOOKUP("[S10_InstallationsPriorPenaltiesEnforcedDetail][10][TypePenalty]",Submission!$O:$O,Submission!$H:$N,""))</f>
        <v/>
      </c>
      <c r="G102" s="256"/>
      <c r="H102" s="255" t="str">
        <f>_xlfn.CONCAT(_xlfn.XLOOKUP("[S10_InstallationsPriorPenaltiesEnforcedDetail][10][ReportinYear]",Submission!$O:$O,Submission!$H:$N,""))</f>
        <v/>
      </c>
      <c r="I102" s="256"/>
    </row>
    <row r="103" spans="2:10" hidden="1" outlineLevel="1" x14ac:dyDescent="0.3">
      <c r="C103" s="255" t="str">
        <f>_xlfn.CONCAT(_xlfn.XLOOKUP("[S10_InstallationsPriorPenaltiesEnforcedDetail][11][TypeInfringement]",Submission!$O:$O,Submission!$H:$N,""))</f>
        <v/>
      </c>
      <c r="D103" s="460"/>
      <c r="E103" s="256"/>
      <c r="F103" s="255" t="str">
        <f>_xlfn.CONCAT(_xlfn.XLOOKUP("[S10_InstallationsPriorPenaltiesEnforcedDetail][11][TypePenalty]",Submission!$O:$O,Submission!$H:$N,""))</f>
        <v/>
      </c>
      <c r="G103" s="256"/>
      <c r="H103" s="255" t="str">
        <f>_xlfn.CONCAT(_xlfn.XLOOKUP("[S10_InstallationsPriorPenaltiesEnforcedDetail][11][ReportinYear]",Submission!$O:$O,Submission!$H:$N,""))</f>
        <v/>
      </c>
      <c r="I103" s="256"/>
    </row>
    <row r="104" spans="2:10" hidden="1" outlineLevel="1" x14ac:dyDescent="0.3">
      <c r="C104" s="255" t="str">
        <f>_xlfn.CONCAT(_xlfn.XLOOKUP("[S10_InstallationsPriorPenaltiesEnforcedDetail][12][TypeInfringement]",Submission!$O:$O,Submission!$H:$N,""))</f>
        <v/>
      </c>
      <c r="D104" s="460"/>
      <c r="E104" s="256"/>
      <c r="F104" s="255" t="str">
        <f>_xlfn.CONCAT(_xlfn.XLOOKUP("[S10_InstallationsPriorPenaltiesEnforcedDetail][12][TypePenalty]",Submission!$O:$O,Submission!$H:$N,""))</f>
        <v/>
      </c>
      <c r="G104" s="256"/>
      <c r="H104" s="255" t="str">
        <f>_xlfn.CONCAT(_xlfn.XLOOKUP("[S10_InstallationsPriorPenaltiesEnforcedDetail][12][ReportinYear]",Submission!$O:$O,Submission!$H:$N,""))</f>
        <v/>
      </c>
      <c r="I104" s="256"/>
    </row>
    <row r="105" spans="2:10" hidden="1" outlineLevel="1" x14ac:dyDescent="0.3">
      <c r="C105" s="255" t="str">
        <f>_xlfn.CONCAT(_xlfn.XLOOKUP("[S10_InstallationsPriorPenaltiesEnforcedDetail][13][TypeInfringement]",Submission!$O:$O,Submission!$H:$N,""))</f>
        <v/>
      </c>
      <c r="D105" s="460"/>
      <c r="E105" s="256"/>
      <c r="F105" s="255" t="str">
        <f>_xlfn.CONCAT(_xlfn.XLOOKUP("[S10_InstallationsPriorPenaltiesEnforcedDetail][13][TypePenalty]",Submission!$O:$O,Submission!$H:$N,""))</f>
        <v/>
      </c>
      <c r="G105" s="256"/>
      <c r="H105" s="255" t="str">
        <f>_xlfn.CONCAT(_xlfn.XLOOKUP("[S10_InstallationsPriorPenaltiesEnforcedDetail][13][ReportinYear]",Submission!$O:$O,Submission!$H:$N,""))</f>
        <v/>
      </c>
      <c r="I105" s="256"/>
    </row>
    <row r="106" spans="2:10" hidden="1" outlineLevel="1" x14ac:dyDescent="0.3">
      <c r="C106" s="255" t="str">
        <f>_xlfn.CONCAT(_xlfn.XLOOKUP("[S10_InstallationsPriorPenaltiesEnforcedDetail][14][TypeInfringement]",Submission!$O:$O,Submission!$H:$N,""))</f>
        <v/>
      </c>
      <c r="D106" s="460"/>
      <c r="E106" s="256"/>
      <c r="F106" s="255" t="str">
        <f>_xlfn.CONCAT(_xlfn.XLOOKUP("[S10_InstallationsPriorPenaltiesEnforcedDetail][14][TypePenalty]",Submission!$O:$O,Submission!$H:$N,""))</f>
        <v/>
      </c>
      <c r="G106" s="256"/>
      <c r="H106" s="255" t="str">
        <f>_xlfn.CONCAT(_xlfn.XLOOKUP("[S10_InstallationsPriorPenaltiesEnforcedDetail][14][ReportinYear]",Submission!$O:$O,Submission!$H:$N,""))</f>
        <v/>
      </c>
      <c r="I106" s="256"/>
    </row>
    <row r="107" spans="2:10" hidden="1" outlineLevel="1" x14ac:dyDescent="0.3">
      <c r="C107" s="255" t="str">
        <f>_xlfn.CONCAT(_xlfn.XLOOKUP("[S10_InstallationsPriorPenaltiesEnforcedDetail][15][TypeInfringement]",Submission!$O:$O,Submission!$H:$N,""))</f>
        <v/>
      </c>
      <c r="D107" s="460"/>
      <c r="E107" s="256"/>
      <c r="F107" s="255" t="str">
        <f>_xlfn.CONCAT(_xlfn.XLOOKUP("[S10_InstallationsPriorPenaltiesEnforcedDetail][15][TypePenalty]",Submission!$O:$O,Submission!$H:$N,""))</f>
        <v/>
      </c>
      <c r="G107" s="256"/>
      <c r="H107" s="255" t="str">
        <f>_xlfn.CONCAT(_xlfn.XLOOKUP("[S10_InstallationsPriorPenaltiesEnforcedDetail][15][ReportinYear]",Submission!$O:$O,Submission!$H:$N,""))</f>
        <v/>
      </c>
      <c r="I107" s="256"/>
    </row>
    <row r="108" spans="2:10" hidden="1" outlineLevel="1" x14ac:dyDescent="0.3">
      <c r="C108" s="255" t="str">
        <f>_xlfn.CONCAT(_xlfn.XLOOKUP("[S10_InstallationsPriorPenaltiesEnforcedDetail][16][TypeInfringement]",Submission!$O:$O,Submission!$H:$N,""))</f>
        <v/>
      </c>
      <c r="D108" s="460"/>
      <c r="E108" s="256"/>
      <c r="F108" s="255" t="str">
        <f>_xlfn.CONCAT(_xlfn.XLOOKUP("[S10_InstallationsPriorPenaltiesEnforcedDetail][16][TypePenalty]",Submission!$O:$O,Submission!$H:$N,""))</f>
        <v/>
      </c>
      <c r="G108" s="256"/>
      <c r="H108" s="255" t="str">
        <f>_xlfn.CONCAT(_xlfn.XLOOKUP("[S10_InstallationsPriorPenaltiesEnforcedDetail][16][ReportinYear]",Submission!$O:$O,Submission!$H:$N,""))</f>
        <v/>
      </c>
      <c r="I108" s="256"/>
    </row>
    <row r="109" spans="2:10" hidden="1" outlineLevel="1" x14ac:dyDescent="0.3">
      <c r="C109" s="255" t="str">
        <f>_xlfn.CONCAT(_xlfn.XLOOKUP("[S10_InstallationsPriorPenaltiesEnforcedDetail][17][TypeInfringement]",Submission!$O:$O,Submission!$H:$N,""))</f>
        <v/>
      </c>
      <c r="D109" s="460"/>
      <c r="E109" s="256"/>
      <c r="F109" s="255" t="str">
        <f>_xlfn.CONCAT(_xlfn.XLOOKUP("[S10_InstallationsPriorPenaltiesEnforcedDetail][17][TypePenalty]",Submission!$O:$O,Submission!$H:$N,""))</f>
        <v/>
      </c>
      <c r="G109" s="256"/>
      <c r="H109" s="255" t="str">
        <f>_xlfn.CONCAT(_xlfn.XLOOKUP("[S10_InstallationsPriorPenaltiesEnforcedDetail][17][ReportinYear]",Submission!$O:$O,Submission!$H:$N,""))</f>
        <v/>
      </c>
      <c r="I109" s="256"/>
    </row>
    <row r="110" spans="2:10" collapsed="1" x14ac:dyDescent="0.3">
      <c r="B110" s="26" t="s">
        <v>1000</v>
      </c>
      <c r="C110" s="16"/>
      <c r="D110" s="19"/>
      <c r="E110" s="11"/>
      <c r="F110" s="11"/>
      <c r="G110" s="11"/>
      <c r="H110" s="11"/>
      <c r="I110" s="11"/>
    </row>
    <row r="111" spans="2:10" x14ac:dyDescent="0.3">
      <c r="C111" s="418" t="s">
        <v>1248</v>
      </c>
      <c r="D111" s="477"/>
      <c r="E111" s="477"/>
      <c r="F111" s="477"/>
      <c r="G111" s="477"/>
      <c r="H111" s="477"/>
      <c r="I111" s="477"/>
      <c r="J111" s="477"/>
    </row>
    <row r="112" spans="2:10" ht="15.9" customHeight="1" x14ac:dyDescent="0.3"/>
    <row r="113" spans="1:9" ht="32.1" customHeight="1" x14ac:dyDescent="0.3">
      <c r="A113" s="12" t="s">
        <v>582</v>
      </c>
      <c r="B113" s="275" t="s">
        <v>1301</v>
      </c>
      <c r="C113" s="276"/>
      <c r="D113" s="276"/>
      <c r="E113" s="276"/>
      <c r="F113" s="276"/>
      <c r="G113" s="276"/>
      <c r="H113" s="276"/>
      <c r="I113" s="276"/>
    </row>
    <row r="114" spans="1:9" ht="15.9" customHeight="1" x14ac:dyDescent="0.3">
      <c r="A114" s="12"/>
      <c r="B114" s="22"/>
      <c r="C114" s="314" t="s">
        <v>869</v>
      </c>
      <c r="D114" s="315"/>
      <c r="E114" s="316"/>
      <c r="F114" s="314" t="s">
        <v>1302</v>
      </c>
      <c r="G114" s="315"/>
      <c r="H114" s="315"/>
      <c r="I114" s="316"/>
    </row>
    <row r="115" spans="1:9" ht="15.9" customHeight="1" x14ac:dyDescent="0.3">
      <c r="A115" s="12"/>
      <c r="B115" s="23"/>
      <c r="C115" s="258" t="str">
        <f>_xlfn.CONCAT(_xlfn.XLOOKUP("[S10_InstallationPenalties][1][InstallationID]",Submission!$O:$O,Submission!$H:$N,""))</f>
        <v/>
      </c>
      <c r="D115" s="353"/>
      <c r="E115" s="260"/>
      <c r="F115" s="258" t="str">
        <f>_xlfn.CONCAT(_xlfn.XLOOKUP("[S10_InstallationPenalties][1][OperatorName]",Submission!$O:$O,Submission!$H:$N,""))</f>
        <v/>
      </c>
      <c r="G115" s="353"/>
      <c r="H115" s="353"/>
      <c r="I115" s="260"/>
    </row>
    <row r="116" spans="1:9" ht="15.9" customHeight="1" x14ac:dyDescent="0.3">
      <c r="A116" s="12"/>
      <c r="B116" s="23"/>
      <c r="C116" s="258" t="str">
        <f>_xlfn.CONCAT(_xlfn.XLOOKUP("[S10_InstallationPenalties][2][InstallationID]",Submission!$O:$O,Submission!$H:$N,""))</f>
        <v/>
      </c>
      <c r="D116" s="353"/>
      <c r="E116" s="260"/>
      <c r="F116" s="258" t="str">
        <f>_xlfn.CONCAT(_xlfn.XLOOKUP("[S10_InstallationPenalties][2][OperatorName]",Submission!$O:$O,Submission!$H:$N,""))</f>
        <v/>
      </c>
      <c r="G116" s="353"/>
      <c r="H116" s="353"/>
      <c r="I116" s="260"/>
    </row>
    <row r="117" spans="1:9" ht="15.9" hidden="1" customHeight="1" outlineLevel="1" x14ac:dyDescent="0.3">
      <c r="A117" s="12"/>
      <c r="B117" s="23"/>
      <c r="C117" s="258" t="str">
        <f>_xlfn.CONCAT(_xlfn.XLOOKUP("[S10_InstallationPenalties][3][InstallationID]",Submission!$O:$O,Submission!$H:$N,""))</f>
        <v/>
      </c>
      <c r="D117" s="353"/>
      <c r="E117" s="260"/>
      <c r="F117" s="258" t="str">
        <f>_xlfn.CONCAT(_xlfn.XLOOKUP("[S10_InstallationPenalties][3][OperatorName]",Submission!$O:$O,Submission!$H:$N,""))</f>
        <v/>
      </c>
      <c r="G117" s="353"/>
      <c r="H117" s="353"/>
      <c r="I117" s="260"/>
    </row>
    <row r="118" spans="1:9" ht="15.9" hidden="1" customHeight="1" outlineLevel="1" x14ac:dyDescent="0.3">
      <c r="A118" s="12"/>
      <c r="B118" s="23"/>
      <c r="C118" s="258" t="str">
        <f>_xlfn.CONCAT(_xlfn.XLOOKUP("[S10_InstallationPenalties][4][InstallationID]",Submission!$O:$O,Submission!$H:$N,""))</f>
        <v/>
      </c>
      <c r="D118" s="353"/>
      <c r="E118" s="260"/>
      <c r="F118" s="258" t="str">
        <f>_xlfn.CONCAT(_xlfn.XLOOKUP("[S10_InstallationPenalties][4][OperatorName]",Submission!$O:$O,Submission!$H:$N,""))</f>
        <v/>
      </c>
      <c r="G118" s="353"/>
      <c r="H118" s="353"/>
      <c r="I118" s="260"/>
    </row>
    <row r="119" spans="1:9" ht="15.9" hidden="1" customHeight="1" outlineLevel="1" x14ac:dyDescent="0.3">
      <c r="A119" s="12"/>
      <c r="B119" s="23"/>
      <c r="C119" s="258" t="str">
        <f>_xlfn.CONCAT(_xlfn.XLOOKUP("[S10_InstallationPenalties][5][InstallationID]",Submission!$O:$O,Submission!$H:$N,""))</f>
        <v/>
      </c>
      <c r="D119" s="353"/>
      <c r="E119" s="260"/>
      <c r="F119" s="258" t="str">
        <f>_xlfn.CONCAT(_xlfn.XLOOKUP("[S10_InstallationPenalties][5][OperatorName]",Submission!$O:$O,Submission!$H:$N,""))</f>
        <v/>
      </c>
      <c r="G119" s="353"/>
      <c r="H119" s="353"/>
      <c r="I119" s="260"/>
    </row>
    <row r="120" spans="1:9" ht="15.9" hidden="1" customHeight="1" outlineLevel="1" x14ac:dyDescent="0.3">
      <c r="A120" s="12"/>
      <c r="B120" s="23"/>
      <c r="C120" s="258" t="str">
        <f>_xlfn.CONCAT(_xlfn.XLOOKUP("[S10_InstallationPenalties][6][InstallationID]",Submission!$O:$O,Submission!$H:$N,""))</f>
        <v/>
      </c>
      <c r="D120" s="353"/>
      <c r="E120" s="260"/>
      <c r="F120" s="258" t="str">
        <f>_xlfn.CONCAT(_xlfn.XLOOKUP("[S10_InstallationPenalties][6][OperatorName]",Submission!$O:$O,Submission!$H:$N,""))</f>
        <v/>
      </c>
      <c r="G120" s="353"/>
      <c r="H120" s="353"/>
      <c r="I120" s="260"/>
    </row>
    <row r="121" spans="1:9" ht="15.9" hidden="1" customHeight="1" outlineLevel="1" x14ac:dyDescent="0.3">
      <c r="A121" s="12"/>
      <c r="B121" s="23"/>
      <c r="C121" s="258" t="str">
        <f>_xlfn.CONCAT(_xlfn.XLOOKUP("[S10_InstallationPenalties][7][InstallationID]",Submission!$O:$O,Submission!$H:$N,""))</f>
        <v/>
      </c>
      <c r="D121" s="353"/>
      <c r="E121" s="260"/>
      <c r="F121" s="258" t="str">
        <f>_xlfn.CONCAT(_xlfn.XLOOKUP("[S10_InstallationPenalties][7][OperatorName]",Submission!$O:$O,Submission!$H:$N,""))</f>
        <v/>
      </c>
      <c r="G121" s="353"/>
      <c r="H121" s="353"/>
      <c r="I121" s="260"/>
    </row>
    <row r="122" spans="1:9" ht="15.9" hidden="1" customHeight="1" outlineLevel="1" x14ac:dyDescent="0.3">
      <c r="A122" s="12"/>
      <c r="B122" s="23"/>
      <c r="C122" s="258" t="str">
        <f>_xlfn.CONCAT(_xlfn.XLOOKUP("[S10_InstallationPenalties][8][InstallationID]",Submission!$O:$O,Submission!$H:$N,""))</f>
        <v/>
      </c>
      <c r="D122" s="353"/>
      <c r="E122" s="260"/>
      <c r="F122" s="258" t="str">
        <f>_xlfn.CONCAT(_xlfn.XLOOKUP("[S10_InstallationPenalties][8][OperatorName]",Submission!$O:$O,Submission!$H:$N,""))</f>
        <v/>
      </c>
      <c r="G122" s="353"/>
      <c r="H122" s="353"/>
      <c r="I122" s="260"/>
    </row>
    <row r="123" spans="1:9" ht="15.9" hidden="1" customHeight="1" outlineLevel="1" x14ac:dyDescent="0.3">
      <c r="A123" s="12"/>
      <c r="B123" s="23"/>
      <c r="C123" s="258" t="str">
        <f>_xlfn.CONCAT(_xlfn.XLOOKUP("[S10_InstallationPenalties][9][InstallationID]",Submission!$O:$O,Submission!$H:$N,""))</f>
        <v/>
      </c>
      <c r="D123" s="353"/>
      <c r="E123" s="260"/>
      <c r="F123" s="258" t="str">
        <f>_xlfn.CONCAT(_xlfn.XLOOKUP("[S10_InstallationPenalties][9][OperatorName]",Submission!$O:$O,Submission!$H:$N,""))</f>
        <v/>
      </c>
      <c r="G123" s="353"/>
      <c r="H123" s="353"/>
      <c r="I123" s="260"/>
    </row>
    <row r="124" spans="1:9" ht="15.9" hidden="1" customHeight="1" outlineLevel="1" x14ac:dyDescent="0.3">
      <c r="A124" s="12"/>
      <c r="B124" s="23"/>
      <c r="C124" s="258" t="str">
        <f>_xlfn.CONCAT(_xlfn.XLOOKUP("[S10_InstallationPenalties][10][InstallationID]",Submission!$O:$O,Submission!$H:$N,""))</f>
        <v/>
      </c>
      <c r="D124" s="353"/>
      <c r="E124" s="260"/>
      <c r="F124" s="258" t="str">
        <f>_xlfn.CONCAT(_xlfn.XLOOKUP("[S10_InstallationPenalties][10][OperatorName]",Submission!$O:$O,Submission!$H:$N,""))</f>
        <v/>
      </c>
      <c r="G124" s="353"/>
      <c r="H124" s="353"/>
      <c r="I124" s="260"/>
    </row>
    <row r="125" spans="1:9" ht="15.9" hidden="1" customHeight="1" outlineLevel="1" x14ac:dyDescent="0.3">
      <c r="A125" s="12"/>
      <c r="B125" s="23"/>
      <c r="C125" s="258" t="str">
        <f>_xlfn.CONCAT(_xlfn.XLOOKUP("[S10_InstallationPenalties][11][InstallationID]",Submission!$O:$O,Submission!$H:$N,""))</f>
        <v/>
      </c>
      <c r="D125" s="353"/>
      <c r="E125" s="260"/>
      <c r="F125" s="258" t="str">
        <f>_xlfn.CONCAT(_xlfn.XLOOKUP("[S10_InstallationPenalties][11][OperatorName]",Submission!$O:$O,Submission!$H:$N,""))</f>
        <v/>
      </c>
      <c r="G125" s="353"/>
      <c r="H125" s="353"/>
      <c r="I125" s="260"/>
    </row>
    <row r="126" spans="1:9" ht="15.9" hidden="1" customHeight="1" outlineLevel="1" x14ac:dyDescent="0.3">
      <c r="A126" s="12"/>
      <c r="B126" s="23"/>
      <c r="C126" s="258" t="str">
        <f>_xlfn.CONCAT(_xlfn.XLOOKUP("[S10_InstallationPenalties][12][InstallationID]",Submission!$O:$O,Submission!$H:$N,""))</f>
        <v/>
      </c>
      <c r="D126" s="353"/>
      <c r="E126" s="260"/>
      <c r="F126" s="258" t="str">
        <f>_xlfn.CONCAT(_xlfn.XLOOKUP("[S10_InstallationPenalties][12][OperatorName]",Submission!$O:$O,Submission!$H:$N,""))</f>
        <v/>
      </c>
      <c r="G126" s="353"/>
      <c r="H126" s="353"/>
      <c r="I126" s="260"/>
    </row>
    <row r="127" spans="1:9" ht="15.9" customHeight="1" collapsed="1" x14ac:dyDescent="0.3">
      <c r="A127" s="13"/>
      <c r="B127" s="26" t="s">
        <v>1000</v>
      </c>
      <c r="C127" s="19"/>
    </row>
    <row r="128" spans="1:9" ht="15.9" customHeight="1" x14ac:dyDescent="0.3">
      <c r="A128" s="13"/>
      <c r="B128" s="16"/>
      <c r="C128" s="279" t="s">
        <v>1033</v>
      </c>
      <c r="D128" s="280"/>
      <c r="E128" s="280"/>
      <c r="F128" s="280"/>
      <c r="G128" s="280"/>
      <c r="H128" s="280"/>
      <c r="I128" s="280"/>
    </row>
    <row r="129" spans="1:9" ht="15.9" customHeight="1" x14ac:dyDescent="0.3">
      <c r="A129" s="13"/>
    </row>
    <row r="130" spans="1:9" s="7" customFormat="1" ht="18.899999999999999" customHeight="1" x14ac:dyDescent="0.35">
      <c r="A130" s="85" t="s">
        <v>1303</v>
      </c>
      <c r="B130" s="310" t="s">
        <v>97</v>
      </c>
      <c r="C130" s="310"/>
      <c r="D130" s="310"/>
      <c r="E130" s="310"/>
      <c r="F130" s="310"/>
      <c r="G130" s="310"/>
      <c r="H130" s="310"/>
      <c r="I130" s="311"/>
    </row>
    <row r="131" spans="1:9" ht="32.1" customHeight="1" x14ac:dyDescent="0.3">
      <c r="A131" s="12" t="s">
        <v>586</v>
      </c>
      <c r="B131" s="275" t="s">
        <v>1304</v>
      </c>
      <c r="C131" s="276"/>
      <c r="D131" s="276"/>
      <c r="E131" s="276"/>
      <c r="F131" s="276"/>
      <c r="G131" s="276"/>
      <c r="H131" s="276"/>
      <c r="I131" s="276"/>
    </row>
    <row r="132" spans="1:9" x14ac:dyDescent="0.3">
      <c r="A132" s="12"/>
      <c r="B132" s="23"/>
      <c r="C132" s="538" t="s">
        <v>1305</v>
      </c>
      <c r="D132" s="539"/>
      <c r="E132" s="539"/>
      <c r="F132" s="539"/>
      <c r="G132" s="540"/>
      <c r="H132" s="53" t="s">
        <v>709</v>
      </c>
      <c r="I132" s="53" t="s">
        <v>1306</v>
      </c>
    </row>
    <row r="133" spans="1:9" x14ac:dyDescent="0.3">
      <c r="A133" s="12"/>
      <c r="B133" s="23"/>
      <c r="C133" s="249" t="s">
        <v>1307</v>
      </c>
      <c r="D133" s="272"/>
      <c r="E133" s="272"/>
      <c r="F133" s="272"/>
      <c r="G133" s="273"/>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9" t="s">
        <v>1282</v>
      </c>
      <c r="D134" s="272"/>
      <c r="E134" s="272"/>
      <c r="F134" s="272"/>
      <c r="G134" s="273"/>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9" t="s">
        <v>1308</v>
      </c>
      <c r="D135" s="272"/>
      <c r="E135" s="272"/>
      <c r="F135" s="272"/>
      <c r="G135" s="273"/>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9" t="s">
        <v>1309</v>
      </c>
      <c r="D136" s="272"/>
      <c r="E136" s="272"/>
      <c r="F136" s="272"/>
      <c r="G136" s="273"/>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9" t="s">
        <v>697</v>
      </c>
      <c r="D137" s="273"/>
      <c r="E137" s="258" t="str">
        <f>_xlfn.CONCAT(_xlfn.XLOOKUP("[S10_AircraftComplianceMeasures][5][ComplianceMeasuresOther]",Submission!$O:$O,Submission!$H:$N,""))</f>
        <v/>
      </c>
      <c r="F137" s="353"/>
      <c r="G137" s="260"/>
      <c r="H137" s="47" t="str">
        <f>_xlfn.CONCAT(_xlfn.XLOOKUP("[S10_AircraftComplianceMeasures][5][ComplianceMeasuresYesNo]",Submission!$O:$O,Submission!$H:$N,""))</f>
        <v>No</v>
      </c>
      <c r="I137" s="72" t="str">
        <f>_xlfn.CONCAT(_xlfn.XLOOKUP("[S10_AircraftComplianceMeasures][5][ComplianceMeasuresComment]",Submission!$O:$O,Submission!$H:$N,""))</f>
        <v/>
      </c>
    </row>
    <row r="138" spans="1:9" hidden="1" outlineLevel="1" x14ac:dyDescent="0.3">
      <c r="A138" s="12"/>
      <c r="B138" s="23"/>
      <c r="C138" s="249" t="s">
        <v>1257</v>
      </c>
      <c r="D138" s="273"/>
      <c r="E138" s="258" t="str">
        <f>_xlfn.CONCAT(_xlfn.XLOOKUP("[S10_AircraftComplianceMeasures][6][ComplianceMeasuresOther]",Submission!$O:$O,Submission!$H:$N,""))</f>
        <v/>
      </c>
      <c r="F138" s="353"/>
      <c r="G138" s="260"/>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9" t="s">
        <v>1258</v>
      </c>
      <c r="D139" s="273"/>
      <c r="E139" s="258" t="str">
        <f>_xlfn.CONCAT(_xlfn.XLOOKUP("[S10_AircraftComplianceMeasures][7][ComplianceMeasuresOther]",Submission!$O:$O,Submission!$H:$N,""))</f>
        <v/>
      </c>
      <c r="F139" s="353"/>
      <c r="G139" s="260"/>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9" t="s">
        <v>1259</v>
      </c>
      <c r="D140" s="273"/>
      <c r="E140" s="258" t="str">
        <f>_xlfn.CONCAT(_xlfn.XLOOKUP("[S10_AircraftComplianceMeasures][8][ComplianceMeasuresOther]",Submission!$O:$O,Submission!$H:$N,""))</f>
        <v/>
      </c>
      <c r="F140" s="353"/>
      <c r="G140" s="260"/>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92" t="s">
        <v>1310</v>
      </c>
      <c r="C143" s="393"/>
      <c r="D143" s="393"/>
      <c r="E143" s="393"/>
      <c r="F143" s="393"/>
      <c r="G143" s="393"/>
      <c r="H143" s="393"/>
      <c r="I143" s="393"/>
    </row>
    <row r="144" spans="1:9" ht="33.6" customHeight="1" x14ac:dyDescent="0.3">
      <c r="A144" s="13"/>
      <c r="B144" s="338" t="s">
        <v>1286</v>
      </c>
      <c r="C144" s="308"/>
      <c r="D144" s="308"/>
      <c r="E144" s="308"/>
      <c r="F144" s="308"/>
      <c r="G144" s="308"/>
      <c r="H144" s="308"/>
      <c r="I144" s="308"/>
    </row>
    <row r="145" spans="1:9" x14ac:dyDescent="0.3">
      <c r="A145" s="13"/>
      <c r="C145" s="547" t="s">
        <v>1224</v>
      </c>
      <c r="D145" s="548"/>
      <c r="E145" s="551" t="s">
        <v>1225</v>
      </c>
      <c r="F145" s="551"/>
      <c r="G145" s="551" t="s">
        <v>1226</v>
      </c>
      <c r="H145" s="551"/>
      <c r="I145" s="532" t="s">
        <v>1227</v>
      </c>
    </row>
    <row r="146" spans="1:9" ht="15.9" customHeight="1" x14ac:dyDescent="0.3">
      <c r="A146" s="13"/>
      <c r="C146" s="549"/>
      <c r="D146" s="550"/>
      <c r="E146" s="43" t="s">
        <v>1311</v>
      </c>
      <c r="F146" s="43" t="s">
        <v>1229</v>
      </c>
      <c r="G146" s="43" t="s">
        <v>1228</v>
      </c>
      <c r="H146" s="43" t="s">
        <v>1229</v>
      </c>
      <c r="I146" s="533"/>
    </row>
    <row r="147" spans="1:9" ht="37.200000000000003" customHeight="1" x14ac:dyDescent="0.3">
      <c r="A147" s="13"/>
      <c r="C147" s="249" t="s">
        <v>1289</v>
      </c>
      <c r="D147" s="273"/>
      <c r="E147" s="105" t="str">
        <f>_xlfn.CONCAT(_xlfn.XLOOKUP("[S10_AircraftInfringementPenalties][1][MinFine]",Submission!$O:$O,Submission!$H:$N,""))</f>
        <v>60</v>
      </c>
      <c r="F147" s="105" t="str">
        <f>_xlfn.CONCAT(_xlfn.XLOOKUP("[S10_AircraftInfringementPenalties][1][MaxFine]",Submission!$O:$O,Submission!$H:$N,""))</f>
        <v>140</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9" t="s">
        <v>1290</v>
      </c>
      <c r="D148" s="273"/>
      <c r="E148" s="105" t="str">
        <f>_xlfn.CONCAT(_xlfn.XLOOKUP("[S10_AircraftInfringementPenalties][2][MinFine]",Submission!$O:$O,Submission!$H:$N,""))</f>
        <v>60</v>
      </c>
      <c r="F148" s="105" t="str">
        <f>_xlfn.CONCAT(_xlfn.XLOOKUP("[S10_AircraftInfringementPenalties][2][MaxFine]",Submission!$O:$O,Submission!$H:$N,""))</f>
        <v>140</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9" t="s">
        <v>1312</v>
      </c>
      <c r="D149" s="273"/>
      <c r="E149" s="105" t="str">
        <f>_xlfn.CONCAT(_xlfn.XLOOKUP("[S10_AircraftInfringementPenalties][3][MinFine]",Submission!$O:$O,Submission!$H:$N,""))</f>
        <v>60</v>
      </c>
      <c r="F149" s="105" t="str">
        <f>_xlfn.CONCAT(_xlfn.XLOOKUP("[S10_AircraftInfringementPenalties][3][MaxFine]",Submission!$O:$O,Submission!$H:$N,""))</f>
        <v>140</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9" t="s">
        <v>1293</v>
      </c>
      <c r="D150" s="273"/>
      <c r="E150" s="105" t="str">
        <f>_xlfn.CONCAT(_xlfn.XLOOKUP("[S10_AircraftInfringementPenalties][4][MinFine]",Submission!$O:$O,Submission!$H:$N,""))</f>
        <v>60</v>
      </c>
      <c r="F150" s="105" t="str">
        <f>_xlfn.CONCAT(_xlfn.XLOOKUP("[S10_AircraftInfringementPenalties][4][MaxFine]",Submission!$O:$O,Submission!$H:$N,""))</f>
        <v>140</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9" t="s">
        <v>1313</v>
      </c>
      <c r="D151" s="273"/>
      <c r="E151" s="105" t="str">
        <f>_xlfn.CONCAT(_xlfn.XLOOKUP("[S10_AircraftInfringementPenalties][5][MinFine]",Submission!$O:$O,Submission!$H:$N,""))</f>
        <v>60</v>
      </c>
      <c r="F151" s="105" t="str">
        <f>_xlfn.CONCAT(_xlfn.XLOOKUP("[S10_AircraftInfringementPenalties][5][MaxFine]",Submission!$O:$O,Submission!$H:$N,""))</f>
        <v>140</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9" t="s">
        <v>1294</v>
      </c>
      <c r="D152" s="273"/>
      <c r="E152" s="105" t="str">
        <f>_xlfn.CONCAT(_xlfn.XLOOKUP("[S10_AircraftInfringementPenalties][6][MinFine]",Submission!$O:$O,Submission!$H:$N,""))</f>
        <v>60</v>
      </c>
      <c r="F152" s="105" t="str">
        <f>_xlfn.CONCAT(_xlfn.XLOOKUP("[S10_AircraftInfringementPenalties][6][MaxFine]",Submission!$O:$O,Submission!$H:$N,""))</f>
        <v>140</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9" t="s">
        <v>1295</v>
      </c>
      <c r="D153" s="273"/>
      <c r="E153" s="105" t="str">
        <f>_xlfn.CONCAT(_xlfn.XLOOKUP("[S10_AircraftInfringementPenalties][7][MinFine]",Submission!$O:$O,Submission!$H:$N,""))</f>
        <v/>
      </c>
      <c r="F153" s="105" t="str">
        <f>_xlfn.CONCAT(_xlfn.XLOOKUP("[S10_AircraftInfringementPenalties][7][MaxFine]",Submission!$O:$O,Submission!$H:$N,""))</f>
        <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9" t="s">
        <v>1296</v>
      </c>
      <c r="D154" s="273"/>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9" t="s">
        <v>1297</v>
      </c>
      <c r="D155" s="273"/>
      <c r="E155" s="105" t="str">
        <f>_xlfn.CONCAT(_xlfn.XLOOKUP("[S10_AircraftInfringementPenalties][9][MinFine]",Submission!$O:$O,Submission!$H:$N,""))</f>
        <v/>
      </c>
      <c r="F155" s="105" t="str">
        <f>_xlfn.CONCAT(_xlfn.XLOOKUP("[S10_AircraftInfringementPenalties][9][MaxFine]",Submission!$O:$O,Submission!$H:$N,""))</f>
        <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9" t="s">
        <v>1314</v>
      </c>
      <c r="D156" s="273"/>
      <c r="E156" s="105" t="str">
        <f>_xlfn.CONCAT(_xlfn.XLOOKUP("[S10_AircraftInfringementPenalties][10][MinFine]",Submission!$O:$O,Submission!$H:$N,""))</f>
        <v/>
      </c>
      <c r="F156" s="105" t="str">
        <f>_xlfn.CONCAT(_xlfn.XLOOKUP("[S10_AircraftInfringementPenalties][10][MaxFine]",Submission!$O:$O,Submission!$H:$N,""))</f>
        <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9" t="s">
        <v>1315</v>
      </c>
      <c r="D157" s="273"/>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338" t="s">
        <v>1298</v>
      </c>
      <c r="C164" s="308"/>
      <c r="D164" s="308"/>
      <c r="E164" s="308"/>
      <c r="F164" s="308"/>
      <c r="G164" s="308"/>
      <c r="H164" s="308"/>
      <c r="I164" s="308"/>
    </row>
    <row r="165" spans="1:9" ht="15.9" customHeight="1" x14ac:dyDescent="0.3">
      <c r="B165" s="18"/>
      <c r="C165" s="394" t="str">
        <f>_xlfn.CONCAT(_xlfn.XLOOKUP("[AircraftNationalLaw][0][AircraftNationalLaw]",Submission!$O:$O,Submission!$H:$N,""))</f>
        <v/>
      </c>
      <c r="D165" s="394"/>
      <c r="E165" s="394"/>
      <c r="F165" s="394"/>
      <c r="G165" s="394"/>
      <c r="H165" s="394"/>
      <c r="I165" s="394"/>
    </row>
    <row r="166" spans="1:9" ht="15.9" customHeight="1" x14ac:dyDescent="0.3">
      <c r="B166" s="16"/>
      <c r="C166" s="14"/>
      <c r="D166" s="14"/>
      <c r="E166" s="14"/>
      <c r="F166" s="14"/>
      <c r="G166" s="14"/>
      <c r="H166" s="14"/>
      <c r="I166" s="14"/>
    </row>
    <row r="167" spans="1:9" ht="32.1" customHeight="1" x14ac:dyDescent="0.3">
      <c r="A167" s="12" t="s">
        <v>594</v>
      </c>
      <c r="B167" s="338" t="s">
        <v>1316</v>
      </c>
      <c r="C167" s="308"/>
      <c r="D167" s="308"/>
      <c r="E167" s="308"/>
      <c r="F167" s="308"/>
      <c r="G167" s="308"/>
      <c r="H167" s="308"/>
      <c r="I167" s="308"/>
    </row>
    <row r="168" spans="1:9" ht="15.9" customHeight="1" x14ac:dyDescent="0.3">
      <c r="A168" s="13"/>
      <c r="C168" s="466" t="s">
        <v>1317</v>
      </c>
      <c r="D168" s="466"/>
      <c r="E168" s="466"/>
      <c r="F168" s="466"/>
      <c r="G168" s="466"/>
      <c r="H168" s="466"/>
      <c r="I168" s="466"/>
    </row>
    <row r="169" spans="1:9" ht="25.5" customHeight="1" x14ac:dyDescent="0.3">
      <c r="A169" s="13"/>
      <c r="C169" s="484" t="s">
        <v>1224</v>
      </c>
      <c r="D169" s="534"/>
      <c r="E169" s="269" t="s">
        <v>1240</v>
      </c>
      <c r="F169" s="270"/>
      <c r="G169" s="271"/>
      <c r="H169" s="482" t="s">
        <v>1241</v>
      </c>
      <c r="I169" s="482" t="s">
        <v>1318</v>
      </c>
    </row>
    <row r="170" spans="1:9" ht="29.25" customHeight="1" x14ac:dyDescent="0.3">
      <c r="A170" s="13"/>
      <c r="C170" s="535"/>
      <c r="D170" s="536"/>
      <c r="E170" s="42" t="s">
        <v>1225</v>
      </c>
      <c r="F170" s="42" t="s">
        <v>1226</v>
      </c>
      <c r="G170" s="42" t="s">
        <v>1227</v>
      </c>
      <c r="H170" s="537"/>
      <c r="I170" s="537"/>
    </row>
    <row r="171" spans="1:9" ht="39.6" customHeight="1" x14ac:dyDescent="0.3">
      <c r="A171" s="13"/>
      <c r="C171" s="258" t="str">
        <f>_xlfn.CONCAT(_xlfn.XLOOKUP("[S10_AircraftPenaltiesImposed][1][InfringementType]",Submission!$O:$O,Submission!$H:$N,""))</f>
        <v/>
      </c>
      <c r="D171" s="260"/>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58" t="str">
        <f>_xlfn.CONCAT(_xlfn.XLOOKUP("[S10_AircraftPenaltiesImposed][2][InfringementType]",Submission!$O:$O,Submission!$H:$N,""))</f>
        <v/>
      </c>
      <c r="D172" s="260"/>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58" t="str">
        <f>_xlfn.CONCAT(_xlfn.XLOOKUP("[S10_AircraftPenaltiesImposed][3][InfringementType]",Submission!$O:$O,Submission!$H:$N,""))</f>
        <v/>
      </c>
      <c r="D173" s="260"/>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58" t="str">
        <f>_xlfn.CONCAT(_xlfn.XLOOKUP("[S10_AircraftPenaltiesImposed][4][InfringementType]",Submission!$O:$O,Submission!$H:$N,""))</f>
        <v/>
      </c>
      <c r="D174" s="260"/>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58" t="str">
        <f>_xlfn.CONCAT(_xlfn.XLOOKUP("[S10_AircraftPenaltiesImposed][5][InfringementType]",Submission!$O:$O,Submission!$H:$N,""))</f>
        <v/>
      </c>
      <c r="D175" s="260"/>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58" t="str">
        <f>_xlfn.CONCAT(_xlfn.XLOOKUP("[S10_AircraftPenaltiesImposed][6][InfringementType]",Submission!$O:$O,Submission!$H:$N,""))</f>
        <v/>
      </c>
      <c r="D176" s="260"/>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58" t="str">
        <f>_xlfn.CONCAT(_xlfn.XLOOKUP("[S10_AircraftPenaltiesImposed][7][InfringementType]",Submission!$O:$O,Submission!$H:$N,""))</f>
        <v/>
      </c>
      <c r="D177" s="260"/>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58" t="str">
        <f>_xlfn.CONCAT(_xlfn.XLOOKUP("[S10_AircraftPenaltiesImposed][8][InfringementType]",Submission!$O:$O,Submission!$H:$N,""))</f>
        <v/>
      </c>
      <c r="D178" s="260"/>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58" t="str">
        <f>_xlfn.CONCAT(_xlfn.XLOOKUP("[S10_AircraftPenaltiesImposed][9][InfringementType]",Submission!$O:$O,Submission!$H:$N,""))</f>
        <v/>
      </c>
      <c r="D179" s="260"/>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58" t="str">
        <f>_xlfn.CONCAT(_xlfn.XLOOKUP("[S10_AircraftPenaltiesImposed][10][InfringementType]",Submission!$O:$O,Submission!$H:$N,""))</f>
        <v/>
      </c>
      <c r="D180" s="260"/>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58" t="str">
        <f>_xlfn.CONCAT(_xlfn.XLOOKUP("[S10_AircraftPenaltiesImposed][11][InfringementType]",Submission!$O:$O,Submission!$H:$N,""))</f>
        <v/>
      </c>
      <c r="D181" s="260"/>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58" t="str">
        <f>_xlfn.CONCAT(_xlfn.XLOOKUP("[S10_AircraftPenaltiesImposed][12][InfringementType]",Submission!$O:$O,Submission!$H:$N,""))</f>
        <v/>
      </c>
      <c r="D182" s="260"/>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58" t="str">
        <f>_xlfn.CONCAT(_xlfn.XLOOKUP("[S10_AircraftPenaltiesImposed][13][InfringementType]",Submission!$O:$O,Submission!$H:$N,""))</f>
        <v/>
      </c>
      <c r="D183" s="260"/>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478" t="s">
        <v>1244</v>
      </c>
      <c r="C186" s="478"/>
      <c r="D186" s="478"/>
      <c r="E186" s="478"/>
      <c r="F186" s="478"/>
      <c r="G186" s="478"/>
      <c r="H186" s="479"/>
      <c r="I186" s="41" t="str">
        <f>_xlfn.CONCAT(_xlfn.XLOOKUP("[AircraftPriorPenaltiesEnforced][0][AircraftPriorPenaltiesEnforced]",Submission!$O:$O,Submission!$H:$N,""))</f>
        <v>No</v>
      </c>
    </row>
    <row r="187" spans="1:9" ht="16.2" customHeight="1" x14ac:dyDescent="0.3">
      <c r="B187" s="338" t="s">
        <v>1245</v>
      </c>
      <c r="C187" s="308"/>
      <c r="D187" s="308"/>
      <c r="E187" s="308"/>
      <c r="F187" s="308"/>
      <c r="G187" s="308"/>
      <c r="H187" s="308"/>
      <c r="I187" s="308"/>
    </row>
    <row r="188" spans="1:9" x14ac:dyDescent="0.3">
      <c r="C188" s="435" t="s">
        <v>1224</v>
      </c>
      <c r="D188" s="436"/>
      <c r="E188" s="437"/>
      <c r="F188" s="435" t="s">
        <v>1246</v>
      </c>
      <c r="G188" s="437"/>
      <c r="H188" s="435" t="s">
        <v>1247</v>
      </c>
      <c r="I188" s="437"/>
    </row>
    <row r="189" spans="1:9" x14ac:dyDescent="0.3">
      <c r="C189" s="544" t="str">
        <f>_xlfn.CONCAT(_xlfn.XLOOKUP("[S10_AircraftPriorPenaltiesEnforcedDetail][1][TypeInfringement]",Submission!$O:$O,Submission!$H:$N,""))</f>
        <v/>
      </c>
      <c r="D189" s="545"/>
      <c r="E189" s="546"/>
      <c r="F189" s="552" t="str">
        <f>_xlfn.CONCAT(_xlfn.XLOOKUP("[S10_AircraftPriorPenaltiesEnforcedDetail][1][TypePenalty]",Submission!$O:$O,Submission!$H:$N,""))</f>
        <v/>
      </c>
      <c r="G189" s="553"/>
      <c r="H189" s="544" t="str">
        <f>_xlfn.CONCAT(_xlfn.XLOOKUP("[S10_AircraftPriorPenaltiesEnforcedDetail][1][ReportinYear]",Submission!$O:$O,Submission!$H:$N,""))</f>
        <v/>
      </c>
      <c r="I189" s="546"/>
    </row>
    <row r="190" spans="1:9" x14ac:dyDescent="0.3">
      <c r="C190" s="544" t="str">
        <f>_xlfn.CONCAT(_xlfn.XLOOKUP("[S10_AircraftPriorPenaltiesEnforcedDetail][2][TypeInfringement]",Submission!$O:$O,Submission!$H:$N,""))</f>
        <v/>
      </c>
      <c r="D190" s="545"/>
      <c r="E190" s="546"/>
      <c r="F190" s="552" t="str">
        <f>_xlfn.CONCAT(_xlfn.XLOOKUP("[S10_AircraftPriorPenaltiesEnforcedDetail][2][TypePenalty]",Submission!$O:$O,Submission!$H:$N,""))</f>
        <v/>
      </c>
      <c r="G190" s="553"/>
      <c r="H190" s="544" t="str">
        <f>_xlfn.CONCAT(_xlfn.XLOOKUP("[S10_AircraftPriorPenaltiesEnforcedDetail][2][ReportinYear]",Submission!$O:$O,Submission!$H:$N,""))</f>
        <v/>
      </c>
      <c r="I190" s="546"/>
    </row>
    <row r="191" spans="1:9" hidden="1" outlineLevel="1" x14ac:dyDescent="0.3">
      <c r="C191" s="544" t="str">
        <f>_xlfn.CONCAT(_xlfn.XLOOKUP("[S10_AircraftPriorPenaltiesEnforcedDetail][3][TypeInfringement]",Submission!$O:$O,Submission!$H:$N,""))</f>
        <v/>
      </c>
      <c r="D191" s="545"/>
      <c r="E191" s="546"/>
      <c r="F191" s="552" t="str">
        <f>_xlfn.CONCAT(_xlfn.XLOOKUP("[S10_AircraftPriorPenaltiesEnforcedDetail][3][TypePenalty]",Submission!$O:$O,Submission!$H:$N,""))</f>
        <v/>
      </c>
      <c r="G191" s="553"/>
      <c r="H191" s="544" t="str">
        <f>_xlfn.CONCAT(_xlfn.XLOOKUP("[S10_AircraftPriorPenaltiesEnforcedDetail][3][ReportinYear]",Submission!$O:$O,Submission!$H:$N,""))</f>
        <v/>
      </c>
      <c r="I191" s="546"/>
    </row>
    <row r="192" spans="1:9" hidden="1" outlineLevel="1" x14ac:dyDescent="0.3">
      <c r="C192" s="544" t="str">
        <f>_xlfn.CONCAT(_xlfn.XLOOKUP("[S10_AircraftPriorPenaltiesEnforcedDetail][4][TypeInfringement]",Submission!$O:$O,Submission!$H:$N,""))</f>
        <v/>
      </c>
      <c r="D192" s="545"/>
      <c r="E192" s="546"/>
      <c r="F192" s="552" t="str">
        <f>_xlfn.CONCAT(_xlfn.XLOOKUP("[S10_AircraftPriorPenaltiesEnforcedDetail][4][TypePenalty]",Submission!$O:$O,Submission!$H:$N,""))</f>
        <v/>
      </c>
      <c r="G192" s="553"/>
      <c r="H192" s="544" t="str">
        <f>_xlfn.CONCAT(_xlfn.XLOOKUP("[S10_AircraftPriorPenaltiesEnforcedDetail][4][ReportinYear]",Submission!$O:$O,Submission!$H:$N,""))</f>
        <v/>
      </c>
      <c r="I192" s="546"/>
    </row>
    <row r="193" spans="1:10" hidden="1" outlineLevel="1" x14ac:dyDescent="0.3">
      <c r="C193" s="544" t="str">
        <f>_xlfn.CONCAT(_xlfn.XLOOKUP("[S10_AircraftPriorPenaltiesEnforcedDetail][5][TypeInfringement]",Submission!$O:$O,Submission!$H:$N,""))</f>
        <v/>
      </c>
      <c r="D193" s="545"/>
      <c r="E193" s="546"/>
      <c r="F193" s="552" t="str">
        <f>_xlfn.CONCAT(_xlfn.XLOOKUP("[S10_AircraftPriorPenaltiesEnforcedDetail][5][TypePenalty]",Submission!$O:$O,Submission!$H:$N,""))</f>
        <v/>
      </c>
      <c r="G193" s="553"/>
      <c r="H193" s="544" t="str">
        <f>_xlfn.CONCAT(_xlfn.XLOOKUP("[S10_AircraftPriorPenaltiesEnforcedDetail][5][ReportinYear]",Submission!$O:$O,Submission!$H:$N,""))</f>
        <v/>
      </c>
      <c r="I193" s="546"/>
    </row>
    <row r="194" spans="1:10" hidden="1" outlineLevel="1" x14ac:dyDescent="0.3">
      <c r="C194" s="544" t="str">
        <f>_xlfn.CONCAT(_xlfn.XLOOKUP("[S10_AircraftPriorPenaltiesEnforcedDetail][6][TypeInfringement]",Submission!$O:$O,Submission!$H:$N,""))</f>
        <v/>
      </c>
      <c r="D194" s="545"/>
      <c r="E194" s="546"/>
      <c r="F194" s="552" t="str">
        <f>_xlfn.CONCAT(_xlfn.XLOOKUP("[S10_AircraftPriorPenaltiesEnforcedDetail][6][TypePenalty]",Submission!$O:$O,Submission!$H:$N,""))</f>
        <v/>
      </c>
      <c r="G194" s="553"/>
      <c r="H194" s="544" t="str">
        <f>_xlfn.CONCAT(_xlfn.XLOOKUP("[S10_AircraftPriorPenaltiesEnforcedDetail][6][ReportinYear]",Submission!$O:$O,Submission!$H:$N,""))</f>
        <v/>
      </c>
      <c r="I194" s="546"/>
    </row>
    <row r="195" spans="1:10" hidden="1" outlineLevel="1" x14ac:dyDescent="0.3">
      <c r="C195" s="544" t="str">
        <f>_xlfn.CONCAT(_xlfn.XLOOKUP("[S10_AircraftPriorPenaltiesEnforcedDetail][7][TypeInfringement]",Submission!$O:$O,Submission!$H:$N,""))</f>
        <v/>
      </c>
      <c r="D195" s="545"/>
      <c r="E195" s="546"/>
      <c r="F195" s="552" t="str">
        <f>_xlfn.CONCAT(_xlfn.XLOOKUP("[S10_AircraftPriorPenaltiesEnforcedDetail][7][TypePenalty]",Submission!$O:$O,Submission!$H:$N,""))</f>
        <v/>
      </c>
      <c r="G195" s="553"/>
      <c r="H195" s="544" t="str">
        <f>_xlfn.CONCAT(_xlfn.XLOOKUP("[S10_AircraftPriorPenaltiesEnforcedDetail][7][ReportinYear]",Submission!$O:$O,Submission!$H:$N,""))</f>
        <v/>
      </c>
      <c r="I195" s="546"/>
    </row>
    <row r="196" spans="1:10" hidden="1" outlineLevel="1" x14ac:dyDescent="0.3">
      <c r="C196" s="544" t="str">
        <f>_xlfn.CONCAT(_xlfn.XLOOKUP("[S10_AircraftPriorPenaltiesEnforcedDetail][8][TypeInfringement]",Submission!$O:$O,Submission!$H:$N,""))</f>
        <v/>
      </c>
      <c r="D196" s="545"/>
      <c r="E196" s="546"/>
      <c r="F196" s="552" t="str">
        <f>_xlfn.CONCAT(_xlfn.XLOOKUP("[S10_AircraftPriorPenaltiesEnforcedDetail][8][TypePenalty]",Submission!$O:$O,Submission!$H:$N,""))</f>
        <v/>
      </c>
      <c r="G196" s="553"/>
      <c r="H196" s="544" t="str">
        <f>_xlfn.CONCAT(_xlfn.XLOOKUP("[S10_AircraftPriorPenaltiesEnforcedDetail][8][ReportinYear]",Submission!$O:$O,Submission!$H:$N,""))</f>
        <v/>
      </c>
      <c r="I196" s="546"/>
    </row>
    <row r="197" spans="1:10" collapsed="1" x14ac:dyDescent="0.3">
      <c r="B197" s="26" t="s">
        <v>1000</v>
      </c>
      <c r="C197" s="16"/>
      <c r="D197" s="19"/>
      <c r="E197" s="11"/>
      <c r="F197" s="11"/>
      <c r="G197" s="11"/>
      <c r="H197" s="11"/>
      <c r="I197" s="11"/>
    </row>
    <row r="198" spans="1:10" x14ac:dyDescent="0.3">
      <c r="C198" s="418" t="s">
        <v>1248</v>
      </c>
      <c r="D198" s="477"/>
      <c r="E198" s="477"/>
      <c r="F198" s="477"/>
      <c r="G198" s="477"/>
      <c r="H198" s="477"/>
      <c r="I198" s="477"/>
      <c r="J198" s="477"/>
    </row>
    <row r="199" spans="1:10" ht="15.9" customHeight="1" x14ac:dyDescent="0.3">
      <c r="A199" s="13"/>
      <c r="B199" s="16"/>
      <c r="C199" s="20"/>
      <c r="D199" s="20"/>
      <c r="E199" s="20"/>
      <c r="F199" s="20"/>
      <c r="G199" s="20"/>
      <c r="H199" s="20"/>
      <c r="I199" s="20"/>
    </row>
    <row r="200" spans="1:10" ht="32.1" customHeight="1" x14ac:dyDescent="0.3">
      <c r="A200" s="12" t="s">
        <v>598</v>
      </c>
      <c r="B200" s="338" t="s">
        <v>1319</v>
      </c>
      <c r="C200" s="338"/>
      <c r="D200" s="338"/>
      <c r="E200" s="338"/>
      <c r="F200" s="338"/>
      <c r="G200" s="338"/>
      <c r="H200" s="338"/>
      <c r="I200" s="338"/>
    </row>
    <row r="201" spans="1:10" ht="15.9" customHeight="1" x14ac:dyDescent="0.3">
      <c r="A201" s="12"/>
      <c r="B201" s="22"/>
      <c r="C201" s="314" t="s">
        <v>1082</v>
      </c>
      <c r="D201" s="333"/>
      <c r="E201" s="334"/>
      <c r="F201" s="314" t="s">
        <v>1320</v>
      </c>
      <c r="G201" s="333"/>
      <c r="H201" s="333"/>
      <c r="I201" s="334"/>
    </row>
    <row r="202" spans="1:10" ht="15.9" customHeight="1" x14ac:dyDescent="0.3">
      <c r="A202" s="12"/>
      <c r="B202" s="23"/>
      <c r="C202" s="541" t="str">
        <f>_xlfn.CONCAT(_xlfn.XLOOKUP("[S10_AircraftPenalties][1][AircraftID]",Submission!$O:$O,Submission!$H:$N,""))</f>
        <v/>
      </c>
      <c r="D202" s="542"/>
      <c r="E202" s="543"/>
      <c r="F202" s="541" t="str">
        <f>_xlfn.CONCAT(_xlfn.XLOOKUP("[S10_AircraftPenalties][1][OperatorName]",Submission!$O:$O,Submission!$H:$N,""))</f>
        <v/>
      </c>
      <c r="G202" s="542"/>
      <c r="H202" s="542"/>
      <c r="I202" s="543"/>
    </row>
    <row r="203" spans="1:10" ht="15.9" customHeight="1" x14ac:dyDescent="0.3">
      <c r="A203" s="12"/>
      <c r="B203" s="23"/>
      <c r="C203" s="541" t="str">
        <f>_xlfn.CONCAT(_xlfn.XLOOKUP("[S10_AircraftPenalties][2][AircraftID]",Submission!$O:$O,Submission!$H:$N,""))</f>
        <v/>
      </c>
      <c r="D203" s="542"/>
      <c r="E203" s="543"/>
      <c r="F203" s="541" t="str">
        <f>_xlfn.CONCAT(_xlfn.XLOOKUP("[S10_AircraftPenalties][2][OperatorName]",Submission!$O:$O,Submission!$H:$N,""))</f>
        <v/>
      </c>
      <c r="G203" s="542"/>
      <c r="H203" s="542"/>
      <c r="I203" s="543"/>
    </row>
    <row r="204" spans="1:10" ht="15.9" hidden="1" customHeight="1" outlineLevel="1" x14ac:dyDescent="0.3">
      <c r="A204" s="12"/>
      <c r="B204" s="23"/>
      <c r="C204" s="541" t="str">
        <f>_xlfn.CONCAT(_xlfn.XLOOKUP("[S10_AircraftPenalties][3][AircraftID]",Submission!$O:$O,Submission!$H:$N,""))</f>
        <v/>
      </c>
      <c r="D204" s="542"/>
      <c r="E204" s="543"/>
      <c r="F204" s="541" t="str">
        <f>_xlfn.CONCAT(_xlfn.XLOOKUP("[S10_AircraftPenalties][3][OperatorName]",Submission!$O:$O,Submission!$H:$N,""))</f>
        <v/>
      </c>
      <c r="G204" s="542"/>
      <c r="H204" s="542"/>
      <c r="I204" s="543"/>
    </row>
    <row r="205" spans="1:10" ht="15.9" hidden="1" customHeight="1" outlineLevel="1" x14ac:dyDescent="0.3">
      <c r="A205" s="12"/>
      <c r="B205" s="23"/>
      <c r="C205" s="541" t="str">
        <f>_xlfn.CONCAT(_xlfn.XLOOKUP("[S10_AircraftPenalties][4][AircraftID]",Submission!$O:$O,Submission!$H:$N,""))</f>
        <v/>
      </c>
      <c r="D205" s="542"/>
      <c r="E205" s="543"/>
      <c r="F205" s="541" t="str">
        <f>_xlfn.CONCAT(_xlfn.XLOOKUP("[S10_AircraftPenalties][4][OperatorName]",Submission!$O:$O,Submission!$H:$N,""))</f>
        <v/>
      </c>
      <c r="G205" s="542"/>
      <c r="H205" s="542"/>
      <c r="I205" s="543"/>
    </row>
    <row r="206" spans="1:10" ht="15.9" hidden="1" customHeight="1" outlineLevel="1" x14ac:dyDescent="0.3">
      <c r="A206" s="12"/>
      <c r="B206" s="23"/>
      <c r="C206" s="541" t="str">
        <f>_xlfn.CONCAT(_xlfn.XLOOKUP("[S10_AircraftPenalties][5][AircraftID]",Submission!$O:$O,Submission!$H:$N,""))</f>
        <v/>
      </c>
      <c r="D206" s="542"/>
      <c r="E206" s="543"/>
      <c r="F206" s="541" t="str">
        <f>_xlfn.CONCAT(_xlfn.XLOOKUP("[S10_AircraftPenalties][5][OperatorName]",Submission!$O:$O,Submission!$H:$N,""))</f>
        <v/>
      </c>
      <c r="G206" s="542"/>
      <c r="H206" s="542"/>
      <c r="I206" s="543"/>
    </row>
    <row r="207" spans="1:10" ht="15.9" hidden="1" customHeight="1" outlineLevel="1" x14ac:dyDescent="0.3">
      <c r="A207" s="12"/>
      <c r="B207" s="23"/>
      <c r="C207" s="541" t="str">
        <f>_xlfn.CONCAT(_xlfn.XLOOKUP("[S10_AircraftPenalties][6][AircraftID]",Submission!$O:$O,Submission!$H:$N,""))</f>
        <v/>
      </c>
      <c r="D207" s="542"/>
      <c r="E207" s="543"/>
      <c r="F207" s="541" t="str">
        <f>_xlfn.CONCAT(_xlfn.XLOOKUP("[S10_AircraftPenalties][6][OperatorName]",Submission!$O:$O,Submission!$H:$N,""))</f>
        <v/>
      </c>
      <c r="G207" s="542"/>
      <c r="H207" s="542"/>
      <c r="I207" s="543"/>
    </row>
    <row r="208" spans="1:10" ht="15.9" hidden="1" customHeight="1" outlineLevel="1" x14ac:dyDescent="0.3">
      <c r="A208" s="12"/>
      <c r="B208" s="23"/>
      <c r="C208" s="541" t="str">
        <f>_xlfn.CONCAT(_xlfn.XLOOKUP("[S10_AircraftPenalties][7][AircraftID]",Submission!$O:$O,Submission!$H:$N,""))</f>
        <v/>
      </c>
      <c r="D208" s="542"/>
      <c r="E208" s="543"/>
      <c r="F208" s="541" t="str">
        <f>_xlfn.CONCAT(_xlfn.XLOOKUP("[S10_AircraftPenalties][7][OperatorName]",Submission!$O:$O,Submission!$H:$N,""))</f>
        <v/>
      </c>
      <c r="G208" s="542"/>
      <c r="H208" s="542"/>
      <c r="I208" s="543"/>
    </row>
    <row r="209" spans="1:9" ht="15.9" hidden="1" customHeight="1" outlineLevel="1" x14ac:dyDescent="0.3">
      <c r="A209" s="12"/>
      <c r="B209" s="23"/>
      <c r="C209" s="541" t="str">
        <f>_xlfn.CONCAT(_xlfn.XLOOKUP("[S10_AircraftPenalties][8][AircraftID]",Submission!$O:$O,Submission!$H:$N,""))</f>
        <v/>
      </c>
      <c r="D209" s="542"/>
      <c r="E209" s="543"/>
      <c r="F209" s="541" t="str">
        <f>_xlfn.CONCAT(_xlfn.XLOOKUP("[S10_AircraftPenalties][8][OperatorName]",Submission!$O:$O,Submission!$H:$N,""))</f>
        <v/>
      </c>
      <c r="G209" s="542"/>
      <c r="H209" s="542"/>
      <c r="I209" s="543"/>
    </row>
    <row r="210" spans="1:9" ht="15.9" hidden="1" customHeight="1" outlineLevel="1" x14ac:dyDescent="0.3">
      <c r="A210" s="12"/>
      <c r="B210" s="23"/>
      <c r="C210" s="541" t="str">
        <f>_xlfn.CONCAT(_xlfn.XLOOKUP("[S10_AircraftPenalties][9][AircraftID]",Submission!$O:$O,Submission!$H:$N,""))</f>
        <v/>
      </c>
      <c r="D210" s="542"/>
      <c r="E210" s="543"/>
      <c r="F210" s="541" t="str">
        <f>_xlfn.CONCAT(_xlfn.XLOOKUP("[S10_AircraftPenalties][9][OperatorName]",Submission!$O:$O,Submission!$H:$N,""))</f>
        <v/>
      </c>
      <c r="G210" s="542"/>
      <c r="H210" s="542"/>
      <c r="I210" s="543"/>
    </row>
    <row r="211" spans="1:9" ht="15.9" hidden="1" customHeight="1" outlineLevel="1" x14ac:dyDescent="0.3">
      <c r="A211" s="12"/>
      <c r="B211" s="23"/>
      <c r="C211" s="541" t="str">
        <f>_xlfn.CONCAT(_xlfn.XLOOKUP("[S10_AircraftPenalties][10][AircraftID]",Submission!$O:$O,Submission!$H:$N,""))</f>
        <v/>
      </c>
      <c r="D211" s="542"/>
      <c r="E211" s="543"/>
      <c r="F211" s="541" t="str">
        <f>_xlfn.CONCAT(_xlfn.XLOOKUP("[S10_AircraftPenalties][10][OperatorName]",Submission!$O:$O,Submission!$H:$N,""))</f>
        <v/>
      </c>
      <c r="G211" s="542"/>
      <c r="H211" s="542"/>
      <c r="I211" s="543"/>
    </row>
    <row r="212" spans="1:9" ht="15.9" hidden="1" customHeight="1" outlineLevel="1" x14ac:dyDescent="0.3">
      <c r="A212" s="12"/>
      <c r="B212" s="23"/>
      <c r="C212" s="541" t="str">
        <f>_xlfn.CONCAT(_xlfn.XLOOKUP("[S10_AircraftPenalties][11][AircraftID]",Submission!$O:$O,Submission!$H:$N,""))</f>
        <v/>
      </c>
      <c r="D212" s="542"/>
      <c r="E212" s="543"/>
      <c r="F212" s="541" t="str">
        <f>_xlfn.CONCAT(_xlfn.XLOOKUP("[S10_AircraftPenalties][11][OperatorName]",Submission!$O:$O,Submission!$H:$N,""))</f>
        <v/>
      </c>
      <c r="G212" s="542"/>
      <c r="H212" s="542"/>
      <c r="I212" s="543"/>
    </row>
    <row r="213" spans="1:9" ht="15.9" hidden="1" customHeight="1" outlineLevel="1" x14ac:dyDescent="0.3">
      <c r="A213" s="12"/>
      <c r="B213" s="23"/>
      <c r="C213" s="541" t="str">
        <f>_xlfn.CONCAT(_xlfn.XLOOKUP("[S10_AircraftPenalties][12][AircraftID]",Submission!$O:$O,Submission!$H:$N,""))</f>
        <v/>
      </c>
      <c r="D213" s="542"/>
      <c r="E213" s="543"/>
      <c r="F213" s="541" t="str">
        <f>_xlfn.CONCAT(_xlfn.XLOOKUP("[S10_AircraftPenalties][12][OperatorName]",Submission!$O:$O,Submission!$H:$N,""))</f>
        <v/>
      </c>
      <c r="G213" s="542"/>
      <c r="H213" s="542"/>
      <c r="I213" s="543"/>
    </row>
    <row r="214" spans="1:9" ht="15.9" customHeight="1" collapsed="1" x14ac:dyDescent="0.3">
      <c r="A214" s="13"/>
      <c r="B214" s="26" t="s">
        <v>1000</v>
      </c>
      <c r="C214" s="19"/>
    </row>
    <row r="215" spans="1:9" ht="15.9" customHeight="1" x14ac:dyDescent="0.3">
      <c r="A215" s="13"/>
      <c r="B215" s="16"/>
      <c r="C215" s="279" t="s">
        <v>1087</v>
      </c>
      <c r="D215" s="280"/>
      <c r="E215" s="280"/>
      <c r="F215" s="280"/>
      <c r="G215" s="280"/>
      <c r="H215" s="280"/>
      <c r="I215" s="280"/>
    </row>
    <row r="216" spans="1:9" ht="15.9" customHeight="1" x14ac:dyDescent="0.3">
      <c r="A216" s="13"/>
      <c r="B216" s="16"/>
      <c r="C216" s="20"/>
      <c r="D216" s="24"/>
      <c r="E216" s="24"/>
      <c r="F216" s="24"/>
      <c r="G216" s="24"/>
      <c r="H216" s="24"/>
      <c r="I216" s="24"/>
    </row>
    <row r="217" spans="1:9" ht="15.9" customHeight="1" x14ac:dyDescent="0.25">
      <c r="A217" s="12" t="s">
        <v>602</v>
      </c>
      <c r="B217" s="392" t="s">
        <v>1321</v>
      </c>
      <c r="C217" s="393"/>
      <c r="D217" s="393"/>
      <c r="E217" s="393"/>
      <c r="F217" s="393"/>
      <c r="G217" s="393"/>
      <c r="H217" s="393"/>
      <c r="I217" s="393"/>
    </row>
    <row r="218" spans="1:9" ht="32.1" customHeight="1" x14ac:dyDescent="0.3">
      <c r="A218" s="13"/>
      <c r="B218" s="338" t="s">
        <v>1322</v>
      </c>
      <c r="C218" s="308"/>
      <c r="D218" s="308"/>
      <c r="E218" s="308"/>
      <c r="F218" s="308"/>
      <c r="G218" s="308"/>
      <c r="H218" s="308"/>
      <c r="I218" s="308"/>
    </row>
    <row r="219" spans="1:9" ht="31.95" customHeight="1" x14ac:dyDescent="0.3">
      <c r="C219" s="554" t="str">
        <f>_xlfn.CONCAT(_xlfn.XLOOKUP("[OperatingBanRequestMeasures][0][OperatingBanRequestMeasures]",Submission!$O:$O,Submission!$H:$N,""))</f>
        <v/>
      </c>
      <c r="D219" s="555"/>
      <c r="E219" s="555"/>
      <c r="F219" s="555"/>
      <c r="G219" s="555"/>
      <c r="H219" s="555"/>
      <c r="I219" s="556"/>
    </row>
  </sheetData>
  <mergeCells count="263">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83" t="s">
        <v>1323</v>
      </c>
      <c r="C4" s="284"/>
      <c r="D4" s="284"/>
      <c r="E4" s="284"/>
      <c r="F4" s="284"/>
      <c r="G4" s="284"/>
      <c r="H4" s="284"/>
      <c r="I4" s="284"/>
    </row>
    <row r="5" spans="1:11" ht="15.9" customHeight="1" x14ac:dyDescent="0.3">
      <c r="A5" s="12" t="s">
        <v>608</v>
      </c>
      <c r="B5" s="338" t="s">
        <v>1324</v>
      </c>
      <c r="C5" s="308"/>
      <c r="D5" s="308"/>
      <c r="E5" s="308"/>
      <c r="F5" s="308"/>
      <c r="G5" s="308"/>
      <c r="H5" s="308"/>
      <c r="I5" s="308"/>
    </row>
    <row r="6" spans="1:11" ht="48" customHeight="1" x14ac:dyDescent="0.3">
      <c r="C6" s="258" t="str">
        <f>_xlfn.CONCAT(_xlfn.XLOOKUP("[LegalNatureOfEmissionAllowance][0][LegalNatureOfEmissionAllowance]",Submission!$O:$O,Submission!$H:$N,""))</f>
        <v>Latvijas tiesību sistēmā emisijas kvotas var uzskatīt par īpašumtiesību objektu. Emisijas kvota Latvijas tiesību sistēmā šobrīd nav uzskatāma par finanšu instrumentu.</v>
      </c>
      <c r="D6" s="369"/>
      <c r="E6" s="369"/>
      <c r="F6" s="369"/>
      <c r="G6" s="369"/>
      <c r="H6" s="369"/>
      <c r="I6" s="259"/>
    </row>
    <row r="7" spans="1:11" ht="22.2" customHeight="1" x14ac:dyDescent="0.3">
      <c r="D7" s="11"/>
    </row>
    <row r="8" spans="1:11" ht="15.9" customHeight="1" x14ac:dyDescent="0.3">
      <c r="A8" s="12" t="s">
        <v>613</v>
      </c>
      <c r="B8" s="338" t="s">
        <v>1325</v>
      </c>
      <c r="C8" s="308"/>
      <c r="D8" s="308"/>
      <c r="E8" s="308"/>
      <c r="F8" s="308"/>
      <c r="G8" s="308"/>
      <c r="H8" s="308"/>
      <c r="I8" s="308"/>
    </row>
    <row r="9" spans="1:11" ht="48" customHeight="1" x14ac:dyDescent="0.3">
      <c r="C9" s="258" t="str">
        <f>_xlfn.CONCAT(_xlfn.XLOOKUP("[AccountingTreatmentOfEmissionAllowances][0][AccountingTreatmentOfEmissionAllowances]",Submission!$O:$O,Submission!$H:$N,""))</f>
        <v xml:space="preserve">Grāmatvedības reglamentējošie normatīvie akti neparedz īpašus noteikumus attiecībā uz emisijas kvotu vai ar emisijas kvotām veikto darbību uzskaiti finanšu grāmatvedībā. Līdz ar to, veicot emisijas kvotu uzskaiti, jāievēro vispārējo grāmatvedības un gada pārskatu sagatavošanas reglamentējošo normatīvo aktu prasības. Ievērojot to, ka grāmatvedību reglamentējošajos normatīvajos aktos emisijas kvotu vai ar emisijas kvotām veikto darbību uzskaite nav aplūkota, uzņēmumi var izstrādāt savu grāmatvedības politiku emisijas kvotu un ar tām veikto darbību uzskaitei. Izvērtējot šādu darījumu ekonomisko būtību, ja Eiropas Savienības emisijas kvotu tirdzniecības sistēmā iesaistīts uzņēmums emisijas kvotas saņem bez maksas un likumā „Par piesārņojumu” noteiktā kārtībā tās nodod VSIA „Latvijas Vides, ģeoloģijas un meteoroloģijas centrs” vai arī tās tiek anulētas tādēļ, ka šīm bez maksas saņemtajām emisijas kvotām beidzies derīguma termiņš un tās nav nodotas atbilstoši likuma „Par piesārņojumu” nosacījumiem, tad šādas kvotas uzņēmums var uzskaitīt tikai natūrā. Savukārt, ja uzņēmums ar emisijas kvotām ir veicis tādas darbības, no kurām radušies aktīvi, saistības, ieņēmumi vai izdevumi, tad, pamatojoties uz attaisnojuma dokumentos norādīto konkrētā saimnieciskā darījuma novērtējumu naudā un tā ekonomisko saturu un būtību, šā uzņēmuma grāmatvedības reģistros jāizdara attiecīgus iegrāmatojumus naudas izteiksmē. </v>
      </c>
      <c r="D9" s="353"/>
      <c r="E9" s="353"/>
      <c r="F9" s="353"/>
      <c r="G9" s="353"/>
      <c r="H9" s="353"/>
      <c r="I9" s="260"/>
    </row>
    <row r="10" spans="1:11" ht="24.6" customHeight="1" x14ac:dyDescent="0.3">
      <c r="D10" s="11"/>
    </row>
    <row r="11" spans="1:11" ht="18" customHeight="1" x14ac:dyDescent="0.3">
      <c r="A11" s="12" t="s">
        <v>616</v>
      </c>
      <c r="B11" s="338" t="s">
        <v>1326</v>
      </c>
      <c r="C11" s="308"/>
      <c r="D11" s="308"/>
      <c r="E11" s="308"/>
      <c r="F11" s="308"/>
      <c r="G11" s="308"/>
      <c r="H11" s="345"/>
      <c r="I11" s="41" t="str">
        <f>_xlfn.CONCAT(_xlfn.XLOOKUP("[VATdueEmissionAllowancesIssuance][0][VATdueEmissionAllowancesIssuance]",Submission!$O:$O,Submission!$H:$N,""))</f>
        <v>Yes</v>
      </c>
    </row>
    <row r="12" spans="1:11" ht="7.5" customHeight="1" x14ac:dyDescent="0.3">
      <c r="A12" s="12"/>
      <c r="B12" s="18"/>
      <c r="C12" s="31"/>
      <c r="D12" s="31"/>
      <c r="E12" s="31"/>
      <c r="F12" s="31"/>
      <c r="G12" s="31"/>
      <c r="H12" s="31"/>
      <c r="I12" s="31"/>
      <c r="J12" s="31"/>
      <c r="K12" s="31"/>
    </row>
    <row r="13" spans="1:11" ht="18" customHeight="1" x14ac:dyDescent="0.3">
      <c r="A13" s="12"/>
      <c r="B13" s="338" t="s">
        <v>1327</v>
      </c>
      <c r="C13" s="308"/>
      <c r="D13" s="308"/>
      <c r="E13" s="308"/>
      <c r="F13" s="308"/>
      <c r="G13" s="308"/>
      <c r="H13" s="345"/>
      <c r="I13" s="41" t="str">
        <f>_xlfn.CONCAT(_xlfn.XLOOKUP("[ReverseChargeMechanismEmissionAllowances][0][ReverseChargeMechanismEmissionAllowances]",Submission!$O:$O,Submission!$H:$N,""))</f>
        <v>No</v>
      </c>
    </row>
    <row r="14" spans="1:11" ht="31.2" customHeight="1" x14ac:dyDescent="0.3"/>
    <row r="15" spans="1:11" ht="18" customHeight="1" x14ac:dyDescent="0.3">
      <c r="A15" s="12" t="s">
        <v>620</v>
      </c>
      <c r="B15" s="338" t="s">
        <v>1328</v>
      </c>
      <c r="C15" s="308"/>
      <c r="D15" s="308"/>
      <c r="E15" s="308"/>
      <c r="F15" s="308"/>
      <c r="G15" s="308"/>
      <c r="H15" s="345"/>
      <c r="I15" s="41" t="str">
        <f>_xlfn.CONCAT(_xlfn.XLOOKUP("[EmissionAllowancesTaxed][0][EmissionAllowancesTaxed]",Submission!$O:$O,Submission!$H:$N,""))</f>
        <v>No</v>
      </c>
    </row>
    <row r="16" spans="1:11" ht="18" customHeight="1" x14ac:dyDescent="0.3">
      <c r="A16" s="13"/>
      <c r="B16" s="338" t="s">
        <v>1329</v>
      </c>
      <c r="C16" s="308"/>
      <c r="D16" s="308"/>
      <c r="E16" s="308"/>
      <c r="F16" s="308"/>
      <c r="G16" s="308"/>
      <c r="H16" s="308"/>
      <c r="I16" s="308"/>
    </row>
    <row r="17" spans="2:9" ht="15.9" customHeight="1" x14ac:dyDescent="0.3">
      <c r="C17" s="317" t="s">
        <v>1330</v>
      </c>
      <c r="D17" s="370"/>
      <c r="E17" s="370"/>
      <c r="F17" s="318"/>
      <c r="G17" s="317" t="s">
        <v>1331</v>
      </c>
      <c r="H17" s="370"/>
      <c r="I17" s="318"/>
    </row>
    <row r="18" spans="2:9" ht="15.9" customHeight="1" x14ac:dyDescent="0.3">
      <c r="C18" s="258" t="str">
        <f>_xlfn.CONCAT(_xlfn.XLOOKUP("[S11_TypeOfTaxRatesApplied][1][TypeOfTax]",Submission!$O:$O,Submission!$H:$N,""))</f>
        <v/>
      </c>
      <c r="D18" s="353"/>
      <c r="E18" s="353"/>
      <c r="F18" s="260"/>
      <c r="G18" s="258" t="str">
        <f>_xlfn.CONCAT(_xlfn.XLOOKUP("[S11_TypeOfTaxRatesApplied][1][TaxRateApplied]",Submission!$O:$O,Submission!$H:$N,""))</f>
        <v/>
      </c>
      <c r="H18" s="353"/>
      <c r="I18" s="260"/>
    </row>
    <row r="19" spans="2:9" ht="15.9" customHeight="1" x14ac:dyDescent="0.3">
      <c r="C19" s="258" t="str">
        <f>_xlfn.CONCAT(_xlfn.XLOOKUP("[S11_TypeOfTaxRatesApplied][2][TypeOfTax]",Submission!$O:$O,Submission!$H:$N,""))</f>
        <v/>
      </c>
      <c r="D19" s="353"/>
      <c r="E19" s="353"/>
      <c r="F19" s="260"/>
      <c r="G19" s="258" t="str">
        <f>_xlfn.CONCAT(_xlfn.XLOOKUP("[S11_TypeOfTaxRatesApplied][2][TaxRateApplied]",Submission!$O:$O,Submission!$H:$N,""))</f>
        <v/>
      </c>
      <c r="H19" s="353"/>
      <c r="I19" s="260"/>
    </row>
    <row r="20" spans="2:9" ht="15.9" hidden="1" customHeight="1" outlineLevel="1" x14ac:dyDescent="0.3">
      <c r="C20" s="258" t="str">
        <f>_xlfn.CONCAT(_xlfn.XLOOKUP("[S11_TypeOfTaxRatesApplied][3][TypeOfTax]",Submission!$O:$O,Submission!$H:$N,""))</f>
        <v/>
      </c>
      <c r="D20" s="353"/>
      <c r="E20" s="353"/>
      <c r="F20" s="260"/>
      <c r="G20" s="258" t="str">
        <f>_xlfn.CONCAT(_xlfn.XLOOKUP("[S11_TypeOfTaxRatesApplied][3][TaxRateApplied]",Submission!$O:$O,Submission!$H:$N,""))</f>
        <v/>
      </c>
      <c r="H20" s="353"/>
      <c r="I20" s="260"/>
    </row>
    <row r="21" spans="2:9" ht="15.9" hidden="1" customHeight="1" outlineLevel="1" x14ac:dyDescent="0.3">
      <c r="C21" s="258" t="str">
        <f>_xlfn.CONCAT(_xlfn.XLOOKUP("[S11_TypeOfTaxRatesApplied][4][TypeOfTax]",Submission!$O:$O,Submission!$H:$N,""))</f>
        <v/>
      </c>
      <c r="D21" s="353"/>
      <c r="E21" s="353"/>
      <c r="F21" s="260"/>
      <c r="G21" s="258" t="str">
        <f>_xlfn.CONCAT(_xlfn.XLOOKUP("[S11_TypeOfTaxRatesApplied][4][TaxRateApplied]",Submission!$O:$O,Submission!$H:$N,""))</f>
        <v/>
      </c>
      <c r="H21" s="353"/>
      <c r="I21" s="260"/>
    </row>
    <row r="22" spans="2:9" ht="15.9" hidden="1" customHeight="1" outlineLevel="1" x14ac:dyDescent="0.3">
      <c r="C22" s="258" t="str">
        <f>_xlfn.CONCAT(_xlfn.XLOOKUP("[S11_TypeOfTaxRatesApplied][5][TypeOfTax]",Submission!$O:$O,Submission!$H:$N,""))</f>
        <v/>
      </c>
      <c r="D22" s="353"/>
      <c r="E22" s="353"/>
      <c r="F22" s="260"/>
      <c r="G22" s="258" t="str">
        <f>_xlfn.CONCAT(_xlfn.XLOOKUP("[S11_TypeOfTaxRatesApplied][5][TaxRateApplied]",Submission!$O:$O,Submission!$H:$N,""))</f>
        <v/>
      </c>
      <c r="H22" s="353"/>
      <c r="I22" s="260"/>
    </row>
    <row r="23" spans="2:9" ht="15.9" hidden="1" customHeight="1" outlineLevel="1" x14ac:dyDescent="0.3">
      <c r="C23" s="258" t="str">
        <f>_xlfn.CONCAT(_xlfn.XLOOKUP("[S11_TypeOfTaxRatesApplied][6][TypeOfTax]",Submission!$O:$O,Submission!$H:$N,""))</f>
        <v/>
      </c>
      <c r="D23" s="353"/>
      <c r="E23" s="353"/>
      <c r="F23" s="260"/>
      <c r="G23" s="258" t="str">
        <f>_xlfn.CONCAT(_xlfn.XLOOKUP("[S11_TypeOfTaxRatesApplied][6][TaxRateApplied]",Submission!$O:$O,Submission!$H:$N,""))</f>
        <v/>
      </c>
      <c r="H23" s="353"/>
      <c r="I23" s="260"/>
    </row>
    <row r="24" spans="2:9" collapsed="1" x14ac:dyDescent="0.3">
      <c r="B24" s="26" t="s">
        <v>1000</v>
      </c>
    </row>
  </sheetData>
  <mergeCells count="25">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 ref="B3:I3"/>
    <mergeCell ref="B4:I4"/>
    <mergeCell ref="B5:I5"/>
    <mergeCell ref="C6:I6"/>
    <mergeCell ref="C20:F20"/>
    <mergeCell ref="G20:I20"/>
    <mergeCell ref="G18:I18"/>
    <mergeCell ref="C19:F19"/>
    <mergeCell ref="G19:I19"/>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09" t="s">
        <v>624</v>
      </c>
      <c r="C3" s="309"/>
      <c r="D3" s="309"/>
      <c r="E3" s="309"/>
      <c r="F3" s="309"/>
      <c r="G3" s="309"/>
      <c r="H3" s="309"/>
      <c r="I3" s="309"/>
    </row>
    <row r="4" spans="1:9" ht="15.9" customHeight="1" x14ac:dyDescent="0.3">
      <c r="A4" s="12" t="s">
        <v>625</v>
      </c>
      <c r="B4" s="283" t="s">
        <v>1332</v>
      </c>
      <c r="C4" s="284"/>
      <c r="D4" s="284"/>
      <c r="E4" s="284"/>
      <c r="F4" s="284"/>
      <c r="G4" s="284"/>
      <c r="H4" s="284"/>
      <c r="I4" s="284"/>
    </row>
    <row r="5" spans="1:9" ht="18.600000000000001" customHeight="1" x14ac:dyDescent="0.3">
      <c r="B5" s="338" t="s">
        <v>1333</v>
      </c>
      <c r="C5" s="308"/>
      <c r="D5" s="308"/>
      <c r="E5" s="308"/>
      <c r="F5" s="308"/>
      <c r="G5" s="308"/>
      <c r="H5" s="308"/>
      <c r="I5" s="308"/>
    </row>
    <row r="6" spans="1:9" ht="15.9" customHeight="1" x14ac:dyDescent="0.3">
      <c r="C6" s="314" t="s">
        <v>1334</v>
      </c>
      <c r="D6" s="315"/>
      <c r="E6" s="315"/>
      <c r="F6" s="316"/>
      <c r="G6" s="314" t="s">
        <v>1335</v>
      </c>
      <c r="H6" s="315"/>
      <c r="I6" s="316"/>
    </row>
    <row r="7" spans="1:9" ht="45" customHeight="1" x14ac:dyDescent="0.3">
      <c r="C7" s="249" t="s">
        <v>1336</v>
      </c>
      <c r="D7" s="257"/>
      <c r="E7" s="257"/>
      <c r="F7" s="250"/>
      <c r="G7" s="258" t="str">
        <f>_xlfn.CONCAT(_xlfn.XLOOKUP("[S12_FraudFreeAllocationOfAllowances][1][DetailsOfProceduresInNationalLaw]",Submission!$O:$O,Submission!$H:$N,""))</f>
        <v>Latvijas normatīvajos aktos (Ministru kabineta noteikumi) ir noteikts, ka operators, gaisa kuģu operators un sabiedrība var sniegt valsts administratoram informāciju / iesniegumu par aizdomīgiem darījumiem ar emisijas kvotām</v>
      </c>
      <c r="H7" s="353"/>
      <c r="I7" s="260"/>
    </row>
    <row r="8" spans="1:9" ht="45" customHeight="1" x14ac:dyDescent="0.3">
      <c r="C8" s="249" t="s">
        <v>1337</v>
      </c>
      <c r="D8" s="257"/>
      <c r="E8" s="257"/>
      <c r="F8" s="250"/>
      <c r="G8" s="258" t="str">
        <f>_xlfn.CONCAT(_xlfn.XLOOKUP("[S12_FraudFreeAllocationOfAllowances][2][DetailsOfProceduresInNationalLaw]",Submission!$O:$O,Submission!$H:$N,""))</f>
        <v>Latvijas Krimināllikumā ir noteiktas procedūras, kā tiek izmeklēti noziedzīgie nodarījumi.</v>
      </c>
      <c r="H8" s="353"/>
      <c r="I8" s="260"/>
    </row>
    <row r="9" spans="1:9" ht="45" customHeight="1" x14ac:dyDescent="0.3">
      <c r="C9" s="249" t="s">
        <v>1338</v>
      </c>
      <c r="D9" s="257"/>
      <c r="E9" s="257"/>
      <c r="F9" s="250"/>
      <c r="G9" s="258" t="str">
        <f>_xlfn.CONCAT(_xlfn.XLOOKUP("[S12_FraudFreeAllocationOfAllowances][3][DetailsOfProceduresInNationalLaw]",Submission!$O:$O,Submission!$H:$N,""))</f>
        <v>Valsts administrators pēc attiecīgās informācijas saņemšanas var sazināties ar attiecīgajām tiesībaizsardzības iestādēm vai kontroles dienestiem ar iesniegumu izmeklēt iesniegumā minētās aizdomas</v>
      </c>
      <c r="H9" s="353"/>
      <c r="I9" s="260"/>
    </row>
    <row r="10" spans="1:9" ht="45" customHeight="1" x14ac:dyDescent="0.3">
      <c r="C10" s="249" t="s">
        <v>1339</v>
      </c>
      <c r="D10" s="257"/>
      <c r="E10" s="257"/>
      <c r="F10" s="250"/>
      <c r="G10" s="258" t="str">
        <f>_xlfn.CONCAT(_xlfn.XLOOKUP("[S12_FraudFreeAllocationOfAllowances][4][DetailsOfProceduresInNationalLaw]",Submission!$O:$O,Submission!$H:$N,""))</f>
        <v>yes</v>
      </c>
      <c r="H10" s="353"/>
      <c r="I10" s="260"/>
    </row>
    <row r="11" spans="1:9" ht="45" customHeight="1" x14ac:dyDescent="0.3">
      <c r="C11" s="249" t="s">
        <v>1340</v>
      </c>
      <c r="D11" s="257"/>
      <c r="E11" s="257"/>
      <c r="F11" s="250"/>
      <c r="G11" s="258" t="str">
        <f>_xlfn.CONCAT(_xlfn.XLOOKUP("[S12_FraudFreeAllocationOfAllowances][5][DetailsOfProceduresInNationalLaw]",Submission!$O:$O,Submission!$H:$N,""))</f>
        <v>yes</v>
      </c>
      <c r="H11" s="353"/>
      <c r="I11" s="260"/>
    </row>
    <row r="12" spans="1:9" ht="45" customHeight="1" x14ac:dyDescent="0.3">
      <c r="C12" s="249" t="s">
        <v>1341</v>
      </c>
      <c r="D12" s="257"/>
      <c r="E12" s="257"/>
      <c r="F12" s="250"/>
      <c r="G12" s="258" t="str">
        <f>_xlfn.CONCAT(_xlfn.XLOOKUP("[S12_FraudFreeAllocationOfAllowances][6][DetailsOfProceduresInNationalLaw]",Submission!$O:$O,Submission!$H:$N,""))</f>
        <v>Latvijas Krimināllikumā ir noteikti soda naudas un cietumsodi atkarībā no noziedzīgā nodarījuma nopietnības pakāpes.</v>
      </c>
      <c r="H12" s="353"/>
      <c r="I12" s="260"/>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338" t="s">
        <v>1343</v>
      </c>
      <c r="C15" s="308"/>
      <c r="D15" s="308"/>
      <c r="E15" s="308"/>
      <c r="F15" s="308"/>
      <c r="G15" s="308"/>
      <c r="H15" s="308"/>
      <c r="I15" s="308"/>
    </row>
    <row r="16" spans="1:9" ht="15.9" customHeight="1" x14ac:dyDescent="0.3">
      <c r="C16" s="314" t="s">
        <v>1344</v>
      </c>
      <c r="D16" s="315"/>
      <c r="E16" s="315"/>
      <c r="F16" s="316"/>
      <c r="G16" s="314" t="s">
        <v>1345</v>
      </c>
      <c r="H16" s="315"/>
      <c r="I16" s="316"/>
    </row>
    <row r="17" spans="1:9" ht="42.6" customHeight="1" x14ac:dyDescent="0.3">
      <c r="C17" s="249" t="s">
        <v>1346</v>
      </c>
      <c r="D17" s="257"/>
      <c r="E17" s="257"/>
      <c r="F17" s="250"/>
      <c r="G17" s="258" t="str">
        <f>_xlfn.CONCAT(_xlfn.XLOOKUP("[S12_CompetentAuthoritiesAwareOfFraud][1][DetailsOfArrangementsAndProcedures]",Submission!$O:$O,Submission!$H:$N,""))</f>
        <v>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v>
      </c>
      <c r="H17" s="353"/>
      <c r="I17" s="260"/>
    </row>
    <row r="18" spans="1:9" ht="40.200000000000003" customHeight="1" x14ac:dyDescent="0.3">
      <c r="C18" s="249" t="s">
        <v>1347</v>
      </c>
      <c r="D18" s="257"/>
      <c r="E18" s="257"/>
      <c r="F18" s="250"/>
      <c r="G18" s="258" t="str">
        <f>_xlfn.CONCAT(_xlfn.XLOOKUP("[S12_CompetentAuthoritiesAwareOfFraud][2][DetailsOfArrangementsAndProcedures]",Submission!$O:$O,Submission!$H:$N,""))</f>
        <v>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v>
      </c>
      <c r="H18" s="353"/>
      <c r="I18" s="260"/>
    </row>
    <row r="19" spans="1:9" ht="40.200000000000003" customHeight="1" x14ac:dyDescent="0.3">
      <c r="C19" s="249" t="s">
        <v>1348</v>
      </c>
      <c r="D19" s="257"/>
      <c r="E19" s="257"/>
      <c r="F19" s="250"/>
      <c r="G19" s="258" t="str">
        <f>_xlfn.CONCAT(_xlfn.XLOOKUP("[S12_CompetentAuthoritiesAwareOfFraud][3][DetailsOfArrangementsAndProcedures]",Submission!$O:$O,Submission!$H:$N,""))</f>
        <v>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v>
      </c>
      <c r="H19" s="353"/>
      <c r="I19" s="260"/>
    </row>
    <row r="20" spans="1:9" ht="40.200000000000003" customHeight="1" x14ac:dyDescent="0.3">
      <c r="C20" s="249" t="s">
        <v>1349</v>
      </c>
      <c r="D20" s="257"/>
      <c r="E20" s="257"/>
      <c r="F20" s="250"/>
      <c r="G20" s="258" t="str">
        <f>_xlfn.CONCAT(_xlfn.XLOOKUP("[S12_CompetentAuthoritiesAwareOfFraud][4][DetailsOfArrangementsAndProcedures]",Submission!$O:$O,Submission!$H:$N,""))</f>
        <v>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v>
      </c>
      <c r="H20" s="353"/>
      <c r="I20" s="260"/>
    </row>
    <row r="21" spans="1:9" ht="15.9" customHeight="1" x14ac:dyDescent="0.3">
      <c r="D21" s="11"/>
    </row>
    <row r="22" spans="1:9" ht="32.1" customHeight="1" x14ac:dyDescent="0.3">
      <c r="A22" s="12" t="s">
        <v>637</v>
      </c>
      <c r="B22" s="338" t="s">
        <v>1350</v>
      </c>
      <c r="C22" s="308"/>
      <c r="D22" s="308"/>
      <c r="E22" s="308"/>
      <c r="F22" s="308"/>
      <c r="G22" s="308"/>
      <c r="H22" s="308"/>
      <c r="I22" s="308"/>
    </row>
    <row r="23" spans="1:9" ht="17.399999999999999" customHeight="1" x14ac:dyDescent="0.3">
      <c r="B23" s="15" t="s">
        <v>8</v>
      </c>
      <c r="C23" s="411" t="s">
        <v>1351</v>
      </c>
      <c r="D23" s="276"/>
      <c r="E23" s="276"/>
      <c r="F23" s="276"/>
      <c r="G23" s="276"/>
      <c r="H23" s="276"/>
      <c r="I23" s="276"/>
    </row>
    <row r="24" spans="1:9" ht="17.399999999999999" customHeight="1" x14ac:dyDescent="0.3">
      <c r="B24" s="15" t="s">
        <v>8</v>
      </c>
      <c r="C24" s="411" t="s">
        <v>1352</v>
      </c>
      <c r="D24" s="276"/>
      <c r="E24" s="276"/>
      <c r="F24" s="276"/>
      <c r="G24" s="276"/>
      <c r="H24" s="276"/>
      <c r="I24" s="276"/>
    </row>
    <row r="25" spans="1:9" ht="17.399999999999999" customHeight="1" x14ac:dyDescent="0.3">
      <c r="B25" s="15" t="s">
        <v>8</v>
      </c>
      <c r="C25" s="411" t="s">
        <v>1353</v>
      </c>
      <c r="D25" s="276"/>
      <c r="E25" s="276"/>
      <c r="F25" s="276"/>
      <c r="G25" s="276"/>
      <c r="H25" s="276"/>
      <c r="I25" s="276"/>
    </row>
    <row r="26" spans="1:9" ht="17.399999999999999" customHeight="1" x14ac:dyDescent="0.3">
      <c r="B26" s="15" t="s">
        <v>8</v>
      </c>
      <c r="C26" s="412" t="s">
        <v>1354</v>
      </c>
      <c r="D26" s="560"/>
      <c r="E26" s="560"/>
      <c r="F26" s="560"/>
      <c r="G26" s="560"/>
      <c r="H26" s="560"/>
      <c r="I26" s="560"/>
    </row>
    <row r="27" spans="1:9" ht="15.9" customHeight="1" x14ac:dyDescent="0.3">
      <c r="C27" s="317" t="s">
        <v>1355</v>
      </c>
      <c r="D27" s="370"/>
      <c r="E27" s="370"/>
      <c r="F27" s="370"/>
      <c r="G27" s="318"/>
      <c r="H27" s="317" t="s">
        <v>726</v>
      </c>
      <c r="I27" s="318"/>
    </row>
    <row r="28" spans="1:9" ht="20.399999999999999" customHeight="1" x14ac:dyDescent="0.3">
      <c r="C28" s="249" t="s">
        <v>1356</v>
      </c>
      <c r="D28" s="257"/>
      <c r="E28" s="257"/>
      <c r="F28" s="257"/>
      <c r="G28" s="250"/>
      <c r="H28" s="351" t="str">
        <f>_xlfn.CONCAT(_xlfn.XLOOKUP("[S12_InformationOnFraudActivities][1][NumberOfActivities]",Submission!$O:$O,Submission!$H:$N,""))</f>
        <v>0</v>
      </c>
      <c r="I28" s="352"/>
    </row>
    <row r="29" spans="1:9" ht="20.399999999999999" customHeight="1" x14ac:dyDescent="0.3">
      <c r="C29" s="249" t="s">
        <v>1357</v>
      </c>
      <c r="D29" s="257"/>
      <c r="E29" s="257"/>
      <c r="F29" s="257"/>
      <c r="G29" s="250"/>
      <c r="H29" s="351" t="str">
        <f>_xlfn.CONCAT(_xlfn.XLOOKUP("[S12_InformationOnFraudActivities][2][NumberOfActivities]",Submission!$O:$O,Submission!$H:$N,""))</f>
        <v>0</v>
      </c>
      <c r="I29" s="352"/>
    </row>
    <row r="30" spans="1:9" ht="20.399999999999999" customHeight="1" x14ac:dyDescent="0.3">
      <c r="C30" s="249" t="s">
        <v>1358</v>
      </c>
      <c r="D30" s="257"/>
      <c r="E30" s="257"/>
      <c r="F30" s="257"/>
      <c r="G30" s="250"/>
      <c r="H30" s="351" t="str">
        <f>_xlfn.CONCAT(_xlfn.XLOOKUP("[S12_InformationOnFraudActivities][3][NumberOfActivities]",Submission!$O:$O,Submission!$H:$N,""))</f>
        <v>0</v>
      </c>
      <c r="I30" s="352"/>
    </row>
    <row r="31" spans="1:9" ht="20.399999999999999" customHeight="1" x14ac:dyDescent="0.3">
      <c r="C31" s="249" t="s">
        <v>1359</v>
      </c>
      <c r="D31" s="257"/>
      <c r="E31" s="257"/>
      <c r="F31" s="257"/>
      <c r="G31" s="250"/>
      <c r="H31" s="351" t="str">
        <f>_xlfn.CONCAT(_xlfn.XLOOKUP("[S12_InformationOnFraudActivities][4][NumberOfActivities]",Submission!$O:$O,Submission!$H:$N,""))</f>
        <v>0</v>
      </c>
      <c r="I31" s="352"/>
    </row>
  </sheetData>
  <mergeCells count="4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 ref="C26:I26"/>
    <mergeCell ref="B14:I14"/>
    <mergeCell ref="B15:I15"/>
    <mergeCell ref="C16:F16"/>
    <mergeCell ref="G16:I16"/>
    <mergeCell ref="C17:F17"/>
    <mergeCell ref="G17:I17"/>
    <mergeCell ref="G20:I20"/>
    <mergeCell ref="B22:I22"/>
    <mergeCell ref="C23:I23"/>
    <mergeCell ref="C24:I24"/>
    <mergeCell ref="C25:I25"/>
    <mergeCell ref="C10:F10"/>
    <mergeCell ref="G10:I10"/>
    <mergeCell ref="C11:F11"/>
    <mergeCell ref="G11:I11"/>
    <mergeCell ref="C12:F12"/>
    <mergeCell ref="G12:I12"/>
    <mergeCell ref="C7:F7"/>
    <mergeCell ref="G7:I7"/>
    <mergeCell ref="C8:F8"/>
    <mergeCell ref="G8:I8"/>
    <mergeCell ref="C9:F9"/>
    <mergeCell ref="G9:I9"/>
    <mergeCell ref="B3:I3"/>
    <mergeCell ref="B4:I4"/>
    <mergeCell ref="B5:I5"/>
    <mergeCell ref="C6:F6"/>
    <mergeCell ref="G6:I6"/>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09" t="s">
        <v>641</v>
      </c>
      <c r="C3" s="309"/>
      <c r="D3" s="309"/>
      <c r="E3" s="309"/>
      <c r="F3" s="309"/>
      <c r="G3" s="309"/>
      <c r="H3" s="309"/>
      <c r="I3" s="309"/>
    </row>
    <row r="4" spans="1:9" ht="24.6" customHeight="1" x14ac:dyDescent="0.3">
      <c r="A4" s="12" t="s">
        <v>642</v>
      </c>
      <c r="B4" s="563" t="s">
        <v>1360</v>
      </c>
      <c r="C4" s="564"/>
      <c r="D4" s="564"/>
      <c r="E4" s="564"/>
      <c r="F4" s="564"/>
      <c r="G4" s="564"/>
      <c r="H4" s="564"/>
      <c r="I4" s="564"/>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3" t="str">
        <f>_xlfn.CONCAT(_xlfn.XLOOKUP("[S13_AnyOtherIssues][1][OtherInformationOrIssues]",Submission!$O:$O,Submission!$H:$N,""))</f>
        <v/>
      </c>
      <c r="F7" s="353"/>
      <c r="G7" s="353"/>
      <c r="H7" s="353"/>
      <c r="I7" s="260"/>
    </row>
    <row r="8" spans="1:9" ht="27" customHeight="1" x14ac:dyDescent="0.3">
      <c r="C8" s="96" t="s">
        <v>1365</v>
      </c>
      <c r="D8" s="160"/>
      <c r="E8" s="353" t="str">
        <f>_xlfn.CONCAT(_xlfn.XLOOKUP("[S13_AnyOtherIssues][2][OtherInformationOrIssues]",Submission!$O:$O,Submission!$H:$N,""))</f>
        <v/>
      </c>
      <c r="F8" s="353"/>
      <c r="G8" s="353"/>
      <c r="H8" s="353"/>
      <c r="I8" s="260"/>
    </row>
    <row r="9" spans="1:9" ht="27" customHeight="1" x14ac:dyDescent="0.3">
      <c r="C9" s="565" t="s">
        <v>1366</v>
      </c>
      <c r="D9" s="161" t="str">
        <f>_xlfn.CONCAT(_xlfn.XLOOKUP("[S13_AnyOtherIssues][3][QuestionnaireSubQuestion]",Submission!$O:$O,Submission!$H:$N,""))</f>
        <v/>
      </c>
      <c r="E9" s="353" t="str">
        <f>_xlfn.CONCAT(_xlfn.XLOOKUP("[S13_AnyOtherIssues][3][OtherInformationOrIssues]",Submission!$O:$O,Submission!$H:$N,""))</f>
        <v/>
      </c>
      <c r="F9" s="353"/>
      <c r="G9" s="353"/>
      <c r="H9" s="353"/>
      <c r="I9" s="260"/>
    </row>
    <row r="10" spans="1:9" ht="27" customHeight="1" x14ac:dyDescent="0.3">
      <c r="C10" s="566"/>
      <c r="D10" s="161" t="str">
        <f>_xlfn.CONCAT(_xlfn.XLOOKUP("[S13_AnyOtherIssues][4][QuestionnaireSubQuestion]",Submission!$O:$O,Submission!$H:$N,""))</f>
        <v/>
      </c>
      <c r="E10" s="353" t="str">
        <f>_xlfn.CONCAT(_xlfn.XLOOKUP("[S13_AnyOtherIssues][4][OtherInformationOrIssues]",Submission!$O:$O,Submission!$H:$N,""))</f>
        <v/>
      </c>
      <c r="F10" s="353"/>
      <c r="G10" s="353"/>
      <c r="H10" s="353"/>
      <c r="I10" s="260"/>
    </row>
    <row r="11" spans="1:9" ht="27" hidden="1" customHeight="1" outlineLevel="1" x14ac:dyDescent="0.3">
      <c r="C11" s="566"/>
      <c r="D11" s="161" t="str">
        <f>_xlfn.CONCAT(_xlfn.XLOOKUP("[S13_AnyOtherIssues][5][QuestionnaireSubQuestion]",Submission!$O:$O,Submission!$H:$N,""))</f>
        <v/>
      </c>
      <c r="E11" s="353" t="str">
        <f>_xlfn.CONCAT(_xlfn.XLOOKUP("[S13_AnyOtherIssues][5][OtherInformationOrIssues]",Submission!$O:$O,Submission!$H:$N,""))</f>
        <v/>
      </c>
      <c r="F11" s="353"/>
      <c r="G11" s="353"/>
      <c r="H11" s="353"/>
      <c r="I11" s="260"/>
    </row>
    <row r="12" spans="1:9" ht="27" hidden="1" customHeight="1" outlineLevel="1" x14ac:dyDescent="0.3">
      <c r="C12" s="567"/>
      <c r="D12" s="161" t="str">
        <f>_xlfn.CONCAT(_xlfn.XLOOKUP("[S13_AnyOtherIssues][6][QuestionnaireSubQuestion]",Submission!$O:$O,Submission!$H:$N,""))</f>
        <v/>
      </c>
      <c r="E12" s="353" t="str">
        <f>_xlfn.CONCAT(_xlfn.XLOOKUP("[S13_AnyOtherIssues][6][OtherInformationOrIssues]",Submission!$O:$O,Submission!$H:$N,""))</f>
        <v/>
      </c>
      <c r="F12" s="353"/>
      <c r="G12" s="353"/>
      <c r="H12" s="353"/>
      <c r="I12" s="260"/>
    </row>
    <row r="13" spans="1:9" ht="27" customHeight="1" collapsed="1" x14ac:dyDescent="0.3">
      <c r="C13" s="565" t="s">
        <v>1367</v>
      </c>
      <c r="D13" s="161" t="str">
        <f>_xlfn.CONCAT(_xlfn.XLOOKUP("[S13_AnyOtherIssues][7][QuestionnaireSubQuestion]",Submission!$O:$O,Submission!$H:$N,""))</f>
        <v/>
      </c>
      <c r="E13" s="353" t="str">
        <f>_xlfn.CONCAT(_xlfn.XLOOKUP("[S13_AnyOtherIssues][7][OtherInformationOrIssues]",Submission!$O:$O,Submission!$H:$N,""))</f>
        <v/>
      </c>
      <c r="F13" s="353"/>
      <c r="G13" s="353"/>
      <c r="H13" s="353"/>
      <c r="I13" s="260"/>
    </row>
    <row r="14" spans="1:9" ht="27" customHeight="1" x14ac:dyDescent="0.3">
      <c r="C14" s="566"/>
      <c r="D14" s="161" t="str">
        <f>_xlfn.CONCAT(_xlfn.XLOOKUP("[S13_AnyOtherIssues][8][QuestionnaireSubQuestion]",Submission!$O:$O,Submission!$H:$N,""))</f>
        <v/>
      </c>
      <c r="E14" s="353" t="str">
        <f>_xlfn.CONCAT(_xlfn.XLOOKUP("[S13_AnyOtherIssues][8][OtherInformationOrIssues]",Submission!$O:$O,Submission!$H:$N,""))</f>
        <v/>
      </c>
      <c r="F14" s="353"/>
      <c r="G14" s="353"/>
      <c r="H14" s="353"/>
      <c r="I14" s="260"/>
    </row>
    <row r="15" spans="1:9" ht="27" hidden="1" customHeight="1" outlineLevel="1" x14ac:dyDescent="0.3">
      <c r="C15" s="567"/>
      <c r="D15" s="161" t="str">
        <f>_xlfn.CONCAT(_xlfn.XLOOKUP("[S13_AnyOtherIssues][9][QuestionnaireSubQuestion]",Submission!$O:$O,Submission!$H:$N,""))</f>
        <v/>
      </c>
      <c r="E15" s="353" t="str">
        <f>_xlfn.CONCAT(_xlfn.XLOOKUP("[S13_AnyOtherIssues][9][OtherInformationOrIssues]",Submission!$O:$O,Submission!$H:$N,""))</f>
        <v/>
      </c>
      <c r="F15" s="353"/>
      <c r="G15" s="353"/>
      <c r="H15" s="353"/>
      <c r="I15" s="260"/>
    </row>
    <row r="16" spans="1:9" ht="27" customHeight="1" collapsed="1" x14ac:dyDescent="0.3">
      <c r="C16" s="565" t="s">
        <v>1368</v>
      </c>
      <c r="D16" s="161" t="str">
        <f>_xlfn.CONCAT(_xlfn.XLOOKUP("[S13_AnyOtherIssues][10][QuestionnaireSubQuestion]",Submission!$O:$O,Submission!$H:$N,""))</f>
        <v/>
      </c>
      <c r="E16" s="353" t="str">
        <f>_xlfn.CONCAT(_xlfn.XLOOKUP("[S13_AnyOtherIssues][10][OtherInformationOrIssues]",Submission!$O:$O,Submission!$H:$N,""))</f>
        <v/>
      </c>
      <c r="F16" s="353"/>
      <c r="G16" s="353"/>
      <c r="H16" s="353"/>
      <c r="I16" s="260"/>
    </row>
    <row r="17" spans="3:11" ht="27" customHeight="1" x14ac:dyDescent="0.3">
      <c r="C17" s="567"/>
      <c r="D17" s="161" t="str">
        <f>_xlfn.CONCAT(_xlfn.XLOOKUP("[S13_AnyOtherIssues][11][QuestionnaireSubQuestion]",Submission!$O:$O,Submission!$H:$N,""))</f>
        <v/>
      </c>
      <c r="E17" s="353" t="str">
        <f>_xlfn.CONCAT(_xlfn.XLOOKUP("[S13_AnyOtherIssues][11][OtherInformationOrIssues]",Submission!$O:$O,Submission!$H:$N,""))</f>
        <v/>
      </c>
      <c r="F17" s="353"/>
      <c r="G17" s="353"/>
      <c r="H17" s="353"/>
      <c r="I17" s="260"/>
    </row>
    <row r="18" spans="3:11" ht="27" customHeight="1" x14ac:dyDescent="0.3">
      <c r="C18" s="565" t="s">
        <v>1369</v>
      </c>
      <c r="D18" s="161" t="str">
        <f>_xlfn.CONCAT(_xlfn.XLOOKUP("[S13_AnyOtherIssues][12][QuestionnaireSubQuestion]",Submission!$O:$O,Submission!$H:$N,""))</f>
        <v/>
      </c>
      <c r="E18" s="353" t="str">
        <f>_xlfn.CONCAT(_xlfn.XLOOKUP("[S13_AnyOtherIssues][12][OtherInformationOrIssues]",Submission!$O:$O,Submission!$H:$N,""))</f>
        <v/>
      </c>
      <c r="F18" s="353"/>
      <c r="G18" s="353"/>
      <c r="H18" s="353"/>
      <c r="I18" s="260"/>
      <c r="K18" s="192"/>
    </row>
    <row r="19" spans="3:11" ht="27" customHeight="1" x14ac:dyDescent="0.3">
      <c r="C19" s="566"/>
      <c r="D19" s="161" t="str">
        <f>_xlfn.CONCAT(_xlfn.XLOOKUP("[S13_AnyOtherIssues][13][QuestionnaireSubQuestion]",Submission!$O:$O,Submission!$H:$N,""))</f>
        <v/>
      </c>
      <c r="E19" s="353" t="str">
        <f>_xlfn.CONCAT(_xlfn.XLOOKUP("[S13_AnyOtherIssues][13][OtherInformationOrIssues]",Submission!$O:$O,Submission!$H:$N,""))</f>
        <v/>
      </c>
      <c r="F19" s="353"/>
      <c r="G19" s="353"/>
      <c r="H19" s="353"/>
      <c r="I19" s="260"/>
    </row>
    <row r="20" spans="3:11" ht="27" hidden="1" customHeight="1" outlineLevel="1" x14ac:dyDescent="0.3">
      <c r="C20" s="566"/>
      <c r="D20" s="161" t="str">
        <f>_xlfn.CONCAT(_xlfn.XLOOKUP("[S13_AnyOtherIssues][14][QuestionnaireSubQuestion]",Submission!$O:$O,Submission!$H:$N,""))</f>
        <v/>
      </c>
      <c r="E20" s="353" t="str">
        <f>_xlfn.CONCAT(_xlfn.XLOOKUP("[S13_AnyOtherIssues][14][OtherInformationOrIssues]",Submission!$O:$O,Submission!$H:$N,""))</f>
        <v/>
      </c>
      <c r="F20" s="353"/>
      <c r="G20" s="353"/>
      <c r="H20" s="353"/>
      <c r="I20" s="260"/>
    </row>
    <row r="21" spans="3:11" ht="27" hidden="1" customHeight="1" outlineLevel="1" x14ac:dyDescent="0.3">
      <c r="C21" s="566"/>
      <c r="D21" s="161" t="str">
        <f>_xlfn.CONCAT(_xlfn.XLOOKUP("[S13_AnyOtherIssues][15][QuestionnaireSubQuestion]",Submission!$O:$O,Submission!$H:$N,""))</f>
        <v/>
      </c>
      <c r="E21" s="353" t="str">
        <f>_xlfn.CONCAT(_xlfn.XLOOKUP("[S13_AnyOtherIssues][15][OtherInformationOrIssues]",Submission!$O:$O,Submission!$H:$N,""))</f>
        <v/>
      </c>
      <c r="F21" s="353"/>
      <c r="G21" s="353"/>
      <c r="H21" s="353"/>
      <c r="I21" s="260"/>
    </row>
    <row r="22" spans="3:11" ht="27" hidden="1" customHeight="1" outlineLevel="1" x14ac:dyDescent="0.3">
      <c r="C22" s="566"/>
      <c r="D22" s="161" t="str">
        <f>_xlfn.CONCAT(_xlfn.XLOOKUP("[S13_AnyOtherIssues][16][QuestionnaireSubQuestion]",Submission!$O:$O,Submission!$H:$N,""))</f>
        <v/>
      </c>
      <c r="E22" s="353" t="str">
        <f>_xlfn.CONCAT(_xlfn.XLOOKUP("[S13_AnyOtherIssues][16][OtherInformationOrIssues]",Submission!$O:$O,Submission!$H:$N,""))</f>
        <v/>
      </c>
      <c r="F22" s="353"/>
      <c r="G22" s="353"/>
      <c r="H22" s="353"/>
      <c r="I22" s="260"/>
    </row>
    <row r="23" spans="3:11" ht="27" hidden="1" customHeight="1" outlineLevel="1" x14ac:dyDescent="0.3">
      <c r="C23" s="566"/>
      <c r="D23" s="161" t="str">
        <f>_xlfn.CONCAT(_xlfn.XLOOKUP("[S13_AnyOtherIssues][17][QuestionnaireSubQuestion]",Submission!$O:$O,Submission!$H:$N,""))</f>
        <v/>
      </c>
      <c r="E23" s="353" t="str">
        <f>_xlfn.CONCAT(_xlfn.XLOOKUP("[S13_AnyOtherIssues][17][OtherInformationOrIssues]",Submission!$O:$O,Submission!$H:$N,""))</f>
        <v/>
      </c>
      <c r="F23" s="353"/>
      <c r="G23" s="353"/>
      <c r="H23" s="353"/>
      <c r="I23" s="260"/>
    </row>
    <row r="24" spans="3:11" ht="27" hidden="1" customHeight="1" outlineLevel="1" x14ac:dyDescent="0.3">
      <c r="C24" s="566"/>
      <c r="D24" s="161" t="str">
        <f>_xlfn.CONCAT(_xlfn.XLOOKUP("[S13_AnyOtherIssues][18][QuestionnaireSubQuestion]",Submission!$O:$O,Submission!$H:$N,""))</f>
        <v/>
      </c>
      <c r="E24" s="353" t="str">
        <f>_xlfn.CONCAT(_xlfn.XLOOKUP("[S13_AnyOtherIssues][18][OtherInformationOrIssues]",Submission!$O:$O,Submission!$H:$N,""))</f>
        <v/>
      </c>
      <c r="F24" s="353"/>
      <c r="G24" s="353"/>
      <c r="H24" s="353"/>
      <c r="I24" s="260"/>
    </row>
    <row r="25" spans="3:11" ht="27" hidden="1" customHeight="1" outlineLevel="1" x14ac:dyDescent="0.3">
      <c r="C25" s="566"/>
      <c r="D25" s="161" t="str">
        <f>_xlfn.CONCAT(_xlfn.XLOOKUP("[S13_AnyOtherIssues][19][QuestionnaireSubQuestion]",Submission!$O:$O,Submission!$H:$N,""))</f>
        <v/>
      </c>
      <c r="E25" s="353" t="str">
        <f>_xlfn.CONCAT(_xlfn.XLOOKUP("[S13_AnyOtherIssues][19][OtherInformationOrIssues]",Submission!$O:$O,Submission!$H:$N,""))</f>
        <v/>
      </c>
      <c r="F25" s="353"/>
      <c r="G25" s="353"/>
      <c r="H25" s="353"/>
      <c r="I25" s="260"/>
    </row>
    <row r="26" spans="3:11" ht="27" hidden="1" customHeight="1" outlineLevel="1" x14ac:dyDescent="0.3">
      <c r="C26" s="566"/>
      <c r="D26" s="161" t="str">
        <f>_xlfn.CONCAT(_xlfn.XLOOKUP("[S13_AnyOtherIssues][20][QuestionnaireSubQuestion]",Submission!$O:$O,Submission!$H:$N,""))</f>
        <v/>
      </c>
      <c r="E26" s="353" t="str">
        <f>_xlfn.CONCAT(_xlfn.XLOOKUP("[S13_AnyOtherIssues][20][OtherInformationOrIssues]",Submission!$O:$O,Submission!$H:$N,""))</f>
        <v/>
      </c>
      <c r="F26" s="353"/>
      <c r="G26" s="353"/>
      <c r="H26" s="353"/>
      <c r="I26" s="260"/>
    </row>
    <row r="27" spans="3:11" ht="27" hidden="1" customHeight="1" outlineLevel="1" x14ac:dyDescent="0.3">
      <c r="C27" s="566"/>
      <c r="D27" s="161" t="str">
        <f>_xlfn.CONCAT(_xlfn.XLOOKUP("[S13_AnyOtherIssues][21][QuestionnaireSubQuestion]",Submission!$O:$O,Submission!$H:$N,""))</f>
        <v/>
      </c>
      <c r="E27" s="353" t="str">
        <f>_xlfn.CONCAT(_xlfn.XLOOKUP("[S13_AnyOtherIssues][21][OtherInformationOrIssues]",Submission!$O:$O,Submission!$H:$N,""))</f>
        <v/>
      </c>
      <c r="F27" s="353"/>
      <c r="G27" s="353"/>
      <c r="H27" s="353"/>
      <c r="I27" s="260"/>
    </row>
    <row r="28" spans="3:11" ht="27" hidden="1" customHeight="1" outlineLevel="1" x14ac:dyDescent="0.3">
      <c r="C28" s="566"/>
      <c r="D28" s="161" t="str">
        <f>_xlfn.CONCAT(_xlfn.XLOOKUP("[S13_AnyOtherIssues][22][QuestionnaireSubQuestion]",Submission!$O:$O,Submission!$H:$N,""))</f>
        <v/>
      </c>
      <c r="E28" s="353" t="str">
        <f>_xlfn.CONCAT(_xlfn.XLOOKUP("[S13_AnyOtherIssues][22][OtherInformationOrIssues]",Submission!$O:$O,Submission!$H:$N,""))</f>
        <v/>
      </c>
      <c r="F28" s="353"/>
      <c r="G28" s="353"/>
      <c r="H28" s="353"/>
      <c r="I28" s="260"/>
    </row>
    <row r="29" spans="3:11" ht="27" hidden="1" customHeight="1" outlineLevel="1" x14ac:dyDescent="0.3">
      <c r="C29" s="566"/>
      <c r="D29" s="161" t="str">
        <f>_xlfn.CONCAT(_xlfn.XLOOKUP("[S13_AnyOtherIssues][23][QuestionnaireSubQuestion]",Submission!$O:$O,Submission!$H:$N,""))</f>
        <v/>
      </c>
      <c r="E29" s="353" t="str">
        <f>_xlfn.CONCAT(_xlfn.XLOOKUP("[S13_AnyOtherIssues][23][OtherInformationOrIssues]",Submission!$O:$O,Submission!$H:$N,""))</f>
        <v/>
      </c>
      <c r="F29" s="353"/>
      <c r="G29" s="353"/>
      <c r="H29" s="353"/>
      <c r="I29" s="260"/>
    </row>
    <row r="30" spans="3:11" ht="27" hidden="1" customHeight="1" outlineLevel="1" x14ac:dyDescent="0.3">
      <c r="C30" s="566"/>
      <c r="D30" s="161" t="str">
        <f>_xlfn.CONCAT(_xlfn.XLOOKUP("[S13_AnyOtherIssues][24][QuestionnaireSubQuestion]",Submission!$O:$O,Submission!$H:$N,""))</f>
        <v/>
      </c>
      <c r="E30" s="353" t="str">
        <f>_xlfn.CONCAT(_xlfn.XLOOKUP("[S13_AnyOtherIssues][24][OtherInformationOrIssues]",Submission!$O:$O,Submission!$H:$N,""))</f>
        <v/>
      </c>
      <c r="F30" s="353"/>
      <c r="G30" s="353"/>
      <c r="H30" s="353"/>
      <c r="I30" s="260"/>
    </row>
    <row r="31" spans="3:11" ht="27" hidden="1" customHeight="1" outlineLevel="1" x14ac:dyDescent="0.3">
      <c r="C31" s="566"/>
      <c r="D31" s="161" t="str">
        <f>_xlfn.CONCAT(_xlfn.XLOOKUP("[S13_AnyOtherIssues][25][QuestionnaireSubQuestion]",Submission!$O:$O,Submission!$H:$N,""))</f>
        <v/>
      </c>
      <c r="E31" s="353" t="str">
        <f>_xlfn.CONCAT(_xlfn.XLOOKUP("[S13_AnyOtherIssues][25][OtherInformationOrIssues]",Submission!$O:$O,Submission!$H:$N,""))</f>
        <v/>
      </c>
      <c r="F31" s="353"/>
      <c r="G31" s="353"/>
      <c r="H31" s="353"/>
      <c r="I31" s="260"/>
    </row>
    <row r="32" spans="3:11" ht="27" hidden="1" customHeight="1" outlineLevel="1" x14ac:dyDescent="0.3">
      <c r="C32" s="566"/>
      <c r="D32" s="161" t="str">
        <f>_xlfn.CONCAT(_xlfn.XLOOKUP("[S13_AnyOtherIssues][26][QuestionnaireSubQuestion]",Submission!$O:$O,Submission!$H:$N,""))</f>
        <v/>
      </c>
      <c r="E32" s="353" t="str">
        <f>_xlfn.CONCAT(_xlfn.XLOOKUP("[S13_AnyOtherIssues][26][OtherInformationOrIssues]",Submission!$O:$O,Submission!$H:$N,""))</f>
        <v/>
      </c>
      <c r="F32" s="353"/>
      <c r="G32" s="353"/>
      <c r="H32" s="353"/>
      <c r="I32" s="260"/>
    </row>
    <row r="33" spans="3:9" ht="27" hidden="1" customHeight="1" outlineLevel="1" x14ac:dyDescent="0.3">
      <c r="C33" s="566"/>
      <c r="D33" s="161" t="str">
        <f>_xlfn.CONCAT(_xlfn.XLOOKUP("[S13_AnyOtherIssues][27][QuestionnaireSubQuestion]",Submission!$O:$O,Submission!$H:$N,""))</f>
        <v/>
      </c>
      <c r="E33" s="353" t="str">
        <f>_xlfn.CONCAT(_xlfn.XLOOKUP("[S13_AnyOtherIssues][27][OtherInformationOrIssues]",Submission!$O:$O,Submission!$H:$N,""))</f>
        <v/>
      </c>
      <c r="F33" s="353"/>
      <c r="G33" s="353"/>
      <c r="H33" s="353"/>
      <c r="I33" s="260"/>
    </row>
    <row r="34" spans="3:9" ht="27" hidden="1" customHeight="1" outlineLevel="1" x14ac:dyDescent="0.3">
      <c r="C34" s="566"/>
      <c r="D34" s="161" t="str">
        <f>_xlfn.CONCAT(_xlfn.XLOOKUP("[S13_AnyOtherIssues][28][QuestionnaireSubQuestion]",Submission!$O:$O,Submission!$H:$N,""))</f>
        <v/>
      </c>
      <c r="E34" s="353" t="str">
        <f>_xlfn.CONCAT(_xlfn.XLOOKUP("[S13_AnyOtherIssues][28][OtherInformationOrIssues]",Submission!$O:$O,Submission!$H:$N,""))</f>
        <v/>
      </c>
      <c r="F34" s="353"/>
      <c r="G34" s="353"/>
      <c r="H34" s="353"/>
      <c r="I34" s="260"/>
    </row>
    <row r="35" spans="3:9" ht="27" hidden="1" customHeight="1" outlineLevel="1" x14ac:dyDescent="0.3">
      <c r="C35" s="566"/>
      <c r="D35" s="161" t="str">
        <f>_xlfn.CONCAT(_xlfn.XLOOKUP("[S13_AnyOtherIssues][29][QuestionnaireSubQuestion]",Submission!$O:$O,Submission!$H:$N,""))</f>
        <v/>
      </c>
      <c r="E35" s="353" t="str">
        <f>_xlfn.CONCAT(_xlfn.XLOOKUP("[S13_AnyOtherIssues][29][OtherInformationOrIssues]",Submission!$O:$O,Submission!$H:$N,""))</f>
        <v/>
      </c>
      <c r="F35" s="353"/>
      <c r="G35" s="353"/>
      <c r="H35" s="353"/>
      <c r="I35" s="260"/>
    </row>
    <row r="36" spans="3:9" ht="27" hidden="1" customHeight="1" outlineLevel="1" x14ac:dyDescent="0.3">
      <c r="C36" s="566"/>
      <c r="D36" s="161" t="str">
        <f>_xlfn.CONCAT(_xlfn.XLOOKUP("[S13_AnyOtherIssues][30][QuestionnaireSubQuestion]",Submission!$O:$O,Submission!$H:$N,""))</f>
        <v/>
      </c>
      <c r="E36" s="353" t="str">
        <f>_xlfn.CONCAT(_xlfn.XLOOKUP("[S13_AnyOtherIssues][30][OtherInformationOrIssues]",Submission!$O:$O,Submission!$H:$N,""))</f>
        <v/>
      </c>
      <c r="F36" s="353"/>
      <c r="G36" s="353"/>
      <c r="H36" s="353"/>
      <c r="I36" s="260"/>
    </row>
    <row r="37" spans="3:9" ht="27" hidden="1" customHeight="1" outlineLevel="1" x14ac:dyDescent="0.3">
      <c r="C37" s="566"/>
      <c r="D37" s="161" t="str">
        <f>_xlfn.CONCAT(_xlfn.XLOOKUP("[S13_AnyOtherIssues][31][QuestionnaireSubQuestion]",Submission!$O:$O,Submission!$H:$N,""))</f>
        <v/>
      </c>
      <c r="E37" s="353" t="str">
        <f>_xlfn.CONCAT(_xlfn.XLOOKUP("[S13_AnyOtherIssues][31][OtherInformationOrIssues]",Submission!$O:$O,Submission!$H:$N,""))</f>
        <v/>
      </c>
      <c r="F37" s="353"/>
      <c r="G37" s="353"/>
      <c r="H37" s="353"/>
      <c r="I37" s="260"/>
    </row>
    <row r="38" spans="3:9" ht="27" hidden="1" customHeight="1" outlineLevel="1" x14ac:dyDescent="0.3">
      <c r="C38" s="566"/>
      <c r="D38" s="161" t="str">
        <f>_xlfn.CONCAT(_xlfn.XLOOKUP("[S13_AnyOtherIssues][32][QuestionnaireSubQuestion]",Submission!$O:$O,Submission!$H:$N,""))</f>
        <v/>
      </c>
      <c r="E38" s="353" t="str">
        <f>_xlfn.CONCAT(_xlfn.XLOOKUP("[S13_AnyOtherIssues][32][OtherInformationOrIssues]",Submission!$O:$O,Submission!$H:$N,""))</f>
        <v/>
      </c>
      <c r="F38" s="353"/>
      <c r="G38" s="353"/>
      <c r="H38" s="353"/>
      <c r="I38" s="260"/>
    </row>
    <row r="39" spans="3:9" ht="27" hidden="1" customHeight="1" outlineLevel="1" x14ac:dyDescent="0.3">
      <c r="C39" s="566"/>
      <c r="D39" s="161" t="str">
        <f>_xlfn.CONCAT(_xlfn.XLOOKUP("[S13_AnyOtherIssues][33][QuestionnaireSubQuestion]",Submission!$O:$O,Submission!$H:$N,""))</f>
        <v/>
      </c>
      <c r="E39" s="353" t="str">
        <f>_xlfn.CONCAT(_xlfn.XLOOKUP("[S13_AnyOtherIssues][33][OtherInformationOrIssues]",Submission!$O:$O,Submission!$H:$N,""))</f>
        <v/>
      </c>
      <c r="F39" s="353"/>
      <c r="G39" s="353"/>
      <c r="H39" s="353"/>
      <c r="I39" s="260"/>
    </row>
    <row r="40" spans="3:9" ht="27" hidden="1" customHeight="1" outlineLevel="1" x14ac:dyDescent="0.3">
      <c r="C40" s="567"/>
      <c r="D40" s="161" t="str">
        <f>_xlfn.CONCAT(_xlfn.XLOOKUP("[S13_AnyOtherIssues][34][QuestionnaireSubQuestion]",Submission!$O:$O,Submission!$H:$N,""))</f>
        <v/>
      </c>
      <c r="E40" s="353" t="str">
        <f>_xlfn.CONCAT(_xlfn.XLOOKUP("[S13_AnyOtherIssues][34][OtherInformationOrIssues]",Submission!$O:$O,Submission!$H:$N,""))</f>
        <v/>
      </c>
      <c r="F40" s="353"/>
      <c r="G40" s="353"/>
      <c r="H40" s="353"/>
      <c r="I40" s="260"/>
    </row>
    <row r="41" spans="3:9" ht="27" customHeight="1" collapsed="1" x14ac:dyDescent="0.3">
      <c r="C41" s="565" t="s">
        <v>1370</v>
      </c>
      <c r="D41" s="161" t="str">
        <f>_xlfn.CONCAT(_xlfn.XLOOKUP("[S13_AnyOtherIssues][35][QuestionnaireSubQuestion]",Submission!$O:$O,Submission!$H:$N,""))</f>
        <v/>
      </c>
      <c r="E41" s="353" t="str">
        <f>_xlfn.CONCAT(_xlfn.XLOOKUP("[S13_AnyOtherIssues][35][OtherInformationOrIssues]",Submission!$O:$O,Submission!$H:$N,""))</f>
        <v/>
      </c>
      <c r="F41" s="353"/>
      <c r="G41" s="353"/>
      <c r="H41" s="353"/>
      <c r="I41" s="260"/>
    </row>
    <row r="42" spans="3:9" ht="27" customHeight="1" x14ac:dyDescent="0.3">
      <c r="C42" s="566"/>
      <c r="D42" s="161" t="str">
        <f>_xlfn.CONCAT(_xlfn.XLOOKUP("[S13_AnyOtherIssues][36][QuestionnaireSubQuestion]",Submission!$O:$O,Submission!$H:$N,""))</f>
        <v/>
      </c>
      <c r="E42" s="353" t="str">
        <f>_xlfn.CONCAT(_xlfn.XLOOKUP("[S13_AnyOtherIssues][36][OtherInformationOrIssues]",Submission!$O:$O,Submission!$H:$N,""))</f>
        <v/>
      </c>
      <c r="F42" s="353"/>
      <c r="G42" s="353"/>
      <c r="H42" s="353"/>
      <c r="I42" s="260"/>
    </row>
    <row r="43" spans="3:9" ht="27" hidden="1" customHeight="1" outlineLevel="1" x14ac:dyDescent="0.3">
      <c r="C43" s="566"/>
      <c r="D43" s="161" t="str">
        <f>_xlfn.CONCAT(_xlfn.XLOOKUP("[S13_AnyOtherIssues][37][QuestionnaireSubQuestion]",Submission!$O:$O,Submission!$H:$N,""))</f>
        <v/>
      </c>
      <c r="E43" s="353" t="str">
        <f>_xlfn.CONCAT(_xlfn.XLOOKUP("[S13_AnyOtherIssues][37][OtherInformationOrIssues]",Submission!$O:$O,Submission!$H:$N,""))</f>
        <v/>
      </c>
      <c r="F43" s="353"/>
      <c r="G43" s="353"/>
      <c r="H43" s="353"/>
      <c r="I43" s="260"/>
    </row>
    <row r="44" spans="3:9" ht="27" hidden="1" customHeight="1" outlineLevel="1" x14ac:dyDescent="0.3">
      <c r="C44" s="566"/>
      <c r="D44" s="161" t="str">
        <f>_xlfn.CONCAT(_xlfn.XLOOKUP("[S13_AnyOtherIssues][38][QuestionnaireSubQuestion]",Submission!$O:$O,Submission!$H:$N,""))</f>
        <v/>
      </c>
      <c r="E44" s="353" t="str">
        <f>_xlfn.CONCAT(_xlfn.XLOOKUP("[S13_AnyOtherIssues][38][OtherInformationOrIssues]",Submission!$O:$O,Submission!$H:$N,""))</f>
        <v/>
      </c>
      <c r="F44" s="353"/>
      <c r="G44" s="353"/>
      <c r="H44" s="353"/>
      <c r="I44" s="260"/>
    </row>
    <row r="45" spans="3:9" ht="27" hidden="1" customHeight="1" outlineLevel="1" x14ac:dyDescent="0.3">
      <c r="C45" s="566"/>
      <c r="D45" s="161" t="str">
        <f>_xlfn.CONCAT(_xlfn.XLOOKUP("[S13_AnyOtherIssues][39][QuestionnaireSubQuestion]",Submission!$O:$O,Submission!$H:$N,""))</f>
        <v/>
      </c>
      <c r="E45" s="353" t="str">
        <f>_xlfn.CONCAT(_xlfn.XLOOKUP("[S13_AnyOtherIssues][39][OtherInformationOrIssues]",Submission!$O:$O,Submission!$H:$N,""))</f>
        <v/>
      </c>
      <c r="F45" s="353"/>
      <c r="G45" s="353"/>
      <c r="H45" s="353"/>
      <c r="I45" s="260"/>
    </row>
    <row r="46" spans="3:9" ht="27" hidden="1" customHeight="1" outlineLevel="1" x14ac:dyDescent="0.3">
      <c r="C46" s="566"/>
      <c r="D46" s="161" t="str">
        <f>_xlfn.CONCAT(_xlfn.XLOOKUP("[S13_AnyOtherIssues][40][QuestionnaireSubQuestion]",Submission!$O:$O,Submission!$H:$N,""))</f>
        <v/>
      </c>
      <c r="E46" s="353" t="str">
        <f>_xlfn.CONCAT(_xlfn.XLOOKUP("[S13_AnyOtherIssues][40][OtherInformationOrIssues]",Submission!$O:$O,Submission!$H:$N,""))</f>
        <v/>
      </c>
      <c r="F46" s="353"/>
      <c r="G46" s="353"/>
      <c r="H46" s="353"/>
      <c r="I46" s="260"/>
    </row>
    <row r="47" spans="3:9" ht="27" hidden="1" customHeight="1" outlineLevel="1" x14ac:dyDescent="0.3">
      <c r="C47" s="566"/>
      <c r="D47" s="161" t="str">
        <f>_xlfn.CONCAT(_xlfn.XLOOKUP("[S13_AnyOtherIssues][41][QuestionnaireSubQuestion]",Submission!$O:$O,Submission!$H:$N,""))</f>
        <v/>
      </c>
      <c r="E47" s="353" t="str">
        <f>_xlfn.CONCAT(_xlfn.XLOOKUP("[S13_AnyOtherIssues][41][OtherInformationOrIssues]",Submission!$O:$O,Submission!$H:$N,""))</f>
        <v/>
      </c>
      <c r="F47" s="353"/>
      <c r="G47" s="353"/>
      <c r="H47" s="353"/>
      <c r="I47" s="260"/>
    </row>
    <row r="48" spans="3:9" ht="27" hidden="1" customHeight="1" outlineLevel="1" x14ac:dyDescent="0.3">
      <c r="C48" s="566"/>
      <c r="D48" s="161" t="str">
        <f>_xlfn.CONCAT(_xlfn.XLOOKUP("[S13_AnyOtherIssues][42][QuestionnaireSubQuestion]",Submission!$O:$O,Submission!$H:$N,""))</f>
        <v/>
      </c>
      <c r="E48" s="353" t="str">
        <f>_xlfn.CONCAT(_xlfn.XLOOKUP("[S13_AnyOtherIssues][42][OtherInformationOrIssues]",Submission!$O:$O,Submission!$H:$N,""))</f>
        <v/>
      </c>
      <c r="F48" s="353"/>
      <c r="G48" s="353"/>
      <c r="H48" s="353"/>
      <c r="I48" s="260"/>
    </row>
    <row r="49" spans="3:9" ht="27" hidden="1" customHeight="1" outlineLevel="1" x14ac:dyDescent="0.3">
      <c r="C49" s="566"/>
      <c r="D49" s="161" t="str">
        <f>_xlfn.CONCAT(_xlfn.XLOOKUP("[S13_AnyOtherIssues][43][QuestionnaireSubQuestion]",Submission!$O:$O,Submission!$H:$N,""))</f>
        <v/>
      </c>
      <c r="E49" s="353" t="str">
        <f>_xlfn.CONCAT(_xlfn.XLOOKUP("[S13_AnyOtherIssues][43][OtherInformationOrIssues]",Submission!$O:$O,Submission!$H:$N,""))</f>
        <v/>
      </c>
      <c r="F49" s="353"/>
      <c r="G49" s="353"/>
      <c r="H49" s="353"/>
      <c r="I49" s="260"/>
    </row>
    <row r="50" spans="3:9" ht="27" hidden="1" customHeight="1" outlineLevel="1" x14ac:dyDescent="0.3">
      <c r="C50" s="566"/>
      <c r="D50" s="161" t="str">
        <f>_xlfn.CONCAT(_xlfn.XLOOKUP("[S13_AnyOtherIssues][44][QuestionnaireSubQuestion]",Submission!$O:$O,Submission!$H:$N,""))</f>
        <v/>
      </c>
      <c r="E50" s="353" t="str">
        <f>_xlfn.CONCAT(_xlfn.XLOOKUP("[S13_AnyOtherIssues][44][OtherInformationOrIssues]",Submission!$O:$O,Submission!$H:$N,""))</f>
        <v/>
      </c>
      <c r="F50" s="353"/>
      <c r="G50" s="353"/>
      <c r="H50" s="353"/>
      <c r="I50" s="260"/>
    </row>
    <row r="51" spans="3:9" ht="27" hidden="1" customHeight="1" outlineLevel="1" x14ac:dyDescent="0.3">
      <c r="C51" s="566"/>
      <c r="D51" s="161" t="str">
        <f>_xlfn.CONCAT(_xlfn.XLOOKUP("[S13_AnyOtherIssues][45][QuestionnaireSubQuestion]",Submission!$O:$O,Submission!$H:$N,""))</f>
        <v/>
      </c>
      <c r="E51" s="353" t="str">
        <f>_xlfn.CONCAT(_xlfn.XLOOKUP("[S13_AnyOtherIssues][45][OtherInformationOrIssues]",Submission!$O:$O,Submission!$H:$N,""))</f>
        <v/>
      </c>
      <c r="F51" s="353"/>
      <c r="G51" s="353"/>
      <c r="H51" s="353"/>
      <c r="I51" s="260"/>
    </row>
    <row r="52" spans="3:9" ht="27" hidden="1" customHeight="1" outlineLevel="1" x14ac:dyDescent="0.3">
      <c r="C52" s="567"/>
      <c r="D52" s="161" t="str">
        <f>_xlfn.CONCAT(_xlfn.XLOOKUP("[S13_AnyOtherIssues][46][QuestionnaireSubQuestion]",Submission!$O:$O,Submission!$H:$N,""))</f>
        <v/>
      </c>
      <c r="E52" s="353" t="str">
        <f>_xlfn.CONCAT(_xlfn.XLOOKUP("[S13_AnyOtherIssues][46][OtherInformationOrIssues]",Submission!$O:$O,Submission!$H:$N,""))</f>
        <v/>
      </c>
      <c r="F52" s="353"/>
      <c r="G52" s="353"/>
      <c r="H52" s="353"/>
      <c r="I52" s="260"/>
    </row>
    <row r="53" spans="3:9" ht="27" customHeight="1" collapsed="1" x14ac:dyDescent="0.3">
      <c r="C53" s="565" t="s">
        <v>1371</v>
      </c>
      <c r="D53" s="161" t="str">
        <f>_xlfn.CONCAT(_xlfn.XLOOKUP("[S13_AnyOtherIssues][47][QuestionnaireSubQuestion]",Submission!$O:$O,Submission!$H:$N,""))</f>
        <v/>
      </c>
      <c r="E53" s="353" t="str">
        <f>_xlfn.CONCAT(_xlfn.XLOOKUP("[S13_AnyOtherIssues][47][OtherInformationOrIssues]",Submission!$O:$O,Submission!$H:$N,""))</f>
        <v/>
      </c>
      <c r="F53" s="353"/>
      <c r="G53" s="353"/>
      <c r="H53" s="353"/>
      <c r="I53" s="260"/>
    </row>
    <row r="54" spans="3:9" ht="27" customHeight="1" x14ac:dyDescent="0.3">
      <c r="C54" s="566"/>
      <c r="D54" s="161" t="str">
        <f>_xlfn.CONCAT(_xlfn.XLOOKUP("[S13_AnyOtherIssues][48][QuestionnaireSubQuestion]",Submission!$O:$O,Submission!$H:$N,""))</f>
        <v/>
      </c>
      <c r="E54" s="353" t="str">
        <f>_xlfn.CONCAT(_xlfn.XLOOKUP("[S13_AnyOtherIssues][48][OtherInformationOrIssues]",Submission!$O:$O,Submission!$H:$N,""))</f>
        <v/>
      </c>
      <c r="F54" s="353"/>
      <c r="G54" s="353"/>
      <c r="H54" s="353"/>
      <c r="I54" s="260"/>
    </row>
    <row r="55" spans="3:9" ht="27" hidden="1" customHeight="1" outlineLevel="1" x14ac:dyDescent="0.3">
      <c r="C55" s="567"/>
      <c r="D55" s="161" t="str">
        <f>_xlfn.CONCAT(_xlfn.XLOOKUP("[S13_AnyOtherIssues][49][QuestionnaireSubQuestion]",Submission!$O:$O,Submission!$H:$N,""))</f>
        <v/>
      </c>
      <c r="E55" s="353" t="str">
        <f>_xlfn.CONCAT(_xlfn.XLOOKUP("[S13_AnyOtherIssues][49][OtherInformationOrIssues]",Submission!$O:$O,Submission!$H:$N,""))</f>
        <v/>
      </c>
      <c r="F55" s="353"/>
      <c r="G55" s="353"/>
      <c r="H55" s="353"/>
      <c r="I55" s="260"/>
    </row>
    <row r="56" spans="3:9" ht="27" customHeight="1" collapsed="1" x14ac:dyDescent="0.3">
      <c r="C56" s="565" t="s">
        <v>1372</v>
      </c>
      <c r="D56" s="161" t="str">
        <f>_xlfn.CONCAT(_xlfn.XLOOKUP("[S13_AnyOtherIssues][50][QuestionnaireSubQuestion]",Submission!$O:$O,Submission!$H:$N,""))</f>
        <v/>
      </c>
      <c r="E56" s="353" t="str">
        <f>_xlfn.CONCAT(_xlfn.XLOOKUP("[S13_AnyOtherIssues][50][OtherInformationOrIssues]",Submission!$O:$O,Submission!$H:$N,""))</f>
        <v/>
      </c>
      <c r="F56" s="353"/>
      <c r="G56" s="353"/>
      <c r="H56" s="353"/>
      <c r="I56" s="260"/>
    </row>
    <row r="57" spans="3:9" ht="27" customHeight="1" x14ac:dyDescent="0.3">
      <c r="C57" s="566"/>
      <c r="D57" s="161" t="str">
        <f>_xlfn.CONCAT(_xlfn.XLOOKUP("[S13_AnyOtherIssues][51][QuestionnaireSubQuestion]",Submission!$O:$O,Submission!$H:$N,""))</f>
        <v/>
      </c>
      <c r="E57" s="353" t="str">
        <f>_xlfn.CONCAT(_xlfn.XLOOKUP("[S13_AnyOtherIssues][51][OtherInformationOrIssues]",Submission!$O:$O,Submission!$H:$N,""))</f>
        <v/>
      </c>
      <c r="F57" s="353"/>
      <c r="G57" s="353"/>
      <c r="H57" s="353"/>
      <c r="I57" s="260"/>
    </row>
    <row r="58" spans="3:9" ht="27" hidden="1" customHeight="1" outlineLevel="1" x14ac:dyDescent="0.3">
      <c r="C58" s="566"/>
      <c r="D58" s="161" t="str">
        <f>_xlfn.CONCAT(_xlfn.XLOOKUP("[S13_AnyOtherIssues][52][QuestionnaireSubQuestion]",Submission!$O:$O,Submission!$H:$N,""))</f>
        <v/>
      </c>
      <c r="E58" s="353" t="str">
        <f>_xlfn.CONCAT(_xlfn.XLOOKUP("[S13_AnyOtherIssues][52][OtherInformationOrIssues]",Submission!$O:$O,Submission!$H:$N,""))</f>
        <v/>
      </c>
      <c r="F58" s="353"/>
      <c r="G58" s="353"/>
      <c r="H58" s="353"/>
      <c r="I58" s="260"/>
    </row>
    <row r="59" spans="3:9" ht="27" hidden="1" customHeight="1" outlineLevel="1" x14ac:dyDescent="0.3">
      <c r="C59" s="566"/>
      <c r="D59" s="161" t="str">
        <f>_xlfn.CONCAT(_xlfn.XLOOKUP("[S13_AnyOtherIssues][53][QuestionnaireSubQuestion]",Submission!$O:$O,Submission!$H:$N,""))</f>
        <v/>
      </c>
      <c r="E59" s="353" t="str">
        <f>_xlfn.CONCAT(_xlfn.XLOOKUP("[S13_AnyOtherIssues][53][OtherInformationOrIssues]",Submission!$O:$O,Submission!$H:$N,""))</f>
        <v/>
      </c>
      <c r="F59" s="353"/>
      <c r="G59" s="353"/>
      <c r="H59" s="353"/>
      <c r="I59" s="260"/>
    </row>
    <row r="60" spans="3:9" ht="27" hidden="1" customHeight="1" outlineLevel="1" x14ac:dyDescent="0.3">
      <c r="C60" s="566"/>
      <c r="D60" s="161" t="str">
        <f>_xlfn.CONCAT(_xlfn.XLOOKUP("[S13_AnyOtherIssues][54][QuestionnaireSubQuestion]",Submission!$O:$O,Submission!$H:$N,""))</f>
        <v/>
      </c>
      <c r="E60" s="353" t="str">
        <f>_xlfn.CONCAT(_xlfn.XLOOKUP("[S13_AnyOtherIssues][54][OtherInformationOrIssues]",Submission!$O:$O,Submission!$H:$N,""))</f>
        <v/>
      </c>
      <c r="F60" s="353"/>
      <c r="G60" s="353"/>
      <c r="H60" s="353"/>
      <c r="I60" s="260"/>
    </row>
    <row r="61" spans="3:9" ht="27" hidden="1" customHeight="1" outlineLevel="1" x14ac:dyDescent="0.3">
      <c r="C61" s="566"/>
      <c r="D61" s="161" t="str">
        <f>_xlfn.CONCAT(_xlfn.XLOOKUP("[S13_AnyOtherIssues][55][QuestionnaireSubQuestion]",Submission!$O:$O,Submission!$H:$N,""))</f>
        <v/>
      </c>
      <c r="E61" s="353" t="str">
        <f>_xlfn.CONCAT(_xlfn.XLOOKUP("[S13_AnyOtherIssues][55][OtherInformationOrIssues]",Submission!$O:$O,Submission!$H:$N,""))</f>
        <v/>
      </c>
      <c r="F61" s="353"/>
      <c r="G61" s="353"/>
      <c r="H61" s="353"/>
      <c r="I61" s="260"/>
    </row>
    <row r="62" spans="3:9" ht="27" hidden="1" customHeight="1" outlineLevel="1" x14ac:dyDescent="0.3">
      <c r="C62" s="566"/>
      <c r="D62" s="161" t="str">
        <f>_xlfn.CONCAT(_xlfn.XLOOKUP("[S13_AnyOtherIssues][56][QuestionnaireSubQuestion]",Submission!$O:$O,Submission!$H:$N,""))</f>
        <v/>
      </c>
      <c r="E62" s="353" t="str">
        <f>_xlfn.CONCAT(_xlfn.XLOOKUP("[S13_AnyOtherIssues][56][OtherInformationOrIssues]",Submission!$O:$O,Submission!$H:$N,""))</f>
        <v/>
      </c>
      <c r="F62" s="353"/>
      <c r="G62" s="353"/>
      <c r="H62" s="353"/>
      <c r="I62" s="260"/>
    </row>
    <row r="63" spans="3:9" ht="27" hidden="1" customHeight="1" outlineLevel="1" x14ac:dyDescent="0.3">
      <c r="C63" s="566"/>
      <c r="D63" s="161" t="str">
        <f>_xlfn.CONCAT(_xlfn.XLOOKUP("[S13_AnyOtherIssues][57][QuestionnaireSubQuestion]",Submission!$O:$O,Submission!$H:$N,""))</f>
        <v/>
      </c>
      <c r="E63" s="353" t="str">
        <f>_xlfn.CONCAT(_xlfn.XLOOKUP("[S13_AnyOtherIssues][57][OtherInformationOrIssues]",Submission!$O:$O,Submission!$H:$N,""))</f>
        <v/>
      </c>
      <c r="F63" s="353"/>
      <c r="G63" s="353"/>
      <c r="H63" s="353"/>
      <c r="I63" s="260"/>
    </row>
    <row r="64" spans="3:9" ht="27" hidden="1" customHeight="1" outlineLevel="1" x14ac:dyDescent="0.3">
      <c r="C64" s="566"/>
      <c r="D64" s="161" t="str">
        <f>_xlfn.CONCAT(_xlfn.XLOOKUP("[S13_AnyOtherIssues][58][QuestionnaireSubQuestion]",Submission!$O:$O,Submission!$H:$N,""))</f>
        <v/>
      </c>
      <c r="E64" s="353" t="str">
        <f>_xlfn.CONCAT(_xlfn.XLOOKUP("[S13_AnyOtherIssues][58][OtherInformationOrIssues]",Submission!$O:$O,Submission!$H:$N,""))</f>
        <v/>
      </c>
      <c r="F64" s="353"/>
      <c r="G64" s="353"/>
      <c r="H64" s="353"/>
      <c r="I64" s="260"/>
    </row>
    <row r="65" spans="3:9" ht="27" hidden="1" customHeight="1" outlineLevel="1" x14ac:dyDescent="0.3">
      <c r="C65" s="566"/>
      <c r="D65" s="161" t="str">
        <f>_xlfn.CONCAT(_xlfn.XLOOKUP("[S13_AnyOtherIssues][59][QuestionnaireSubQuestion]",Submission!$O:$O,Submission!$H:$N,""))</f>
        <v/>
      </c>
      <c r="E65" s="353" t="str">
        <f>_xlfn.CONCAT(_xlfn.XLOOKUP("[S13_AnyOtherIssues][59][OtherInformationOrIssues]",Submission!$O:$O,Submission!$H:$N,""))</f>
        <v/>
      </c>
      <c r="F65" s="353"/>
      <c r="G65" s="353"/>
      <c r="H65" s="353"/>
      <c r="I65" s="260"/>
    </row>
    <row r="66" spans="3:9" ht="27" hidden="1" customHeight="1" outlineLevel="1" x14ac:dyDescent="0.3">
      <c r="C66" s="566"/>
      <c r="D66" s="161" t="str">
        <f>_xlfn.CONCAT(_xlfn.XLOOKUP("[S13_AnyOtherIssues][60][QuestionnaireSubQuestion]",Submission!$O:$O,Submission!$H:$N,""))</f>
        <v/>
      </c>
      <c r="E66" s="353" t="str">
        <f>_xlfn.CONCAT(_xlfn.XLOOKUP("[S13_AnyOtherIssues][60][OtherInformationOrIssues]",Submission!$O:$O,Submission!$H:$N,""))</f>
        <v/>
      </c>
      <c r="F66" s="353"/>
      <c r="G66" s="353"/>
      <c r="H66" s="353"/>
      <c r="I66" s="260"/>
    </row>
    <row r="67" spans="3:9" ht="27" hidden="1" customHeight="1" outlineLevel="1" x14ac:dyDescent="0.3">
      <c r="C67" s="566"/>
      <c r="D67" s="161" t="str">
        <f>_xlfn.CONCAT(_xlfn.XLOOKUP("[S13_AnyOtherIssues][61][QuestionnaireSubQuestion]",Submission!$O:$O,Submission!$H:$N,""))</f>
        <v/>
      </c>
      <c r="E67" s="353" t="str">
        <f>_xlfn.CONCAT(_xlfn.XLOOKUP("[S13_AnyOtherIssues][61][OtherInformationOrIssues]",Submission!$O:$O,Submission!$H:$N,""))</f>
        <v/>
      </c>
      <c r="F67" s="353"/>
      <c r="G67" s="353"/>
      <c r="H67" s="353"/>
      <c r="I67" s="260"/>
    </row>
    <row r="68" spans="3:9" ht="27" hidden="1" customHeight="1" outlineLevel="1" x14ac:dyDescent="0.3">
      <c r="C68" s="566"/>
      <c r="D68" s="161" t="str">
        <f>_xlfn.CONCAT(_xlfn.XLOOKUP("[S13_AnyOtherIssues][62][QuestionnaireSubQuestion]",Submission!$O:$O,Submission!$H:$N,""))</f>
        <v/>
      </c>
      <c r="E68" s="353" t="str">
        <f>_xlfn.CONCAT(_xlfn.XLOOKUP("[S13_AnyOtherIssues][62][OtherInformationOrIssues]",Submission!$O:$O,Submission!$H:$N,""))</f>
        <v/>
      </c>
      <c r="F68" s="353"/>
      <c r="G68" s="353"/>
      <c r="H68" s="353"/>
      <c r="I68" s="260"/>
    </row>
    <row r="69" spans="3:9" ht="27" hidden="1" customHeight="1" outlineLevel="1" x14ac:dyDescent="0.3">
      <c r="C69" s="566"/>
      <c r="D69" s="161" t="str">
        <f>_xlfn.CONCAT(_xlfn.XLOOKUP("[S13_AnyOtherIssues][63][QuestionnaireSubQuestion]",Submission!$O:$O,Submission!$H:$N,""))</f>
        <v/>
      </c>
      <c r="E69" s="353" t="str">
        <f>_xlfn.CONCAT(_xlfn.XLOOKUP("[S13_AnyOtherIssues][63][OtherInformationOrIssues]",Submission!$O:$O,Submission!$H:$N,""))</f>
        <v/>
      </c>
      <c r="F69" s="353"/>
      <c r="G69" s="353"/>
      <c r="H69" s="353"/>
      <c r="I69" s="260"/>
    </row>
    <row r="70" spans="3:9" ht="27" hidden="1" customHeight="1" outlineLevel="1" x14ac:dyDescent="0.3">
      <c r="C70" s="566"/>
      <c r="D70" s="161" t="str">
        <f>_xlfn.CONCAT(_xlfn.XLOOKUP("[S13_AnyOtherIssues][64][QuestionnaireSubQuestion]",Submission!$O:$O,Submission!$H:$N,""))</f>
        <v/>
      </c>
      <c r="E70" s="353" t="str">
        <f>_xlfn.CONCAT(_xlfn.XLOOKUP("[S13_AnyOtherIssues][64][OtherInformationOrIssues]",Submission!$O:$O,Submission!$H:$N,""))</f>
        <v/>
      </c>
      <c r="F70" s="353"/>
      <c r="G70" s="353"/>
      <c r="H70" s="353"/>
      <c r="I70" s="260"/>
    </row>
    <row r="71" spans="3:9" ht="27" hidden="1" customHeight="1" outlineLevel="1" x14ac:dyDescent="0.3">
      <c r="C71" s="566"/>
      <c r="D71" s="161" t="str">
        <f>_xlfn.CONCAT(_xlfn.XLOOKUP("[S13_AnyOtherIssues][65][QuestionnaireSubQuestion]",Submission!$O:$O,Submission!$H:$N,""))</f>
        <v/>
      </c>
      <c r="E71" s="353" t="str">
        <f>_xlfn.CONCAT(_xlfn.XLOOKUP("[S13_AnyOtherIssues][65][OtherInformationOrIssues]",Submission!$O:$O,Submission!$H:$N,""))</f>
        <v/>
      </c>
      <c r="F71" s="353"/>
      <c r="G71" s="353"/>
      <c r="H71" s="353"/>
      <c r="I71" s="260"/>
    </row>
    <row r="72" spans="3:9" ht="27" hidden="1" customHeight="1" outlineLevel="1" x14ac:dyDescent="0.3">
      <c r="C72" s="566"/>
      <c r="D72" s="161" t="str">
        <f>_xlfn.CONCAT(_xlfn.XLOOKUP("[S13_AnyOtherIssues][66][QuestionnaireSubQuestion]",Submission!$O:$O,Submission!$H:$N,""))</f>
        <v/>
      </c>
      <c r="E72" s="353" t="str">
        <f>_xlfn.CONCAT(_xlfn.XLOOKUP("[S13_AnyOtherIssues][66][OtherInformationOrIssues]",Submission!$O:$O,Submission!$H:$N,""))</f>
        <v/>
      </c>
      <c r="F72" s="353"/>
      <c r="G72" s="353"/>
      <c r="H72" s="353"/>
      <c r="I72" s="260"/>
    </row>
    <row r="73" spans="3:9" ht="27" hidden="1" customHeight="1" outlineLevel="1" x14ac:dyDescent="0.3">
      <c r="C73" s="567"/>
      <c r="D73" s="161" t="str">
        <f>_xlfn.CONCAT(_xlfn.XLOOKUP("[S13_AnyOtherIssues][67][QuestionnaireSubQuestion]",Submission!$O:$O,Submission!$H:$N,""))</f>
        <v/>
      </c>
      <c r="E73" s="353" t="str">
        <f>_xlfn.CONCAT(_xlfn.XLOOKUP("[S13_AnyOtherIssues][67][OtherInformationOrIssues]",Submission!$O:$O,Submission!$H:$N,""))</f>
        <v/>
      </c>
      <c r="F73" s="353"/>
      <c r="G73" s="353"/>
      <c r="H73" s="353"/>
      <c r="I73" s="260"/>
    </row>
    <row r="74" spans="3:9" ht="27" customHeight="1" collapsed="1" x14ac:dyDescent="0.3">
      <c r="C74" s="565" t="s">
        <v>1373</v>
      </c>
      <c r="D74" s="161" t="str">
        <f>_xlfn.CONCAT(_xlfn.XLOOKUP("[S13_AnyOtherIssues][68][QuestionnaireSubQuestion]",Submission!$O:$O,Submission!$H:$N,""))</f>
        <v/>
      </c>
      <c r="E74" s="353" t="str">
        <f>_xlfn.CONCAT(_xlfn.XLOOKUP("[S13_AnyOtherIssues][68][OtherInformationOrIssues]",Submission!$O:$O,Submission!$H:$N,""))</f>
        <v/>
      </c>
      <c r="F74" s="353"/>
      <c r="G74" s="353"/>
      <c r="H74" s="353"/>
      <c r="I74" s="260"/>
    </row>
    <row r="75" spans="3:9" ht="27" customHeight="1" x14ac:dyDescent="0.3">
      <c r="C75" s="566"/>
      <c r="D75" s="161" t="str">
        <f>_xlfn.CONCAT(_xlfn.XLOOKUP("[S13_AnyOtherIssues][69][QuestionnaireSubQuestion]",Submission!$O:$O,Submission!$H:$N,""))</f>
        <v/>
      </c>
      <c r="E75" s="353" t="str">
        <f>_xlfn.CONCAT(_xlfn.XLOOKUP("[S13_AnyOtherIssues][69][OtherInformationOrIssues]",Submission!$O:$O,Submission!$H:$N,""))</f>
        <v/>
      </c>
      <c r="F75" s="353"/>
      <c r="G75" s="353"/>
      <c r="H75" s="353"/>
      <c r="I75" s="260"/>
    </row>
    <row r="76" spans="3:9" ht="27" hidden="1" customHeight="1" outlineLevel="1" x14ac:dyDescent="0.3">
      <c r="C76" s="567"/>
      <c r="D76" s="161" t="str">
        <f>_xlfn.CONCAT(_xlfn.XLOOKUP("[S13_AnyOtherIssues][70][QuestionnaireSubQuestion]",Submission!$O:$O,Submission!$H:$N,""))</f>
        <v/>
      </c>
      <c r="E76" s="353" t="str">
        <f>_xlfn.CONCAT(_xlfn.XLOOKUP("[S13_AnyOtherIssues][70][OtherInformationOrIssues]",Submission!$O:$O,Submission!$H:$N,""))</f>
        <v/>
      </c>
      <c r="F76" s="353"/>
      <c r="G76" s="353"/>
      <c r="H76" s="353"/>
      <c r="I76" s="260"/>
    </row>
    <row r="77" spans="3:9" ht="27" customHeight="1" collapsed="1" x14ac:dyDescent="0.3">
      <c r="C77" s="565" t="s">
        <v>1374</v>
      </c>
      <c r="D77" s="161" t="str">
        <f>_xlfn.CONCAT(_xlfn.XLOOKUP("[S13_AnyOtherIssues][71][QuestionnaireSubQuestion]",Submission!$O:$O,Submission!$H:$N,""))</f>
        <v/>
      </c>
      <c r="E77" s="353" t="str">
        <f>_xlfn.CONCAT(_xlfn.XLOOKUP("[S13_AnyOtherIssues][71][OtherInformationOrIssues]",Submission!$O:$O,Submission!$H:$N,""))</f>
        <v/>
      </c>
      <c r="F77" s="353"/>
      <c r="G77" s="353"/>
      <c r="H77" s="353"/>
      <c r="I77" s="260"/>
    </row>
    <row r="78" spans="3:9" ht="27" customHeight="1" x14ac:dyDescent="0.3">
      <c r="C78" s="566"/>
      <c r="D78" s="161" t="str">
        <f>_xlfn.CONCAT(_xlfn.XLOOKUP("[S13_AnyOtherIssues][72][QuestionnaireSubQuestion]",Submission!$O:$O,Submission!$H:$N,""))</f>
        <v/>
      </c>
      <c r="E78" s="353" t="str">
        <f>_xlfn.CONCAT(_xlfn.XLOOKUP("[S13_AnyOtherIssues][72][OtherInformationOrIssues]",Submission!$O:$O,Submission!$H:$N,""))</f>
        <v/>
      </c>
      <c r="F78" s="353"/>
      <c r="G78" s="353"/>
      <c r="H78" s="353"/>
      <c r="I78" s="260"/>
    </row>
    <row r="79" spans="3:9" ht="27" hidden="1" customHeight="1" outlineLevel="1" x14ac:dyDescent="0.3">
      <c r="C79" s="566"/>
      <c r="D79" s="161" t="str">
        <f>_xlfn.CONCAT(_xlfn.XLOOKUP("[S13_AnyOtherIssues][73][QuestionnaireSubQuestion]",Submission!$O:$O,Submission!$H:$N,""))</f>
        <v/>
      </c>
      <c r="E79" s="353" t="str">
        <f>_xlfn.CONCAT(_xlfn.XLOOKUP("[S13_AnyOtherIssues][73][OtherInformationOrIssues]",Submission!$O:$O,Submission!$H:$N,""))</f>
        <v/>
      </c>
      <c r="F79" s="353"/>
      <c r="G79" s="353"/>
      <c r="H79" s="353"/>
      <c r="I79" s="260"/>
    </row>
    <row r="80" spans="3:9" ht="27" hidden="1" customHeight="1" outlineLevel="1" x14ac:dyDescent="0.3">
      <c r="C80" s="566"/>
      <c r="D80" s="161" t="str">
        <f>_xlfn.CONCAT(_xlfn.XLOOKUP("[S13_AnyOtherIssues][74][QuestionnaireSubQuestion]",Submission!$O:$O,Submission!$H:$N,""))</f>
        <v/>
      </c>
      <c r="E80" s="353" t="str">
        <f>_xlfn.CONCAT(_xlfn.XLOOKUP("[S13_AnyOtherIssues][74][OtherInformationOrIssues]",Submission!$O:$O,Submission!$H:$N,""))</f>
        <v/>
      </c>
      <c r="F80" s="353"/>
      <c r="G80" s="353"/>
      <c r="H80" s="353"/>
      <c r="I80" s="260"/>
    </row>
    <row r="81" spans="1:9" ht="27" hidden="1" customHeight="1" outlineLevel="1" x14ac:dyDescent="0.3">
      <c r="C81" s="566"/>
      <c r="D81" s="161" t="str">
        <f>_xlfn.CONCAT(_xlfn.XLOOKUP("[S13_AnyOtherIssues][75][QuestionnaireSubQuestion]",Submission!$O:$O,Submission!$H:$N,""))</f>
        <v/>
      </c>
      <c r="E81" s="353" t="str">
        <f>_xlfn.CONCAT(_xlfn.XLOOKUP("[S13_AnyOtherIssues][75][OtherInformationOrIssues]",Submission!$O:$O,Submission!$H:$N,""))</f>
        <v/>
      </c>
      <c r="F81" s="353"/>
      <c r="G81" s="353"/>
      <c r="H81" s="353"/>
      <c r="I81" s="260"/>
    </row>
    <row r="82" spans="1:9" ht="27" hidden="1" customHeight="1" outlineLevel="1" x14ac:dyDescent="0.3">
      <c r="C82" s="566"/>
      <c r="D82" s="161" t="str">
        <f>_xlfn.CONCAT(_xlfn.XLOOKUP("[S13_AnyOtherIssues][76][QuestionnaireSubQuestion]",Submission!$O:$O,Submission!$H:$N,""))</f>
        <v/>
      </c>
      <c r="E82" s="353" t="str">
        <f>_xlfn.CONCAT(_xlfn.XLOOKUP("[S13_AnyOtherIssues][76][OtherInformationOrIssues]",Submission!$O:$O,Submission!$H:$N,""))</f>
        <v/>
      </c>
      <c r="F82" s="353"/>
      <c r="G82" s="353"/>
      <c r="H82" s="353"/>
      <c r="I82" s="260"/>
    </row>
    <row r="83" spans="1:9" ht="27" hidden="1" customHeight="1" outlineLevel="1" x14ac:dyDescent="0.3">
      <c r="C83" s="566"/>
      <c r="D83" s="161" t="str">
        <f>_xlfn.CONCAT(_xlfn.XLOOKUP("[S13_AnyOtherIssues][77][QuestionnaireSubQuestion]",Submission!$O:$O,Submission!$H:$N,""))</f>
        <v/>
      </c>
      <c r="E83" s="353" t="str">
        <f>_xlfn.CONCAT(_xlfn.XLOOKUP("[S13_AnyOtherIssues][77][OtherInformationOrIssues]",Submission!$O:$O,Submission!$H:$N,""))</f>
        <v/>
      </c>
      <c r="F83" s="353"/>
      <c r="G83" s="353"/>
      <c r="H83" s="353"/>
      <c r="I83" s="260"/>
    </row>
    <row r="84" spans="1:9" ht="27" hidden="1" customHeight="1" outlineLevel="1" x14ac:dyDescent="0.3">
      <c r="C84" s="566"/>
      <c r="D84" s="161" t="str">
        <f>_xlfn.CONCAT(_xlfn.XLOOKUP("[S13_AnyOtherIssues][78][QuestionnaireSubQuestion]",Submission!$O:$O,Submission!$H:$N,""))</f>
        <v/>
      </c>
      <c r="E84" s="353" t="str">
        <f>_xlfn.CONCAT(_xlfn.XLOOKUP("[S13_AnyOtherIssues][78][OtherInformationOrIssues]",Submission!$O:$O,Submission!$H:$N,""))</f>
        <v/>
      </c>
      <c r="F84" s="353"/>
      <c r="G84" s="353"/>
      <c r="H84" s="353"/>
      <c r="I84" s="260"/>
    </row>
    <row r="85" spans="1:9" ht="27" hidden="1" customHeight="1" outlineLevel="1" x14ac:dyDescent="0.3">
      <c r="C85" s="567"/>
      <c r="D85" s="161" t="str">
        <f>_xlfn.CONCAT(_xlfn.XLOOKUP("[S13_AnyOtherIssues][79][QuestionnaireSubQuestion]",Submission!$O:$O,Submission!$H:$N,""))</f>
        <v/>
      </c>
      <c r="E85" s="353" t="str">
        <f>_xlfn.CONCAT(_xlfn.XLOOKUP("[S13_AnyOtherIssues][79][OtherInformationOrIssues]",Submission!$O:$O,Submission!$H:$N,""))</f>
        <v/>
      </c>
      <c r="F85" s="353"/>
      <c r="G85" s="353"/>
      <c r="H85" s="353"/>
      <c r="I85" s="260"/>
    </row>
    <row r="86" spans="1:9" ht="27" customHeight="1" collapsed="1" x14ac:dyDescent="0.3">
      <c r="C86" s="565" t="s">
        <v>1375</v>
      </c>
      <c r="D86" s="161" t="str">
        <f>_xlfn.CONCAT(_xlfn.XLOOKUP("[S13_AnyOtherIssues][80][QuestionnaireSubQuestion]",Submission!$O:$O,Submission!$H:$N,""))</f>
        <v/>
      </c>
      <c r="E86" s="353" t="str">
        <f>_xlfn.CONCAT(_xlfn.XLOOKUP("[S13_AnyOtherIssues][80][OtherInformationOrIssues]",Submission!$O:$O,Submission!$H:$N,""))</f>
        <v/>
      </c>
      <c r="F86" s="353"/>
      <c r="G86" s="353"/>
      <c r="H86" s="353"/>
      <c r="I86" s="260"/>
    </row>
    <row r="87" spans="1:9" ht="27" customHeight="1" x14ac:dyDescent="0.3">
      <c r="C87" s="566"/>
      <c r="D87" s="161" t="str">
        <f>_xlfn.CONCAT(_xlfn.XLOOKUP("[S13_AnyOtherIssues][81][QuestionnaireSubQuestion]",Submission!$O:$O,Submission!$H:$N,""))</f>
        <v/>
      </c>
      <c r="E87" s="353" t="str">
        <f>_xlfn.CONCAT(_xlfn.XLOOKUP("[S13_AnyOtherIssues][81][OtherInformationOrIssues]",Submission!$O:$O,Submission!$H:$N,""))</f>
        <v/>
      </c>
      <c r="F87" s="353"/>
      <c r="G87" s="353"/>
      <c r="H87" s="353"/>
      <c r="I87" s="260"/>
    </row>
    <row r="88" spans="1:9" ht="27" hidden="1" customHeight="1" outlineLevel="1" x14ac:dyDescent="0.3">
      <c r="C88" s="566"/>
      <c r="D88" s="161" t="str">
        <f>_xlfn.CONCAT(_xlfn.XLOOKUP("[S13_AnyOtherIssues][82][QuestionnaireSubQuestion]",Submission!$O:$O,Submission!$H:$N,""))</f>
        <v/>
      </c>
      <c r="E88" s="353" t="str">
        <f>_xlfn.CONCAT(_xlfn.XLOOKUP("[S13_AnyOtherIssues][82][OtherInformationOrIssues]",Submission!$O:$O,Submission!$H:$N,""))</f>
        <v/>
      </c>
      <c r="F88" s="353"/>
      <c r="G88" s="353"/>
      <c r="H88" s="353"/>
      <c r="I88" s="260"/>
    </row>
    <row r="89" spans="1:9" ht="27" hidden="1" customHeight="1" outlineLevel="1" x14ac:dyDescent="0.3">
      <c r="C89" s="567"/>
      <c r="D89" s="161" t="str">
        <f>_xlfn.CONCAT(_xlfn.XLOOKUP("[S13_AnyOtherIssues][83][QuestionnaireSubQuestion]",Submission!$O:$O,Submission!$H:$N,""))</f>
        <v/>
      </c>
      <c r="E89" s="353" t="str">
        <f>_xlfn.CONCAT(_xlfn.XLOOKUP("[S13_AnyOtherIssues][83][OtherInformationOrIssues]",Submission!$O:$O,Submission!$H:$N,""))</f>
        <v/>
      </c>
      <c r="F89" s="353"/>
      <c r="G89" s="353"/>
      <c r="H89" s="353"/>
      <c r="I89" s="260"/>
    </row>
    <row r="90" spans="1:9" ht="27" customHeight="1" collapsed="1" x14ac:dyDescent="0.3">
      <c r="C90" s="382" t="s">
        <v>1376</v>
      </c>
      <c r="D90" s="161" t="str">
        <f>_xlfn.CONCAT(_xlfn.XLOOKUP("[S13_AnyOtherIssues][84][QuestionnaireSubQuestion]",Submission!$O:$O,Submission!$H:$N,""))</f>
        <v/>
      </c>
      <c r="E90" s="353" t="str">
        <f>_xlfn.CONCAT(_xlfn.XLOOKUP("[S13_AnyOtherIssues][84][OtherInformationOrIssues]",Submission!$O:$O,Submission!$H:$N,""))</f>
        <v/>
      </c>
      <c r="F90" s="353"/>
      <c r="G90" s="353"/>
      <c r="H90" s="353"/>
      <c r="I90" s="260"/>
    </row>
    <row r="91" spans="1:9" ht="27" customHeight="1" x14ac:dyDescent="0.3">
      <c r="C91" s="382"/>
      <c r="D91" s="161" t="str">
        <f>_xlfn.CONCAT(_xlfn.XLOOKUP("[S13_AnyOtherIssues][85][QuestionnaireSubQuestion]",Submission!$O:$O,Submission!$H:$N,""))</f>
        <v/>
      </c>
      <c r="E91" s="353" t="str">
        <f>_xlfn.CONCAT(_xlfn.XLOOKUP("[S13_AnyOtherIssues][85][OtherInformationOrIssues]",Submission!$O:$O,Submission!$H:$N,""))</f>
        <v/>
      </c>
      <c r="F91" s="353"/>
      <c r="G91" s="353"/>
      <c r="H91" s="353"/>
      <c r="I91" s="260"/>
    </row>
    <row r="92" spans="1:9" ht="27" hidden="1" customHeight="1" outlineLevel="1" x14ac:dyDescent="0.3">
      <c r="C92" s="382"/>
      <c r="D92" s="161" t="str">
        <f>_xlfn.CONCAT(_xlfn.XLOOKUP("[S13_AnyOtherIssues][86][QuestionnaireSubQuestion]",Submission!$O:$O,Submission!$H:$N,""))</f>
        <v/>
      </c>
      <c r="E92" s="369" t="str">
        <f>_xlfn.CONCAT(_xlfn.XLOOKUP("[S13_AnyOtherIssues][86][OtherInformationOrIssues]",Submission!$O:$O,Submission!$H:$N,""))</f>
        <v/>
      </c>
      <c r="F92" s="369"/>
      <c r="G92" s="369"/>
      <c r="H92" s="369"/>
      <c r="I92" s="259"/>
    </row>
    <row r="93" spans="1:9" ht="15.9" customHeight="1" collapsed="1" x14ac:dyDescent="0.3">
      <c r="C93" s="162" t="s">
        <v>1361</v>
      </c>
    </row>
    <row r="94" spans="1:9" ht="15.9" customHeight="1" x14ac:dyDescent="0.3"/>
    <row r="95" spans="1:9" ht="15.9" customHeight="1" x14ac:dyDescent="0.3">
      <c r="A95" s="12" t="s">
        <v>648</v>
      </c>
      <c r="B95" s="338" t="s">
        <v>1377</v>
      </c>
      <c r="C95" s="308"/>
      <c r="D95" s="308"/>
      <c r="E95" s="308"/>
      <c r="F95" s="308"/>
      <c r="G95" s="308"/>
      <c r="H95" s="345"/>
      <c r="I95" s="41" t="str">
        <f>_xlfn.CONCAT(_xlfn.XLOOKUP("[QuestionnaireFilledConfirmation][0][QuestionnaireFilledConfirmation]",Submission!$O:$O,Submission!$H:$N,""))</f>
        <v>Yes</v>
      </c>
    </row>
    <row r="96" spans="1:9" ht="15.9" customHeight="1" x14ac:dyDescent="0.3">
      <c r="A96" s="13"/>
      <c r="B96" s="338" t="s">
        <v>1378</v>
      </c>
      <c r="C96" s="308"/>
      <c r="D96" s="308"/>
      <c r="E96" s="308"/>
      <c r="F96" s="308"/>
      <c r="G96" s="308"/>
      <c r="H96" s="308"/>
      <c r="I96" s="308"/>
    </row>
  </sheetData>
  <mergeCells count="102">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27:I27"/>
    <mergeCell ref="E28:I28"/>
    <mergeCell ref="E29:I29"/>
    <mergeCell ref="E30:I30"/>
    <mergeCell ref="E31:I31"/>
    <mergeCell ref="E22:I22"/>
    <mergeCell ref="E23:I23"/>
    <mergeCell ref="E24:I24"/>
    <mergeCell ref="E25:I25"/>
    <mergeCell ref="E26:I26"/>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VARAM</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VPVB</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VVD</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VID</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CAA</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LVĢMC</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LATAK</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
      </c>
      <c r="AL15" t="str">
        <f>'Q 10'!D158</f>
        <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Latvijas Vides, ģeoloģijas un meteoroloģijas centrs</v>
      </c>
    </row>
    <row r="3" spans="1:21" x14ac:dyDescent="0.3">
      <c r="A3" t="s">
        <v>1738</v>
      </c>
      <c r="B3" t="s">
        <v>1739</v>
      </c>
      <c r="C3">
        <v>0</v>
      </c>
      <c r="D3" t="s">
        <v>1447</v>
      </c>
      <c r="E3" t="s">
        <v>1742</v>
      </c>
      <c r="F3" t="s">
        <v>1741</v>
      </c>
      <c r="G3" t="str">
        <f>IF(ISBLANK('Q 1'!E6),"",IF('Q 1'!E6="&lt;please select&gt;","",'Q 1'!E6))</f>
        <v>Jeļena Lazdāne-Mihalko</v>
      </c>
    </row>
    <row r="4" spans="1:21" x14ac:dyDescent="0.3">
      <c r="A4" t="s">
        <v>1738</v>
      </c>
      <c r="B4" t="s">
        <v>1739</v>
      </c>
      <c r="C4">
        <v>0</v>
      </c>
      <c r="D4" t="s">
        <v>1447</v>
      </c>
      <c r="E4" t="s">
        <v>1743</v>
      </c>
      <c r="F4" t="s">
        <v>1741</v>
      </c>
      <c r="G4" t="str">
        <f>IF(ISBLANK('Q 1'!E7),"",IF('Q 1'!E7="&lt;please select&gt;","",'Q 1'!E7))</f>
        <v>Vecākais speciālists</v>
      </c>
    </row>
    <row r="5" spans="1:21" x14ac:dyDescent="0.3">
      <c r="A5" t="s">
        <v>1738</v>
      </c>
      <c r="B5" t="s">
        <v>1739</v>
      </c>
      <c r="C5">
        <v>0</v>
      </c>
      <c r="D5" t="s">
        <v>1447</v>
      </c>
      <c r="E5" t="s">
        <v>1744</v>
      </c>
      <c r="F5" t="s">
        <v>1741</v>
      </c>
      <c r="G5" t="str">
        <f>IF(ISBLANK('Q 1'!E8),"",IF('Q 1'!E8="&lt;please select&gt;","",'Q 1'!E8))</f>
        <v>Maskavas 165</v>
      </c>
    </row>
    <row r="6" spans="1:21" x14ac:dyDescent="0.3">
      <c r="A6" t="s">
        <v>1738</v>
      </c>
      <c r="B6" t="s">
        <v>1739</v>
      </c>
      <c r="C6">
        <v>0</v>
      </c>
      <c r="D6" t="s">
        <v>1447</v>
      </c>
      <c r="E6" t="s">
        <v>1745</v>
      </c>
      <c r="F6" t="s">
        <v>1741</v>
      </c>
      <c r="G6" t="str">
        <f>IF(ISBLANK('Q 1'!E9),"",IF('Q 1'!E9="&lt;please select&gt;","",'Q 1'!E9))</f>
        <v>37167032015</v>
      </c>
    </row>
    <row r="7" spans="1:21" x14ac:dyDescent="0.3">
      <c r="A7" t="s">
        <v>1738</v>
      </c>
      <c r="B7" t="s">
        <v>1739</v>
      </c>
      <c r="C7">
        <v>0</v>
      </c>
      <c r="D7" t="s">
        <v>1447</v>
      </c>
      <c r="E7" t="s">
        <v>1746</v>
      </c>
      <c r="F7" t="s">
        <v>1741</v>
      </c>
      <c r="G7" t="str">
        <f>IF(ISBLANK('Q 1'!E10),"",IF('Q 1'!E10="&lt;please select&gt;","",'Q 1'!E10))</f>
        <v>Jelena.Lazdane@lvgmc.lv</v>
      </c>
    </row>
    <row r="8" spans="1:21" x14ac:dyDescent="0.3">
      <c r="A8" t="s">
        <v>1738</v>
      </c>
      <c r="B8" t="s">
        <v>1739</v>
      </c>
      <c r="C8">
        <v>0</v>
      </c>
      <c r="D8" t="s">
        <v>1447</v>
      </c>
      <c r="E8" t="s">
        <v>1747</v>
      </c>
      <c r="F8" t="s">
        <v>1748</v>
      </c>
      <c r="H8" t="str">
        <f>IF(ISBLANK('Q 1'!E11),"",IF('Q 1'!E11="&lt;please select&gt;","",'Q 1'!E11))</f>
        <v>2021</v>
      </c>
    </row>
    <row r="9" spans="1:21" x14ac:dyDescent="0.3">
      <c r="A9" t="s">
        <v>1749</v>
      </c>
      <c r="B9" t="s">
        <v>1750</v>
      </c>
      <c r="C9">
        <v>1</v>
      </c>
      <c r="D9" t="s">
        <v>1447</v>
      </c>
      <c r="E9" t="s">
        <v>1751</v>
      </c>
      <c r="F9" t="s">
        <v>1741</v>
      </c>
      <c r="G9" t="str">
        <f>IF(ISBLANK('Q 2'!C7),"",IF('Q 2'!C7="&lt;please select&gt;","",'Q 2'!C7))</f>
        <v>Vides aizsardzības un reģionālās attīstības ministrija</v>
      </c>
    </row>
    <row r="10" spans="1:21" x14ac:dyDescent="0.3">
      <c r="A10" t="s">
        <v>1749</v>
      </c>
      <c r="B10" t="s">
        <v>1750</v>
      </c>
      <c r="C10">
        <v>2</v>
      </c>
      <c r="D10" t="s">
        <v>1447</v>
      </c>
      <c r="E10" t="s">
        <v>1751</v>
      </c>
      <c r="F10" t="s">
        <v>1741</v>
      </c>
      <c r="G10" t="str">
        <f>IF(ISBLANK('Q 2'!C8),"",IF('Q 2'!C8="&lt;please select&gt;","",'Q 2'!C8))</f>
        <v>Vides pārraudzības valsts birojs</v>
      </c>
    </row>
    <row r="11" spans="1:21" x14ac:dyDescent="0.3">
      <c r="A11" t="s">
        <v>1749</v>
      </c>
      <c r="B11" t="s">
        <v>1750</v>
      </c>
      <c r="C11">
        <v>3</v>
      </c>
      <c r="D11" t="s">
        <v>1447</v>
      </c>
      <c r="E11" t="s">
        <v>1751</v>
      </c>
      <c r="F11" t="s">
        <v>1741</v>
      </c>
      <c r="G11" t="str">
        <f>IF(ISBLANK('Q 2'!C9),"",IF('Q 2'!C9="&lt;please select&gt;","",'Q 2'!C9))</f>
        <v>Valsts vides dienests</v>
      </c>
    </row>
    <row r="12" spans="1:21" x14ac:dyDescent="0.3">
      <c r="A12" t="s">
        <v>1749</v>
      </c>
      <c r="B12" t="s">
        <v>1750</v>
      </c>
      <c r="C12">
        <v>4</v>
      </c>
      <c r="D12" t="s">
        <v>1447</v>
      </c>
      <c r="E12" t="s">
        <v>1751</v>
      </c>
      <c r="F12" t="s">
        <v>1741</v>
      </c>
      <c r="G12" t="str">
        <f>IF(ISBLANK('Q 2'!C10),"",IF('Q 2'!C10="&lt;please select&gt;","",'Q 2'!C10))</f>
        <v>Valsts ieņēmumu dienests</v>
      </c>
    </row>
    <row r="13" spans="1:21" x14ac:dyDescent="0.3">
      <c r="A13" t="s">
        <v>1749</v>
      </c>
      <c r="B13" t="s">
        <v>1750</v>
      </c>
      <c r="C13">
        <v>5</v>
      </c>
      <c r="D13" t="s">
        <v>1447</v>
      </c>
      <c r="E13" t="s">
        <v>1751</v>
      </c>
      <c r="F13" t="s">
        <v>1741</v>
      </c>
      <c r="G13" t="str">
        <f>IF(ISBLANK('Q 2'!C11),"",IF('Q 2'!C11="&lt;please select&gt;","",'Q 2'!C11))</f>
        <v>Civilās aviācijas aģentūra</v>
      </c>
    </row>
    <row r="14" spans="1:21" x14ac:dyDescent="0.3">
      <c r="A14" t="s">
        <v>1749</v>
      </c>
      <c r="B14" t="s">
        <v>1750</v>
      </c>
      <c r="C14">
        <v>6</v>
      </c>
      <c r="D14" t="s">
        <v>1447</v>
      </c>
      <c r="E14" t="s">
        <v>1751</v>
      </c>
      <c r="F14" t="s">
        <v>1741</v>
      </c>
      <c r="G14" t="str">
        <f>IF(ISBLANK('Q 2'!C12),"",IF('Q 2'!C12="&lt;please select&gt;","",'Q 2'!C12))</f>
        <v>Latvijas Vides, ģeoloģijas un meteoroloģijas centrs</v>
      </c>
    </row>
    <row r="15" spans="1:21" x14ac:dyDescent="0.3">
      <c r="A15" t="s">
        <v>1749</v>
      </c>
      <c r="B15" t="s">
        <v>1750</v>
      </c>
      <c r="C15">
        <v>7</v>
      </c>
      <c r="D15" t="s">
        <v>1447</v>
      </c>
      <c r="E15" t="s">
        <v>1751</v>
      </c>
      <c r="F15" t="s">
        <v>1741</v>
      </c>
      <c r="G15" t="str">
        <f>IF(ISBLANK('Q 2'!C13),"",IF('Q 2'!C13="&lt;please select&gt;","",'Q 2'!C13))</f>
        <v>Latvijas Nacionālais akreditācijas birojs</v>
      </c>
    </row>
    <row r="16" spans="1:21" x14ac:dyDescent="0.3">
      <c r="A16" t="s">
        <v>1749</v>
      </c>
      <c r="B16" t="s">
        <v>1750</v>
      </c>
      <c r="C16">
        <v>8</v>
      </c>
      <c r="D16" t="s">
        <v>1447</v>
      </c>
      <c r="E16" t="s">
        <v>1751</v>
      </c>
      <c r="F16" t="s">
        <v>1741</v>
      </c>
      <c r="G16" t="str">
        <f>IF(ISBLANK('Q 2'!C14),"",IF('Q 2'!C14="&lt;please select&gt;","",'Q 2'!C14))</f>
        <v/>
      </c>
    </row>
    <row r="17" spans="1:7" x14ac:dyDescent="0.3">
      <c r="A17" t="s">
        <v>1749</v>
      </c>
      <c r="B17" t="s">
        <v>1750</v>
      </c>
      <c r="C17">
        <v>9</v>
      </c>
      <c r="D17" t="s">
        <v>1447</v>
      </c>
      <c r="E17" t="s">
        <v>1751</v>
      </c>
      <c r="F17" t="s">
        <v>1741</v>
      </c>
      <c r="G17" t="str">
        <f>IF(ISBLANK('Q 2'!C15),"",IF('Q 2'!C15="&lt;please select&gt;","",'Q 2'!C15))</f>
        <v/>
      </c>
    </row>
    <row r="18" spans="1:7" x14ac:dyDescent="0.3">
      <c r="A18" t="s">
        <v>1749</v>
      </c>
      <c r="B18" t="s">
        <v>1750</v>
      </c>
      <c r="C18">
        <v>10</v>
      </c>
      <c r="D18" t="s">
        <v>1447</v>
      </c>
      <c r="E18" t="s">
        <v>1751</v>
      </c>
      <c r="F18" t="s">
        <v>1741</v>
      </c>
      <c r="G18" t="str">
        <f>IF(ISBLANK('Q 2'!C16),"",IF('Q 2'!C16="&lt;please select&gt;","",'Q 2'!C16))</f>
        <v/>
      </c>
    </row>
    <row r="19" spans="1:7" x14ac:dyDescent="0.3">
      <c r="A19" t="s">
        <v>1749</v>
      </c>
      <c r="B19" t="s">
        <v>1750</v>
      </c>
      <c r="C19">
        <v>11</v>
      </c>
      <c r="D19" t="s">
        <v>1447</v>
      </c>
      <c r="E19" t="s">
        <v>1751</v>
      </c>
      <c r="F19" t="s">
        <v>1741</v>
      </c>
      <c r="G19" t="str">
        <f>IF(ISBLANK('Q 2'!C17),"",IF('Q 2'!C17="&lt;please select&gt;","",'Q 2'!C17))</f>
        <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VARAM</v>
      </c>
    </row>
    <row r="32" spans="1:7" x14ac:dyDescent="0.3">
      <c r="A32" t="s">
        <v>1749</v>
      </c>
      <c r="B32" t="s">
        <v>1750</v>
      </c>
      <c r="C32">
        <v>2</v>
      </c>
      <c r="D32" t="s">
        <v>1447</v>
      </c>
      <c r="E32" t="s">
        <v>1752</v>
      </c>
      <c r="F32" t="s">
        <v>1741</v>
      </c>
      <c r="G32" t="str">
        <f>IF(ISBLANK('Q 2'!D8),"",IF('Q 2'!D8="&lt;please select&gt;","",'Q 2'!D8))</f>
        <v>VPVB</v>
      </c>
    </row>
    <row r="33" spans="1:7" x14ac:dyDescent="0.3">
      <c r="A33" t="s">
        <v>1749</v>
      </c>
      <c r="B33" t="s">
        <v>1750</v>
      </c>
      <c r="C33">
        <v>3</v>
      </c>
      <c r="D33" t="s">
        <v>1447</v>
      </c>
      <c r="E33" t="s">
        <v>1752</v>
      </c>
      <c r="F33" t="s">
        <v>1741</v>
      </c>
      <c r="G33" t="str">
        <f>IF(ISBLANK('Q 2'!D9),"",IF('Q 2'!D9="&lt;please select&gt;","",'Q 2'!D9))</f>
        <v>VVD</v>
      </c>
    </row>
    <row r="34" spans="1:7" x14ac:dyDescent="0.3">
      <c r="A34" t="s">
        <v>1749</v>
      </c>
      <c r="B34" t="s">
        <v>1750</v>
      </c>
      <c r="C34">
        <v>4</v>
      </c>
      <c r="D34" t="s">
        <v>1447</v>
      </c>
      <c r="E34" t="s">
        <v>1752</v>
      </c>
      <c r="F34" t="s">
        <v>1741</v>
      </c>
      <c r="G34" t="str">
        <f>IF(ISBLANK('Q 2'!D10),"",IF('Q 2'!D10="&lt;please select&gt;","",'Q 2'!D10))</f>
        <v>VID</v>
      </c>
    </row>
    <row r="35" spans="1:7" x14ac:dyDescent="0.3">
      <c r="A35" t="s">
        <v>1749</v>
      </c>
      <c r="B35" t="s">
        <v>1750</v>
      </c>
      <c r="C35">
        <v>5</v>
      </c>
      <c r="D35" t="s">
        <v>1447</v>
      </c>
      <c r="E35" t="s">
        <v>1752</v>
      </c>
      <c r="F35" t="s">
        <v>1741</v>
      </c>
      <c r="G35" t="str">
        <f>IF(ISBLANK('Q 2'!D11),"",IF('Q 2'!D11="&lt;please select&gt;","",'Q 2'!D11))</f>
        <v>CAA</v>
      </c>
    </row>
    <row r="36" spans="1:7" x14ac:dyDescent="0.3">
      <c r="A36" t="s">
        <v>1749</v>
      </c>
      <c r="B36" t="s">
        <v>1750</v>
      </c>
      <c r="C36">
        <v>6</v>
      </c>
      <c r="D36" t="s">
        <v>1447</v>
      </c>
      <c r="E36" t="s">
        <v>1752</v>
      </c>
      <c r="F36" t="s">
        <v>1741</v>
      </c>
      <c r="G36" t="str">
        <f>IF(ISBLANK('Q 2'!D12),"",IF('Q 2'!D12="&lt;please select&gt;","",'Q 2'!D12))</f>
        <v>LVĢMC</v>
      </c>
    </row>
    <row r="37" spans="1:7" x14ac:dyDescent="0.3">
      <c r="A37" t="s">
        <v>1749</v>
      </c>
      <c r="B37" t="s">
        <v>1750</v>
      </c>
      <c r="C37">
        <v>7</v>
      </c>
      <c r="D37" t="s">
        <v>1447</v>
      </c>
      <c r="E37" t="s">
        <v>1752</v>
      </c>
      <c r="F37" t="s">
        <v>1741</v>
      </c>
      <c r="G37" t="str">
        <f>IF(ISBLANK('Q 2'!D13),"",IF('Q 2'!D13="&lt;please select&gt;","",'Q 2'!D13))</f>
        <v>LATAK</v>
      </c>
    </row>
    <row r="38" spans="1:7" x14ac:dyDescent="0.3">
      <c r="A38" t="s">
        <v>1749</v>
      </c>
      <c r="B38" t="s">
        <v>1750</v>
      </c>
      <c r="C38">
        <v>8</v>
      </c>
      <c r="D38" t="s">
        <v>1447</v>
      </c>
      <c r="E38" t="s">
        <v>1752</v>
      </c>
      <c r="F38" t="s">
        <v>1741</v>
      </c>
      <c r="G38" t="str">
        <f>IF(ISBLANK('Q 2'!D14),"",IF('Q 2'!D14="&lt;please select&gt;","",'Q 2'!D14))</f>
        <v/>
      </c>
    </row>
    <row r="39" spans="1:7" x14ac:dyDescent="0.3">
      <c r="A39" t="s">
        <v>1749</v>
      </c>
      <c r="B39" t="s">
        <v>1750</v>
      </c>
      <c r="C39">
        <v>9</v>
      </c>
      <c r="D39" t="s">
        <v>1447</v>
      </c>
      <c r="E39" t="s">
        <v>1752</v>
      </c>
      <c r="F39" t="s">
        <v>1741</v>
      </c>
      <c r="G39" t="str">
        <f>IF(ISBLANK('Q 2'!D15),"",IF('Q 2'!D15="&lt;please select&gt;","",'Q 2'!D15))</f>
        <v/>
      </c>
    </row>
    <row r="40" spans="1:7" x14ac:dyDescent="0.3">
      <c r="A40" t="s">
        <v>1749</v>
      </c>
      <c r="B40" t="s">
        <v>1750</v>
      </c>
      <c r="C40">
        <v>10</v>
      </c>
      <c r="D40" t="s">
        <v>1447</v>
      </c>
      <c r="E40" t="s">
        <v>1752</v>
      </c>
      <c r="F40" t="s">
        <v>1741</v>
      </c>
      <c r="G40" t="str">
        <f>IF(ISBLANK('Q 2'!D16),"",IF('Q 2'!D16="&lt;please select&gt;","",'Q 2'!D16))</f>
        <v/>
      </c>
    </row>
    <row r="41" spans="1:7" x14ac:dyDescent="0.3">
      <c r="A41" t="s">
        <v>1749</v>
      </c>
      <c r="B41" t="s">
        <v>1750</v>
      </c>
      <c r="C41">
        <v>11</v>
      </c>
      <c r="D41" t="s">
        <v>1447</v>
      </c>
      <c r="E41" t="s">
        <v>1752</v>
      </c>
      <c r="F41" t="s">
        <v>1741</v>
      </c>
      <c r="G41" t="str">
        <f>IF(ISBLANK('Q 2'!D17),"",IF('Q 2'!D17="&lt;please select&gt;","",'Q 2'!D17))</f>
        <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Central competent authority</v>
      </c>
    </row>
    <row r="54" spans="1:7" x14ac:dyDescent="0.3">
      <c r="A54" t="s">
        <v>1749</v>
      </c>
      <c r="B54" t="s">
        <v>1750</v>
      </c>
      <c r="C54">
        <v>2</v>
      </c>
      <c r="D54" t="s">
        <v>1447</v>
      </c>
      <c r="E54" t="s">
        <v>1753</v>
      </c>
      <c r="F54" t="s">
        <v>1741</v>
      </c>
      <c r="G54" t="str">
        <f>IF(ISBLANK('Q 2'!E8),"",IF('Q 2'!E8="&lt;please select&gt;","",'Q 2'!E8))</f>
        <v>Central competent authority</v>
      </c>
    </row>
    <row r="55" spans="1:7" x14ac:dyDescent="0.3">
      <c r="A55" t="s">
        <v>1749</v>
      </c>
      <c r="B55" t="s">
        <v>1750</v>
      </c>
      <c r="C55">
        <v>3</v>
      </c>
      <c r="D55" t="s">
        <v>1447</v>
      </c>
      <c r="E55" t="s">
        <v>1753</v>
      </c>
      <c r="F55" t="s">
        <v>1741</v>
      </c>
      <c r="G55" t="str">
        <f>IF(ISBLANK('Q 2'!E9),"",IF('Q 2'!E9="&lt;please select&gt;","",'Q 2'!E9))</f>
        <v>Central competent authority</v>
      </c>
    </row>
    <row r="56" spans="1:7" x14ac:dyDescent="0.3">
      <c r="A56" t="s">
        <v>1749</v>
      </c>
      <c r="B56" t="s">
        <v>1750</v>
      </c>
      <c r="C56">
        <v>4</v>
      </c>
      <c r="D56" t="s">
        <v>1447</v>
      </c>
      <c r="E56" t="s">
        <v>1753</v>
      </c>
      <c r="F56" t="s">
        <v>1741</v>
      </c>
      <c r="G56" t="str">
        <f>IF(ISBLANK('Q 2'!E10),"",IF('Q 2'!E10="&lt;please select&gt;","",'Q 2'!E10))</f>
        <v>Central competent authority</v>
      </c>
    </row>
    <row r="57" spans="1:7" x14ac:dyDescent="0.3">
      <c r="A57" t="s">
        <v>1749</v>
      </c>
      <c r="B57" t="s">
        <v>1750</v>
      </c>
      <c r="C57">
        <v>5</v>
      </c>
      <c r="D57" t="s">
        <v>1447</v>
      </c>
      <c r="E57" t="s">
        <v>1753</v>
      </c>
      <c r="F57" t="s">
        <v>1741</v>
      </c>
      <c r="G57" t="str">
        <f>IF(ISBLANK('Q 2'!E11),"",IF('Q 2'!E11="&lt;please select&gt;","",'Q 2'!E11))</f>
        <v>Central competent authority</v>
      </c>
    </row>
    <row r="58" spans="1:7" x14ac:dyDescent="0.3">
      <c r="A58" t="s">
        <v>1749</v>
      </c>
      <c r="B58" t="s">
        <v>1750</v>
      </c>
      <c r="C58">
        <v>6</v>
      </c>
      <c r="D58" t="s">
        <v>1447</v>
      </c>
      <c r="E58" t="s">
        <v>1753</v>
      </c>
      <c r="F58" t="s">
        <v>1741</v>
      </c>
      <c r="G58" t="str">
        <f>IF(ISBLANK('Q 2'!E12),"",IF('Q 2'!E12="&lt;please select&gt;","",'Q 2'!E12))</f>
        <v>Central competent authority</v>
      </c>
    </row>
    <row r="59" spans="1:7" x14ac:dyDescent="0.3">
      <c r="A59" t="s">
        <v>1749</v>
      </c>
      <c r="B59" t="s">
        <v>1750</v>
      </c>
      <c r="C59">
        <v>7</v>
      </c>
      <c r="D59" t="s">
        <v>1447</v>
      </c>
      <c r="E59" t="s">
        <v>1753</v>
      </c>
      <c r="F59" t="s">
        <v>1741</v>
      </c>
      <c r="G59" t="str">
        <f>IF(ISBLANK('Q 2'!E13),"",IF('Q 2'!E13="&lt;please select&gt;","",'Q 2'!E13))</f>
        <v>Central competent authority</v>
      </c>
    </row>
    <row r="60" spans="1:7" x14ac:dyDescent="0.3">
      <c r="A60" t="s">
        <v>1749</v>
      </c>
      <c r="B60" t="s">
        <v>1750</v>
      </c>
      <c r="C60">
        <v>8</v>
      </c>
      <c r="D60" t="s">
        <v>1447</v>
      </c>
      <c r="E60" t="s">
        <v>1753</v>
      </c>
      <c r="F60" t="s">
        <v>1741</v>
      </c>
      <c r="G60" t="str">
        <f>IF(ISBLANK('Q 2'!E14),"",IF('Q 2'!E14="&lt;please select&gt;","",'Q 2'!E14))</f>
        <v/>
      </c>
    </row>
    <row r="61" spans="1:7" x14ac:dyDescent="0.3">
      <c r="A61" t="s">
        <v>1749</v>
      </c>
      <c r="B61" t="s">
        <v>1750</v>
      </c>
      <c r="C61">
        <v>9</v>
      </c>
      <c r="D61" t="s">
        <v>1447</v>
      </c>
      <c r="E61" t="s">
        <v>1753</v>
      </c>
      <c r="F61" t="s">
        <v>1741</v>
      </c>
      <c r="G61" t="str">
        <f>IF(ISBLANK('Q 2'!E15),"",IF('Q 2'!E15="&lt;please select&gt;","",'Q 2'!E15))</f>
        <v/>
      </c>
    </row>
    <row r="62" spans="1:7" x14ac:dyDescent="0.3">
      <c r="A62" t="s">
        <v>1749</v>
      </c>
      <c r="B62" t="s">
        <v>1750</v>
      </c>
      <c r="C62">
        <v>10</v>
      </c>
      <c r="D62" t="s">
        <v>1447</v>
      </c>
      <c r="E62" t="s">
        <v>1753</v>
      </c>
      <c r="F62" t="s">
        <v>1741</v>
      </c>
      <c r="G62" t="str">
        <f>IF(ISBLANK('Q 2'!E16),"",IF('Q 2'!E16="&lt;please select&gt;","",'Q 2'!E16))</f>
        <v/>
      </c>
    </row>
    <row r="63" spans="1:7" x14ac:dyDescent="0.3">
      <c r="A63" t="s">
        <v>1749</v>
      </c>
      <c r="B63" t="s">
        <v>1750</v>
      </c>
      <c r="C63">
        <v>11</v>
      </c>
      <c r="D63" t="s">
        <v>1447</v>
      </c>
      <c r="E63" t="s">
        <v>1753</v>
      </c>
      <c r="F63" t="s">
        <v>1741</v>
      </c>
      <c r="G63" t="str">
        <f>IF(ISBLANK('Q 2'!E17),"",IF('Q 2'!E17="&lt;please select&gt;","",'Q 2'!E17))</f>
        <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37167026533</v>
      </c>
    </row>
    <row r="98" spans="1:7" x14ac:dyDescent="0.3">
      <c r="A98" t="s">
        <v>1749</v>
      </c>
      <c r="B98" t="s">
        <v>1750</v>
      </c>
      <c r="C98">
        <v>2</v>
      </c>
      <c r="D98" t="s">
        <v>1447</v>
      </c>
      <c r="E98" t="s">
        <v>1755</v>
      </c>
      <c r="F98" t="s">
        <v>1741</v>
      </c>
      <c r="G98" t="str">
        <f>IF(ISBLANK('Q 2'!G8),"",IF('Q 2'!G8="&lt;please select&gt;","",'Q 2'!G8))</f>
        <v>37167321173</v>
      </c>
    </row>
    <row r="99" spans="1:7" x14ac:dyDescent="0.3">
      <c r="A99" t="s">
        <v>1749</v>
      </c>
      <c r="B99" t="s">
        <v>1750</v>
      </c>
      <c r="C99">
        <v>3</v>
      </c>
      <c r="D99" t="s">
        <v>1447</v>
      </c>
      <c r="E99" t="s">
        <v>1755</v>
      </c>
      <c r="F99" t="s">
        <v>1741</v>
      </c>
      <c r="G99" t="str">
        <f>IF(ISBLANK('Q 2'!G9),"",IF('Q 2'!G9="&lt;please select&gt;","",'Q 2'!G9))</f>
        <v>37167084200</v>
      </c>
    </row>
    <row r="100" spans="1:7" x14ac:dyDescent="0.3">
      <c r="A100" t="s">
        <v>1749</v>
      </c>
      <c r="B100" t="s">
        <v>1750</v>
      </c>
      <c r="C100">
        <v>4</v>
      </c>
      <c r="D100" t="s">
        <v>1447</v>
      </c>
      <c r="E100" t="s">
        <v>1755</v>
      </c>
      <c r="F100" t="s">
        <v>1741</v>
      </c>
      <c r="G100" t="str">
        <f>IF(ISBLANK('Q 2'!G10),"",IF('Q 2'!G10="&lt;please select&gt;","",'Q 2'!G10))</f>
        <v>37167122689</v>
      </c>
    </row>
    <row r="101" spans="1:7" x14ac:dyDescent="0.3">
      <c r="A101" t="s">
        <v>1749</v>
      </c>
      <c r="B101" t="s">
        <v>1750</v>
      </c>
      <c r="C101">
        <v>5</v>
      </c>
      <c r="D101" t="s">
        <v>1447</v>
      </c>
      <c r="E101" t="s">
        <v>1755</v>
      </c>
      <c r="F101" t="s">
        <v>1741</v>
      </c>
      <c r="G101" t="str">
        <f>IF(ISBLANK('Q 2'!G11),"",IF('Q 2'!G11="&lt;please select&gt;","",'Q 2'!G11))</f>
        <v>37167830936</v>
      </c>
    </row>
    <row r="102" spans="1:7" x14ac:dyDescent="0.3">
      <c r="A102" t="s">
        <v>1749</v>
      </c>
      <c r="B102" t="s">
        <v>1750</v>
      </c>
      <c r="C102">
        <v>6</v>
      </c>
      <c r="D102" t="s">
        <v>1447</v>
      </c>
      <c r="E102" t="s">
        <v>1755</v>
      </c>
      <c r="F102" t="s">
        <v>1741</v>
      </c>
      <c r="G102" t="str">
        <f>IF(ISBLANK('Q 2'!G12),"",IF('Q 2'!G12="&lt;please select&gt;","",'Q 2'!G12))</f>
        <v>37167032600</v>
      </c>
    </row>
    <row r="103" spans="1:7" x14ac:dyDescent="0.3">
      <c r="A103" t="s">
        <v>1749</v>
      </c>
      <c r="B103" t="s">
        <v>1750</v>
      </c>
      <c r="C103">
        <v>7</v>
      </c>
      <c r="D103" t="s">
        <v>1447</v>
      </c>
      <c r="E103" t="s">
        <v>1755</v>
      </c>
      <c r="F103" t="s">
        <v>1741</v>
      </c>
      <c r="G103" t="str">
        <f>IF(ISBLANK('Q 2'!G13),"",IF('Q 2'!G13="&lt;please select&gt;","",'Q 2'!G13))</f>
        <v>37167373051</v>
      </c>
    </row>
    <row r="104" spans="1:7" x14ac:dyDescent="0.3">
      <c r="A104" t="s">
        <v>1749</v>
      </c>
      <c r="B104" t="s">
        <v>1750</v>
      </c>
      <c r="C104">
        <v>8</v>
      </c>
      <c r="D104" t="s">
        <v>1447</v>
      </c>
      <c r="E104" t="s">
        <v>1755</v>
      </c>
      <c r="F104" t="s">
        <v>1741</v>
      </c>
      <c r="G104" t="str">
        <f>IF(ISBLANK('Q 2'!G14),"",IF('Q 2'!G14="&lt;please select&gt;","",'Q 2'!G14))</f>
        <v/>
      </c>
    </row>
    <row r="105" spans="1:7" x14ac:dyDescent="0.3">
      <c r="A105" t="s">
        <v>1749</v>
      </c>
      <c r="B105" t="s">
        <v>1750</v>
      </c>
      <c r="C105">
        <v>9</v>
      </c>
      <c r="D105" t="s">
        <v>1447</v>
      </c>
      <c r="E105" t="s">
        <v>1755</v>
      </c>
      <c r="F105" t="s">
        <v>1741</v>
      </c>
      <c r="G105" t="str">
        <f>IF(ISBLANK('Q 2'!G15),"",IF('Q 2'!G15="&lt;please select&gt;","",'Q 2'!G15))</f>
        <v/>
      </c>
    </row>
    <row r="106" spans="1:7" x14ac:dyDescent="0.3">
      <c r="A106" t="s">
        <v>1749</v>
      </c>
      <c r="B106" t="s">
        <v>1750</v>
      </c>
      <c r="C106">
        <v>10</v>
      </c>
      <c r="D106" t="s">
        <v>1447</v>
      </c>
      <c r="E106" t="s">
        <v>1755</v>
      </c>
      <c r="F106" t="s">
        <v>1741</v>
      </c>
      <c r="G106" t="str">
        <f>IF(ISBLANK('Q 2'!G16),"",IF('Q 2'!G16="&lt;please select&gt;","",'Q 2'!G16))</f>
        <v/>
      </c>
    </row>
    <row r="107" spans="1:7" x14ac:dyDescent="0.3">
      <c r="A107" t="s">
        <v>1749</v>
      </c>
      <c r="B107" t="s">
        <v>1750</v>
      </c>
      <c r="C107">
        <v>11</v>
      </c>
      <c r="D107" t="s">
        <v>1447</v>
      </c>
      <c r="E107" t="s">
        <v>1755</v>
      </c>
      <c r="F107" t="s">
        <v>1741</v>
      </c>
      <c r="G107" t="str">
        <f>IF(ISBLANK('Q 2'!G17),"",IF('Q 2'!G17="&lt;please select&gt;","",'Q 2'!G17))</f>
        <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pasts@varam.gov.lv</v>
      </c>
    </row>
    <row r="120" spans="1:7" x14ac:dyDescent="0.3">
      <c r="A120" t="s">
        <v>1749</v>
      </c>
      <c r="B120" t="s">
        <v>1750</v>
      </c>
      <c r="C120">
        <v>2</v>
      </c>
      <c r="D120" t="s">
        <v>1447</v>
      </c>
      <c r="E120" t="s">
        <v>1756</v>
      </c>
      <c r="F120" t="s">
        <v>1741</v>
      </c>
      <c r="G120" t="str">
        <f>IF(ISBLANK('Q 2'!H8),"",IF('Q 2'!H8="&lt;please select&gt;","",'Q 2'!H8))</f>
        <v>vpvb@vpvb.gov.lv</v>
      </c>
    </row>
    <row r="121" spans="1:7" x14ac:dyDescent="0.3">
      <c r="A121" t="s">
        <v>1749</v>
      </c>
      <c r="B121" t="s">
        <v>1750</v>
      </c>
      <c r="C121">
        <v>3</v>
      </c>
      <c r="D121" t="s">
        <v>1447</v>
      </c>
      <c r="E121" t="s">
        <v>1756</v>
      </c>
      <c r="F121" t="s">
        <v>1741</v>
      </c>
      <c r="G121" t="str">
        <f>IF(ISBLANK('Q 2'!H9),"",IF('Q 2'!H9="&lt;please select&gt;","",'Q 2'!H9))</f>
        <v>vvd@vvd.gov.lv</v>
      </c>
    </row>
    <row r="122" spans="1:7" x14ac:dyDescent="0.3">
      <c r="A122" t="s">
        <v>1749</v>
      </c>
      <c r="B122" t="s">
        <v>1750</v>
      </c>
      <c r="C122">
        <v>4</v>
      </c>
      <c r="D122" t="s">
        <v>1447</v>
      </c>
      <c r="E122" t="s">
        <v>1756</v>
      </c>
      <c r="F122" t="s">
        <v>1741</v>
      </c>
      <c r="G122" t="str">
        <f>IF(ISBLANK('Q 2'!H10),"",IF('Q 2'!H10="&lt;please select&gt;","",'Q 2'!H10))</f>
        <v>vid@vid.gov.lv</v>
      </c>
    </row>
    <row r="123" spans="1:7" x14ac:dyDescent="0.3">
      <c r="A123" t="s">
        <v>1749</v>
      </c>
      <c r="B123" t="s">
        <v>1750</v>
      </c>
      <c r="C123">
        <v>5</v>
      </c>
      <c r="D123" t="s">
        <v>1447</v>
      </c>
      <c r="E123" t="s">
        <v>1756</v>
      </c>
      <c r="F123" t="s">
        <v>1741</v>
      </c>
      <c r="G123" t="str">
        <f>IF(ISBLANK('Q 2'!H11),"",IF('Q 2'!H11="&lt;please select&gt;","",'Q 2'!H11))</f>
        <v>caa@caa.gov.lv</v>
      </c>
    </row>
    <row r="124" spans="1:7" x14ac:dyDescent="0.3">
      <c r="A124" t="s">
        <v>1749</v>
      </c>
      <c r="B124" t="s">
        <v>1750</v>
      </c>
      <c r="C124">
        <v>6</v>
      </c>
      <c r="D124" t="s">
        <v>1447</v>
      </c>
      <c r="E124" t="s">
        <v>1756</v>
      </c>
      <c r="F124" t="s">
        <v>1741</v>
      </c>
      <c r="G124" t="str">
        <f>IF(ISBLANK('Q 2'!H12),"",IF('Q 2'!H12="&lt;please select&gt;","",'Q 2'!H12))</f>
        <v>lvgmc@lvgmc.lv</v>
      </c>
    </row>
    <row r="125" spans="1:7" x14ac:dyDescent="0.3">
      <c r="A125" t="s">
        <v>1749</v>
      </c>
      <c r="B125" t="s">
        <v>1750</v>
      </c>
      <c r="C125">
        <v>7</v>
      </c>
      <c r="D125" t="s">
        <v>1447</v>
      </c>
      <c r="E125" t="s">
        <v>1756</v>
      </c>
      <c r="F125" t="s">
        <v>1741</v>
      </c>
      <c r="G125" t="str">
        <f>IF(ISBLANK('Q 2'!H13),"",IF('Q 2'!H13="&lt;please select&gt;","",'Q 2'!H13))</f>
        <v>pasts@latak.gov.lv</v>
      </c>
    </row>
    <row r="126" spans="1:7" x14ac:dyDescent="0.3">
      <c r="A126" t="s">
        <v>1749</v>
      </c>
      <c r="B126" t="s">
        <v>1750</v>
      </c>
      <c r="C126">
        <v>8</v>
      </c>
      <c r="D126" t="s">
        <v>1447</v>
      </c>
      <c r="E126" t="s">
        <v>1756</v>
      </c>
      <c r="F126" t="s">
        <v>1741</v>
      </c>
      <c r="G126" t="str">
        <f>IF(ISBLANK('Q 2'!H14),"",IF('Q 2'!H14="&lt;please select&gt;","",'Q 2'!H14))</f>
        <v/>
      </c>
    </row>
    <row r="127" spans="1:7" x14ac:dyDescent="0.3">
      <c r="A127" t="s">
        <v>1749</v>
      </c>
      <c r="B127" t="s">
        <v>1750</v>
      </c>
      <c r="C127">
        <v>9</v>
      </c>
      <c r="D127" t="s">
        <v>1447</v>
      </c>
      <c r="E127" t="s">
        <v>1756</v>
      </c>
      <c r="F127" t="s">
        <v>1741</v>
      </c>
      <c r="G127" t="str">
        <f>IF(ISBLANK('Q 2'!H15),"",IF('Q 2'!H15="&lt;please select&gt;","",'Q 2'!H15))</f>
        <v/>
      </c>
    </row>
    <row r="128" spans="1:7" x14ac:dyDescent="0.3">
      <c r="A128" t="s">
        <v>1749</v>
      </c>
      <c r="B128" t="s">
        <v>1750</v>
      </c>
      <c r="C128">
        <v>10</v>
      </c>
      <c r="D128" t="s">
        <v>1447</v>
      </c>
      <c r="E128" t="s">
        <v>1756</v>
      </c>
      <c r="F128" t="s">
        <v>1741</v>
      </c>
      <c r="G128" t="str">
        <f>IF(ISBLANK('Q 2'!H16),"",IF('Q 2'!H16="&lt;please select&gt;","",'Q 2'!H16))</f>
        <v/>
      </c>
    </row>
    <row r="129" spans="1:7" x14ac:dyDescent="0.3">
      <c r="A129" t="s">
        <v>1749</v>
      </c>
      <c r="B129" t="s">
        <v>1750</v>
      </c>
      <c r="C129">
        <v>11</v>
      </c>
      <c r="D129" t="s">
        <v>1447</v>
      </c>
      <c r="E129" t="s">
        <v>1756</v>
      </c>
      <c r="F129" t="s">
        <v>1741</v>
      </c>
      <c r="G129" t="str">
        <f>IF(ISBLANK('Q 2'!H17),"",IF('Q 2'!H17="&lt;please select&gt;","",'Q 2'!H17))</f>
        <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http://www.varam.gov.lv</v>
      </c>
    </row>
    <row r="142" spans="1:7" x14ac:dyDescent="0.3">
      <c r="A142" t="s">
        <v>1749</v>
      </c>
      <c r="B142" t="s">
        <v>1750</v>
      </c>
      <c r="C142">
        <v>2</v>
      </c>
      <c r="D142" t="s">
        <v>1447</v>
      </c>
      <c r="E142" t="s">
        <v>1757</v>
      </c>
      <c r="F142" t="s">
        <v>1741</v>
      </c>
      <c r="G142" t="str">
        <f>IF(ISBLANK('Q 2'!I8),"",IF('Q 2'!I8="&lt;please select&gt;","",'Q 2'!I8))</f>
        <v>http://www.vpvb.gov.lv/lv</v>
      </c>
    </row>
    <row r="143" spans="1:7" x14ac:dyDescent="0.3">
      <c r="A143" t="s">
        <v>1749</v>
      </c>
      <c r="B143" t="s">
        <v>1750</v>
      </c>
      <c r="C143">
        <v>3</v>
      </c>
      <c r="D143" t="s">
        <v>1447</v>
      </c>
      <c r="E143" t="s">
        <v>1757</v>
      </c>
      <c r="F143" t="s">
        <v>1741</v>
      </c>
      <c r="G143" t="str">
        <f>IF(ISBLANK('Q 2'!I9),"",IF('Q 2'!I9="&lt;please select&gt;","",'Q 2'!I9))</f>
        <v>http://www.vvd.gov.lv</v>
      </c>
    </row>
    <row r="144" spans="1:7" x14ac:dyDescent="0.3">
      <c r="A144" t="s">
        <v>1749</v>
      </c>
      <c r="B144" t="s">
        <v>1750</v>
      </c>
      <c r="C144">
        <v>4</v>
      </c>
      <c r="D144" t="s">
        <v>1447</v>
      </c>
      <c r="E144" t="s">
        <v>1757</v>
      </c>
      <c r="F144" t="s">
        <v>1741</v>
      </c>
      <c r="G144" t="str">
        <f>IF(ISBLANK('Q 2'!I10),"",IF('Q 2'!I10="&lt;please select&gt;","",'Q 2'!I10))</f>
        <v>http://www.vid.gov.lv</v>
      </c>
    </row>
    <row r="145" spans="1:7" x14ac:dyDescent="0.3">
      <c r="A145" t="s">
        <v>1749</v>
      </c>
      <c r="B145" t="s">
        <v>1750</v>
      </c>
      <c r="C145">
        <v>5</v>
      </c>
      <c r="D145" t="s">
        <v>1447</v>
      </c>
      <c r="E145" t="s">
        <v>1757</v>
      </c>
      <c r="F145" t="s">
        <v>1741</v>
      </c>
      <c r="G145" t="str">
        <f>IF(ISBLANK('Q 2'!I11),"",IF('Q 2'!I11="&lt;please select&gt;","",'Q 2'!I11))</f>
        <v>http://www.caa.lv</v>
      </c>
    </row>
    <row r="146" spans="1:7" x14ac:dyDescent="0.3">
      <c r="A146" t="s">
        <v>1749</v>
      </c>
      <c r="B146" t="s">
        <v>1750</v>
      </c>
      <c r="C146">
        <v>6</v>
      </c>
      <c r="D146" t="s">
        <v>1447</v>
      </c>
      <c r="E146" t="s">
        <v>1757</v>
      </c>
      <c r="F146" t="s">
        <v>1741</v>
      </c>
      <c r="G146" t="str">
        <f>IF(ISBLANK('Q 2'!I12),"",IF('Q 2'!I12="&lt;please select&gt;","",'Q 2'!I12))</f>
        <v>http://www.meteo.lv</v>
      </c>
    </row>
    <row r="147" spans="1:7" x14ac:dyDescent="0.3">
      <c r="A147" t="s">
        <v>1749</v>
      </c>
      <c r="B147" t="s">
        <v>1750</v>
      </c>
      <c r="C147">
        <v>7</v>
      </c>
      <c r="D147" t="s">
        <v>1447</v>
      </c>
      <c r="E147" t="s">
        <v>1757</v>
      </c>
      <c r="F147" t="s">
        <v>1741</v>
      </c>
      <c r="G147" t="str">
        <f>IF(ISBLANK('Q 2'!I13),"",IF('Q 2'!I13="&lt;please select&gt;","",'Q 2'!I13))</f>
        <v>http://www.latak.gov.lv</v>
      </c>
    </row>
    <row r="148" spans="1:7" x14ac:dyDescent="0.3">
      <c r="A148" t="s">
        <v>1749</v>
      </c>
      <c r="B148" t="s">
        <v>1750</v>
      </c>
      <c r="C148">
        <v>8</v>
      </c>
      <c r="D148" t="s">
        <v>1447</v>
      </c>
      <c r="E148" t="s">
        <v>1757</v>
      </c>
      <c r="F148" t="s">
        <v>1741</v>
      </c>
      <c r="G148" t="str">
        <f>IF(ISBLANK('Q 2'!I14),"",IF('Q 2'!I14="&lt;please select&gt;","",'Q 2'!I14))</f>
        <v/>
      </c>
    </row>
    <row r="149" spans="1:7" x14ac:dyDescent="0.3">
      <c r="A149" t="s">
        <v>1749</v>
      </c>
      <c r="B149" t="s">
        <v>1750</v>
      </c>
      <c r="C149">
        <v>9</v>
      </c>
      <c r="D149" t="s">
        <v>1447</v>
      </c>
      <c r="E149" t="s">
        <v>1757</v>
      </c>
      <c r="F149" t="s">
        <v>1741</v>
      </c>
      <c r="G149" t="str">
        <f>IF(ISBLANK('Q 2'!I15),"",IF('Q 2'!I15="&lt;please select&gt;","",'Q 2'!I15))</f>
        <v/>
      </c>
    </row>
    <row r="150" spans="1:7" x14ac:dyDescent="0.3">
      <c r="A150" t="s">
        <v>1749</v>
      </c>
      <c r="B150" t="s">
        <v>1750</v>
      </c>
      <c r="C150">
        <v>10</v>
      </c>
      <c r="D150" t="s">
        <v>1447</v>
      </c>
      <c r="E150" t="s">
        <v>1757</v>
      </c>
      <c r="F150" t="s">
        <v>1741</v>
      </c>
      <c r="G150" t="str">
        <f>IF(ISBLANK('Q 2'!I16),"",IF('Q 2'!I16="&lt;please select&gt;","",'Q 2'!I16))</f>
        <v/>
      </c>
    </row>
    <row r="151" spans="1:7" x14ac:dyDescent="0.3">
      <c r="A151" t="s">
        <v>1749</v>
      </c>
      <c r="B151" t="s">
        <v>1750</v>
      </c>
      <c r="C151">
        <v>11</v>
      </c>
      <c r="D151" t="s">
        <v>1447</v>
      </c>
      <c r="E151" t="s">
        <v>1757</v>
      </c>
      <c r="F151" t="s">
        <v>1741</v>
      </c>
      <c r="G151" t="str">
        <f>IF(ISBLANK('Q 2'!I17),"",IF('Q 2'!I17="&lt;please select&gt;","",'Q 2'!I17))</f>
        <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Yes</v>
      </c>
    </row>
    <row r="164" spans="1:11" x14ac:dyDescent="0.3">
      <c r="A164" t="s">
        <v>1749</v>
      </c>
      <c r="B164" t="s">
        <v>1760</v>
      </c>
      <c r="C164">
        <v>1</v>
      </c>
      <c r="D164" t="s">
        <v>1447</v>
      </c>
      <c r="E164" t="s">
        <v>1761</v>
      </c>
      <c r="F164" t="s">
        <v>1741</v>
      </c>
      <c r="G164" t="str">
        <f>IF(ISBLANK('Q 2'!C39),"",IF('Q 2'!C39="&lt;please select&gt;","",'Q 2'!C39))</f>
        <v>Latvijas Nacionālais akreditācijas birojs</v>
      </c>
    </row>
    <row r="165" spans="1:11" x14ac:dyDescent="0.3">
      <c r="A165" t="s">
        <v>1749</v>
      </c>
      <c r="B165" t="s">
        <v>1760</v>
      </c>
      <c r="C165">
        <v>1</v>
      </c>
      <c r="D165" t="s">
        <v>1447</v>
      </c>
      <c r="E165" t="s">
        <v>1762</v>
      </c>
      <c r="F165" t="s">
        <v>1741</v>
      </c>
      <c r="G165" t="str">
        <f>IF(ISBLANK('Q 2'!E39),"",IF('Q 2'!E39="&lt;please select&gt;","",'Q 2'!E39))</f>
        <v>LATAK</v>
      </c>
    </row>
    <row r="166" spans="1:11" x14ac:dyDescent="0.3">
      <c r="A166" t="s">
        <v>1749</v>
      </c>
      <c r="B166" t="s">
        <v>1760</v>
      </c>
      <c r="C166">
        <v>1</v>
      </c>
      <c r="D166" t="s">
        <v>1447</v>
      </c>
      <c r="E166" t="s">
        <v>1763</v>
      </c>
      <c r="F166" t="s">
        <v>1741</v>
      </c>
      <c r="G166" t="str">
        <f>IF(ISBLANK('Q 2'!F39),"",IF('Q 2'!F39="&lt;please select&gt;","",'Q 2'!F39))</f>
        <v>37167373051</v>
      </c>
    </row>
    <row r="167" spans="1:11" x14ac:dyDescent="0.3">
      <c r="A167" t="s">
        <v>1749</v>
      </c>
      <c r="B167" t="s">
        <v>1760</v>
      </c>
      <c r="C167">
        <v>1</v>
      </c>
      <c r="D167" t="s">
        <v>1447</v>
      </c>
      <c r="E167" t="s">
        <v>1764</v>
      </c>
      <c r="F167" t="s">
        <v>1741</v>
      </c>
      <c r="G167" t="str">
        <f>IF(ISBLANK('Q 2'!G39),"",IF('Q 2'!G39="&lt;please select&gt;","",'Q 2'!G39))</f>
        <v>pasts@latak.gov.lv</v>
      </c>
    </row>
    <row r="168" spans="1:11" x14ac:dyDescent="0.3">
      <c r="A168" t="s">
        <v>1749</v>
      </c>
      <c r="B168" t="s">
        <v>1760</v>
      </c>
      <c r="C168">
        <v>1</v>
      </c>
      <c r="D168" t="s">
        <v>1447</v>
      </c>
      <c r="E168" t="s">
        <v>1765</v>
      </c>
      <c r="F168" t="s">
        <v>1741</v>
      </c>
      <c r="G168" t="str">
        <f>IF(ISBLANK('Q 2'!H39),"",IF('Q 2'!H39="&lt;please select&gt;","",'Q 2'!H39))</f>
        <v>http://www.latak.gov.lv</v>
      </c>
    </row>
    <row r="169" spans="1:11" x14ac:dyDescent="0.3">
      <c r="A169" t="s">
        <v>1749</v>
      </c>
      <c r="B169" t="s">
        <v>1766</v>
      </c>
      <c r="C169">
        <v>0</v>
      </c>
      <c r="D169" t="s">
        <v>1447</v>
      </c>
      <c r="E169" t="s">
        <v>1766</v>
      </c>
      <c r="F169" t="s">
        <v>1759</v>
      </c>
      <c r="K169" t="str">
        <f>IF(ISBLANK('Q 2'!I41),"",IF('Q 2'!I41="&lt;please select&gt;","",'Q 2'!I41))</f>
        <v>No</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Latvijas Vides, ģeoloģijas un meteoroloģijas centrs</v>
      </c>
    </row>
    <row r="176" spans="1:11" x14ac:dyDescent="0.3">
      <c r="A176" t="s">
        <v>1749</v>
      </c>
      <c r="B176" t="s">
        <v>1773</v>
      </c>
      <c r="C176">
        <v>1</v>
      </c>
      <c r="D176" t="s">
        <v>1447</v>
      </c>
      <c r="E176" t="s">
        <v>1775</v>
      </c>
      <c r="F176" t="s">
        <v>1741</v>
      </c>
      <c r="G176" t="str">
        <f>IF(ISBLANK('Q 2'!E49),"",IF('Q 2'!E49="&lt;please select&gt;","",'Q 2'!E49))</f>
        <v>LVĢMC</v>
      </c>
    </row>
    <row r="177" spans="1:7" x14ac:dyDescent="0.3">
      <c r="A177" t="s">
        <v>1749</v>
      </c>
      <c r="B177" t="s">
        <v>1773</v>
      </c>
      <c r="C177">
        <v>1</v>
      </c>
      <c r="D177" t="s">
        <v>1447</v>
      </c>
      <c r="E177" t="s">
        <v>1776</v>
      </c>
      <c r="F177" t="s">
        <v>1741</v>
      </c>
      <c r="G177" t="str">
        <f>IF(ISBLANK('Q 2'!F49),"",IF('Q 2'!F49="&lt;please select&gt;","",'Q 2'!F49))</f>
        <v>37167032015</v>
      </c>
    </row>
    <row r="178" spans="1:7" x14ac:dyDescent="0.3">
      <c r="A178" t="s">
        <v>1749</v>
      </c>
      <c r="B178" t="s">
        <v>1773</v>
      </c>
      <c r="C178">
        <v>1</v>
      </c>
      <c r="D178" t="s">
        <v>1447</v>
      </c>
      <c r="E178" t="s">
        <v>1777</v>
      </c>
      <c r="F178" t="s">
        <v>1741</v>
      </c>
      <c r="G178" t="str">
        <f>IF(ISBLANK('Q 2'!G49),"",IF('Q 2'!G49="&lt;please select&gt;","",'Q 2'!G49))</f>
        <v>lvgmc@lvgmc.lv</v>
      </c>
    </row>
    <row r="179" spans="1:7" x14ac:dyDescent="0.3">
      <c r="A179" t="s">
        <v>1749</v>
      </c>
      <c r="B179" t="s">
        <v>1773</v>
      </c>
      <c r="C179">
        <v>1</v>
      </c>
      <c r="D179" t="s">
        <v>1447</v>
      </c>
      <c r="E179" t="s">
        <v>1778</v>
      </c>
      <c r="F179" t="s">
        <v>1741</v>
      </c>
      <c r="G179" t="str">
        <f>IF(ISBLANK('Q 2'!H49),"",IF('Q 2'!H49="&lt;please select&gt;","",'Q 2'!H49))</f>
        <v>https://www.meteo.lv</v>
      </c>
    </row>
    <row r="180" spans="1:7" x14ac:dyDescent="0.3">
      <c r="A180" t="s">
        <v>1779</v>
      </c>
      <c r="B180" t="s">
        <v>1780</v>
      </c>
      <c r="C180">
        <v>1</v>
      </c>
      <c r="D180" t="s">
        <v>1447</v>
      </c>
      <c r="E180" t="s">
        <v>1781</v>
      </c>
      <c r="F180" t="s">
        <v>1741</v>
      </c>
      <c r="G180" t="str">
        <f>IF(ISBLANK('Q 2'!F54),"",IF('Q 2'!F54="&lt;please select&gt;","",'Q 2'!F54))</f>
        <v/>
      </c>
    </row>
    <row r="181" spans="1:7" x14ac:dyDescent="0.3">
      <c r="A181" t="s">
        <v>1779</v>
      </c>
      <c r="B181" t="s">
        <v>1780</v>
      </c>
      <c r="C181">
        <v>2</v>
      </c>
      <c r="D181" t="s">
        <v>1447</v>
      </c>
      <c r="E181" t="s">
        <v>1781</v>
      </c>
      <c r="F181" t="s">
        <v>1741</v>
      </c>
      <c r="G181" t="str">
        <f>IF(ISBLANK('Q 2'!F55),"",IF('Q 2'!F55="&lt;please select&gt;","",'Q 2'!F55))</f>
        <v/>
      </c>
    </row>
    <row r="182" spans="1:7" x14ac:dyDescent="0.3">
      <c r="A182" t="s">
        <v>1779</v>
      </c>
      <c r="B182" t="s">
        <v>1780</v>
      </c>
      <c r="C182">
        <v>3</v>
      </c>
      <c r="D182" t="s">
        <v>1447</v>
      </c>
      <c r="E182" t="s">
        <v>1781</v>
      </c>
      <c r="F182" t="s">
        <v>1741</v>
      </c>
      <c r="G182" t="str">
        <f>IF(ISBLANK('Q 2'!F56),"",IF('Q 2'!F56="&lt;please select&gt;","",'Q 2'!F56))</f>
        <v/>
      </c>
    </row>
    <row r="183" spans="1:7" x14ac:dyDescent="0.3">
      <c r="A183" t="s">
        <v>1779</v>
      </c>
      <c r="B183" t="s">
        <v>1780</v>
      </c>
      <c r="C183">
        <v>4</v>
      </c>
      <c r="D183" t="s">
        <v>1447</v>
      </c>
      <c r="E183" t="s">
        <v>1781</v>
      </c>
      <c r="F183" t="s">
        <v>1741</v>
      </c>
      <c r="G183" t="str">
        <f>IF(ISBLANK('Q 2'!F57),"",IF('Q 2'!F57="&lt;please select&gt;","",'Q 2'!F57))</f>
        <v/>
      </c>
    </row>
    <row r="184" spans="1:7" x14ac:dyDescent="0.3">
      <c r="A184" t="s">
        <v>1779</v>
      </c>
      <c r="B184" t="s">
        <v>1780</v>
      </c>
      <c r="C184">
        <v>6</v>
      </c>
      <c r="D184" t="s">
        <v>1447</v>
      </c>
      <c r="E184" t="s">
        <v>1781</v>
      </c>
      <c r="F184" t="s">
        <v>1741</v>
      </c>
      <c r="G184" t="str">
        <f>IF(ISBLANK('Q 2'!F59),"",IF('Q 2'!F59="&lt;please select&gt;","",'Q 2'!F59))</f>
        <v/>
      </c>
    </row>
    <row r="185" spans="1:7" x14ac:dyDescent="0.3">
      <c r="A185" t="s">
        <v>1779</v>
      </c>
      <c r="B185" t="s">
        <v>1780</v>
      </c>
      <c r="C185">
        <v>7</v>
      </c>
      <c r="D185" t="s">
        <v>1447</v>
      </c>
      <c r="E185" t="s">
        <v>1781</v>
      </c>
      <c r="F185" t="s">
        <v>1741</v>
      </c>
      <c r="G185" t="str">
        <f>IF(ISBLANK('Q 2'!F60),"",IF('Q 2'!F60="&lt;please select&gt;","",'Q 2'!F60))</f>
        <v/>
      </c>
    </row>
    <row r="186" spans="1:7" x14ac:dyDescent="0.3">
      <c r="A186" t="s">
        <v>1779</v>
      </c>
      <c r="B186" t="s">
        <v>1780</v>
      </c>
      <c r="C186">
        <v>8</v>
      </c>
      <c r="D186" t="s">
        <v>1447</v>
      </c>
      <c r="E186" t="s">
        <v>1781</v>
      </c>
      <c r="F186" t="s">
        <v>1741</v>
      </c>
      <c r="G186" t="str">
        <f>IF(ISBLANK('Q 2'!F61),"",IF('Q 2'!F61="&lt;please select&gt;","",'Q 2'!F61))</f>
        <v/>
      </c>
    </row>
    <row r="187" spans="1:7" x14ac:dyDescent="0.3">
      <c r="A187" t="s">
        <v>1779</v>
      </c>
      <c r="B187" t="s">
        <v>1780</v>
      </c>
      <c r="C187">
        <v>9</v>
      </c>
      <c r="D187" t="s">
        <v>1447</v>
      </c>
      <c r="E187" t="s">
        <v>1781</v>
      </c>
      <c r="F187" t="s">
        <v>1741</v>
      </c>
      <c r="G187" t="str">
        <f>IF(ISBLANK('Q 2'!F62),"",IF('Q 2'!F62="&lt;please select&gt;","",'Q 2'!F62))</f>
        <v/>
      </c>
    </row>
    <row r="188" spans="1:7" x14ac:dyDescent="0.3">
      <c r="A188" t="s">
        <v>1779</v>
      </c>
      <c r="B188" t="s">
        <v>1780</v>
      </c>
      <c r="C188">
        <v>10</v>
      </c>
      <c r="D188" t="s">
        <v>1447</v>
      </c>
      <c r="E188" t="s">
        <v>1781</v>
      </c>
      <c r="F188" t="s">
        <v>1741</v>
      </c>
      <c r="G188" t="str">
        <f>IF(ISBLANK('Q 2'!F63),"",IF('Q 2'!F63="&lt;please select&gt;","",'Q 2'!F63))</f>
        <v/>
      </c>
    </row>
    <row r="189" spans="1:7" x14ac:dyDescent="0.3">
      <c r="A189" t="s">
        <v>1779</v>
      </c>
      <c r="B189" t="s">
        <v>1780</v>
      </c>
      <c r="C189">
        <v>11</v>
      </c>
      <c r="D189" t="s">
        <v>1447</v>
      </c>
      <c r="E189" t="s">
        <v>1781</v>
      </c>
      <c r="F189" t="s">
        <v>1741</v>
      </c>
      <c r="G189" t="str">
        <f>IF(ISBLANK('Q 2'!F64),"",IF('Q 2'!F64="&lt;please select&gt;","",'Q 2'!F64))</f>
        <v/>
      </c>
    </row>
    <row r="190" spans="1:7" x14ac:dyDescent="0.3">
      <c r="A190" t="s">
        <v>1779</v>
      </c>
      <c r="B190" t="s">
        <v>1780</v>
      </c>
      <c r="C190">
        <v>12</v>
      </c>
      <c r="D190" t="s">
        <v>1447</v>
      </c>
      <c r="E190" t="s">
        <v>1781</v>
      </c>
      <c r="F190" t="s">
        <v>1741</v>
      </c>
      <c r="G190" t="str">
        <f>IF(ISBLANK('Q 2'!F65),"",IF('Q 2'!F65="&lt;please select&gt;","",'Q 2'!F65))</f>
        <v/>
      </c>
    </row>
    <row r="191" spans="1:7" x14ac:dyDescent="0.3">
      <c r="A191" t="s">
        <v>1779</v>
      </c>
      <c r="B191" t="s">
        <v>1780</v>
      </c>
      <c r="C191">
        <v>13</v>
      </c>
      <c r="D191" t="s">
        <v>1447</v>
      </c>
      <c r="E191" t="s">
        <v>1781</v>
      </c>
      <c r="F191" t="s">
        <v>1741</v>
      </c>
      <c r="G191" t="str">
        <f>IF(ISBLANK('Q 2'!F66),"",IF('Q 2'!F66="&lt;please select&gt;","",'Q 2'!F66))</f>
        <v/>
      </c>
    </row>
    <row r="192" spans="1:7" x14ac:dyDescent="0.3">
      <c r="A192" t="s">
        <v>1779</v>
      </c>
      <c r="B192" t="s">
        <v>1780</v>
      </c>
      <c r="C192">
        <v>14</v>
      </c>
      <c r="D192" t="s">
        <v>1419</v>
      </c>
      <c r="E192" t="s">
        <v>1781</v>
      </c>
      <c r="F192" t="s">
        <v>1741</v>
      </c>
      <c r="G192" t="str">
        <f>IF(ISBLANK('Q 2'!F67),"",IF('Q 2'!F67="&lt;please select&gt;","",'Q 2'!F67))</f>
        <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
      </c>
    </row>
    <row r="197" spans="1:7" x14ac:dyDescent="0.3">
      <c r="A197" t="s">
        <v>1779</v>
      </c>
      <c r="B197" t="s">
        <v>1780</v>
      </c>
      <c r="C197">
        <v>6</v>
      </c>
      <c r="D197" t="s">
        <v>1447</v>
      </c>
      <c r="E197" t="s">
        <v>1782</v>
      </c>
      <c r="F197" t="s">
        <v>1741</v>
      </c>
      <c r="G197" t="str">
        <f>IF(ISBLANK('Q 2'!H59),"",IF('Q 2'!H59="&lt;please select&gt;","",'Q 2'!H59))</f>
        <v/>
      </c>
    </row>
    <row r="198" spans="1:7" x14ac:dyDescent="0.3">
      <c r="A198" t="s">
        <v>1779</v>
      </c>
      <c r="B198" t="s">
        <v>1780</v>
      </c>
      <c r="C198">
        <v>7</v>
      </c>
      <c r="D198" t="s">
        <v>1447</v>
      </c>
      <c r="E198" t="s">
        <v>1782</v>
      </c>
      <c r="F198" t="s">
        <v>1741</v>
      </c>
      <c r="G198" t="str">
        <f>IF(ISBLANK('Q 2'!H60),"",IF('Q 2'!H60="&lt;please select&gt;","",'Q 2'!H60))</f>
        <v/>
      </c>
    </row>
    <row r="199" spans="1:7" x14ac:dyDescent="0.3">
      <c r="A199" t="s">
        <v>1779</v>
      </c>
      <c r="B199" t="s">
        <v>1780</v>
      </c>
      <c r="C199">
        <v>8</v>
      </c>
      <c r="D199" t="s">
        <v>1447</v>
      </c>
      <c r="E199" t="s">
        <v>1782</v>
      </c>
      <c r="F199" t="s">
        <v>1741</v>
      </c>
      <c r="G199" t="str">
        <f>IF(ISBLANK('Q 2'!H61),"",IF('Q 2'!H61="&lt;please select&gt;","",'Q 2'!H61))</f>
        <v/>
      </c>
    </row>
    <row r="200" spans="1:7" x14ac:dyDescent="0.3">
      <c r="A200" t="s">
        <v>1779</v>
      </c>
      <c r="B200" t="s">
        <v>1780</v>
      </c>
      <c r="C200">
        <v>9</v>
      </c>
      <c r="D200" t="s">
        <v>1447</v>
      </c>
      <c r="E200" t="s">
        <v>1782</v>
      </c>
      <c r="F200" t="s">
        <v>1741</v>
      </c>
      <c r="G200" t="str">
        <f>IF(ISBLANK('Q 2'!H62),"",IF('Q 2'!H62="&lt;please select&gt;","",'Q 2'!H62))</f>
        <v/>
      </c>
    </row>
    <row r="201" spans="1:7" x14ac:dyDescent="0.3">
      <c r="A201" t="s">
        <v>1779</v>
      </c>
      <c r="B201" t="s">
        <v>1780</v>
      </c>
      <c r="C201">
        <v>10</v>
      </c>
      <c r="D201" t="s">
        <v>1447</v>
      </c>
      <c r="E201" t="s">
        <v>1782</v>
      </c>
      <c r="F201" t="s">
        <v>1741</v>
      </c>
      <c r="G201" t="str">
        <f>IF(ISBLANK('Q 2'!H63),"",IF('Q 2'!H63="&lt;please select&gt;","",'Q 2'!H63))</f>
        <v/>
      </c>
    </row>
    <row r="202" spans="1:7" x14ac:dyDescent="0.3">
      <c r="A202" t="s">
        <v>1779</v>
      </c>
      <c r="B202" t="s">
        <v>1780</v>
      </c>
      <c r="C202">
        <v>11</v>
      </c>
      <c r="D202" t="s">
        <v>1447</v>
      </c>
      <c r="E202" t="s">
        <v>1782</v>
      </c>
      <c r="F202" t="s">
        <v>1741</v>
      </c>
      <c r="G202" t="str">
        <f>IF(ISBLANK('Q 2'!H64),"",IF('Q 2'!H64="&lt;please select&gt;","",'Q 2'!H64))</f>
        <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Latvijas Nacionālais akreditācijas birojs</v>
      </c>
    </row>
    <row r="212" spans="1:11" x14ac:dyDescent="0.3">
      <c r="A212" t="s">
        <v>1784</v>
      </c>
      <c r="B212" t="s">
        <v>1785</v>
      </c>
      <c r="C212">
        <v>0</v>
      </c>
      <c r="D212" t="s">
        <v>1447</v>
      </c>
      <c r="E212" t="s">
        <v>1787</v>
      </c>
      <c r="F212" t="s">
        <v>1741</v>
      </c>
      <c r="G212" t="str">
        <f>IF(ISBLANK('Q 2'!$G$82),"",IF('Q 2'!$G$82="&lt;please select&gt;","",'Q 2'!$G$82))</f>
        <v>LATAK</v>
      </c>
    </row>
    <row r="213" spans="1:11" x14ac:dyDescent="0.3">
      <c r="A213" t="s">
        <v>1784</v>
      </c>
      <c r="B213" t="s">
        <v>1788</v>
      </c>
      <c r="C213">
        <v>1</v>
      </c>
      <c r="D213" t="s">
        <v>1447</v>
      </c>
      <c r="E213" t="s">
        <v>1789</v>
      </c>
      <c r="F213" t="s">
        <v>1759</v>
      </c>
      <c r="K213" t="str">
        <f>IF(ISBLANK('Q 2'!G86),"",IF('Q 2'!G86="&lt;please select&gt;","",'Q 2'!G86))</f>
        <v/>
      </c>
    </row>
    <row r="214" spans="1:11" x14ac:dyDescent="0.3">
      <c r="A214" t="s">
        <v>1784</v>
      </c>
      <c r="B214" t="s">
        <v>1788</v>
      </c>
      <c r="C214">
        <v>2</v>
      </c>
      <c r="D214" t="s">
        <v>1447</v>
      </c>
      <c r="E214" t="s">
        <v>1789</v>
      </c>
      <c r="F214" t="s">
        <v>1759</v>
      </c>
      <c r="K214" t="str">
        <f>IF(ISBLANK('Q 2'!G87),"",IF('Q 2'!G87="&lt;please select&gt;","",'Q 2'!G87))</f>
        <v/>
      </c>
    </row>
    <row r="215" spans="1:11" x14ac:dyDescent="0.3">
      <c r="A215" t="s">
        <v>1784</v>
      </c>
      <c r="B215" t="s">
        <v>1788</v>
      </c>
      <c r="C215">
        <v>3</v>
      </c>
      <c r="D215" t="s">
        <v>1447</v>
      </c>
      <c r="E215" t="s">
        <v>1789</v>
      </c>
      <c r="F215" t="s">
        <v>1759</v>
      </c>
      <c r="K215" t="str">
        <f>IF(ISBLANK('Q 2'!G88),"",IF('Q 2'!G88="&lt;please select&gt;","",'Q 2'!G88))</f>
        <v/>
      </c>
    </row>
    <row r="216" spans="1:11" x14ac:dyDescent="0.3">
      <c r="A216" t="s">
        <v>1784</v>
      </c>
      <c r="B216" t="s">
        <v>1788</v>
      </c>
      <c r="C216">
        <v>4</v>
      </c>
      <c r="D216" t="s">
        <v>1447</v>
      </c>
      <c r="E216" t="s">
        <v>1789</v>
      </c>
      <c r="F216" t="s">
        <v>1759</v>
      </c>
      <c r="K216" t="str">
        <f>IF(ISBLANK('Q 2'!G89),"",IF('Q 2'!G89="&lt;please select&gt;","",'Q 2'!G89))</f>
        <v/>
      </c>
    </row>
    <row r="217" spans="1:11" x14ac:dyDescent="0.3">
      <c r="A217" t="s">
        <v>1784</v>
      </c>
      <c r="B217" t="s">
        <v>1788</v>
      </c>
      <c r="C217">
        <v>5</v>
      </c>
      <c r="D217" t="s">
        <v>1447</v>
      </c>
      <c r="E217" t="s">
        <v>1789</v>
      </c>
      <c r="F217" t="s">
        <v>1759</v>
      </c>
      <c r="K217" t="str">
        <f>IF(ISBLANK('Q 2'!G90),"",IF('Q 2'!G90="&lt;please select&gt;","",'Q 2'!G90))</f>
        <v/>
      </c>
    </row>
    <row r="218" spans="1:11" x14ac:dyDescent="0.3">
      <c r="A218" t="s">
        <v>1784</v>
      </c>
      <c r="B218" t="s">
        <v>1788</v>
      </c>
      <c r="C218">
        <v>6</v>
      </c>
      <c r="D218" t="s">
        <v>1447</v>
      </c>
      <c r="E218" t="s">
        <v>1789</v>
      </c>
      <c r="F218" t="s">
        <v>1759</v>
      </c>
      <c r="K218" t="str">
        <f>IF(ISBLANK('Q 2'!G91),"",IF('Q 2'!G91="&lt;please select&gt;","",'Q 2'!G91))</f>
        <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
      </c>
    </row>
    <row r="224" spans="1:11" x14ac:dyDescent="0.3">
      <c r="A224" t="s">
        <v>1784</v>
      </c>
      <c r="B224" t="s">
        <v>1788</v>
      </c>
      <c r="C224">
        <v>2</v>
      </c>
      <c r="D224" t="s">
        <v>1447</v>
      </c>
      <c r="E224" t="s">
        <v>1790</v>
      </c>
      <c r="F224" t="s">
        <v>1791</v>
      </c>
      <c r="J224" t="str">
        <f>IF(ISBLANK('Q 2'!H87),"",IF('Q 2'!H87="&lt;please select&gt;","",'Q 2'!H87))</f>
        <v/>
      </c>
    </row>
    <row r="225" spans="1:11" x14ac:dyDescent="0.3">
      <c r="A225" t="s">
        <v>1784</v>
      </c>
      <c r="B225" t="s">
        <v>1788</v>
      </c>
      <c r="C225">
        <v>3</v>
      </c>
      <c r="D225" t="s">
        <v>1447</v>
      </c>
      <c r="E225" t="s">
        <v>1790</v>
      </c>
      <c r="F225" t="s">
        <v>1791</v>
      </c>
      <c r="J225" t="str">
        <f>IF(ISBLANK('Q 2'!H88),"",IF('Q 2'!H88="&lt;please select&gt;","",'Q 2'!H88))</f>
        <v/>
      </c>
    </row>
    <row r="226" spans="1:11" x14ac:dyDescent="0.3">
      <c r="A226" t="s">
        <v>1784</v>
      </c>
      <c r="B226" t="s">
        <v>1788</v>
      </c>
      <c r="C226">
        <v>4</v>
      </c>
      <c r="D226" t="s">
        <v>1447</v>
      </c>
      <c r="E226" t="s">
        <v>1790</v>
      </c>
      <c r="F226" t="s">
        <v>1791</v>
      </c>
      <c r="J226" t="str">
        <f>IF(ISBLANK('Q 2'!H89),"",IF('Q 2'!H89="&lt;please select&gt;","",'Q 2'!H89))</f>
        <v/>
      </c>
    </row>
    <row r="227" spans="1:11" x14ac:dyDescent="0.3">
      <c r="A227" t="s">
        <v>1784</v>
      </c>
      <c r="B227" t="s">
        <v>1788</v>
      </c>
      <c r="C227">
        <v>5</v>
      </c>
      <c r="D227" t="s">
        <v>1447</v>
      </c>
      <c r="E227" t="s">
        <v>1790</v>
      </c>
      <c r="F227" t="s">
        <v>1791</v>
      </c>
      <c r="J227" t="str">
        <f>IF(ISBLANK('Q 2'!H90),"",IF('Q 2'!H90="&lt;please select&gt;","",'Q 2'!H90))</f>
        <v/>
      </c>
    </row>
    <row r="228" spans="1:11" x14ac:dyDescent="0.3">
      <c r="A228" t="s">
        <v>1784</v>
      </c>
      <c r="B228" t="s">
        <v>1788</v>
      </c>
      <c r="C228">
        <v>6</v>
      </c>
      <c r="D228" t="s">
        <v>1447</v>
      </c>
      <c r="E228" t="s">
        <v>1790</v>
      </c>
      <c r="F228" t="s">
        <v>1791</v>
      </c>
      <c r="J228" t="str">
        <f>IF(ISBLANK('Q 2'!H91),"",IF('Q 2'!H91="&lt;please select&gt;","",'Q 2'!H91))</f>
        <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No</v>
      </c>
    </row>
    <row r="234" spans="1:11" x14ac:dyDescent="0.3">
      <c r="A234" t="s">
        <v>1792</v>
      </c>
      <c r="B234" t="s">
        <v>1793</v>
      </c>
      <c r="C234">
        <v>2</v>
      </c>
      <c r="D234" t="s">
        <v>1447</v>
      </c>
      <c r="E234" t="s">
        <v>1794</v>
      </c>
      <c r="F234" t="s">
        <v>1759</v>
      </c>
      <c r="K234" t="str">
        <f>IF(ISBLANK('Q 2'!G101),"",IF('Q 2'!G101="&lt;please select&gt;","",'Q 2'!G101))</f>
        <v>No</v>
      </c>
    </row>
    <row r="235" spans="1:11" x14ac:dyDescent="0.3">
      <c r="A235" t="s">
        <v>1792</v>
      </c>
      <c r="B235" t="s">
        <v>1793</v>
      </c>
      <c r="C235">
        <v>3</v>
      </c>
      <c r="D235" t="s">
        <v>1447</v>
      </c>
      <c r="E235" t="s">
        <v>1794</v>
      </c>
      <c r="F235" t="s">
        <v>1759</v>
      </c>
      <c r="K235" t="str">
        <f>IF(ISBLANK('Q 2'!G102),"",IF('Q 2'!G102="&lt;please select&gt;","",'Q 2'!G102))</f>
        <v>Yes</v>
      </c>
    </row>
    <row r="236" spans="1:11" x14ac:dyDescent="0.3">
      <c r="A236" t="s">
        <v>1792</v>
      </c>
      <c r="B236" t="s">
        <v>1793</v>
      </c>
      <c r="C236">
        <v>4</v>
      </c>
      <c r="D236" t="s">
        <v>1447</v>
      </c>
      <c r="E236" t="s">
        <v>1783</v>
      </c>
      <c r="F236" t="s">
        <v>1741</v>
      </c>
      <c r="G236" t="str">
        <f>IF(ISBLANK('Q 2'!F103),"",IF('Q 2'!F103="&lt;please select&gt;","",'Q 2'!F103))</f>
        <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The cooperation is mainly to solve particular issues, to agree on scope formulations, seminars regarding the new reporting periods, information exchange</v>
      </c>
    </row>
    <row r="241" spans="1:11" x14ac:dyDescent="0.3">
      <c r="A241" t="s">
        <v>1792</v>
      </c>
      <c r="B241" t="s">
        <v>1793</v>
      </c>
      <c r="C241">
        <v>2</v>
      </c>
      <c r="D241" t="s">
        <v>1447</v>
      </c>
      <c r="E241" t="s">
        <v>1795</v>
      </c>
      <c r="F241" t="s">
        <v>1791</v>
      </c>
      <c r="J241" t="str">
        <f>IF(ISBLANK('Q 2'!H101),"",IF('Q 2'!H101="&lt;please select&gt;","",'Q 2'!H101))</f>
        <v>Nacionālā līmenī tika organizēti kopēji semināri, bet kā organizators bija VARAM.</v>
      </c>
    </row>
    <row r="242" spans="1:11" x14ac:dyDescent="0.3">
      <c r="A242" t="s">
        <v>1792</v>
      </c>
      <c r="B242" t="s">
        <v>1793</v>
      </c>
      <c r="C242">
        <v>3</v>
      </c>
      <c r="D242" t="s">
        <v>1447</v>
      </c>
      <c r="E242" t="s">
        <v>1795</v>
      </c>
      <c r="F242" t="s">
        <v>1791</v>
      </c>
      <c r="J242" t="str">
        <f>IF(ISBLANK('Q 2'!H102),"",IF('Q 2'!H102="&lt;please select&gt;","",'Q 2'!H102))</f>
        <v>Also as a experts in national legislation and as observers</v>
      </c>
    </row>
    <row r="243" spans="1:11" x14ac:dyDescent="0.3">
      <c r="A243" t="s">
        <v>1792</v>
      </c>
      <c r="B243" t="s">
        <v>1793</v>
      </c>
      <c r="C243">
        <v>4</v>
      </c>
      <c r="D243" t="s">
        <v>1447</v>
      </c>
      <c r="E243" t="s">
        <v>1795</v>
      </c>
      <c r="F243" t="s">
        <v>1791</v>
      </c>
      <c r="J243" t="str">
        <f>IF(ISBLANK('Q 2'!H103),"",IF('Q 2'!H103="&lt;please select&gt;","",'Q 2'!H103))</f>
        <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57</v>
      </c>
    </row>
    <row r="248" spans="1:11" x14ac:dyDescent="0.3">
      <c r="A248" t="s">
        <v>1796</v>
      </c>
      <c r="B248" t="s">
        <v>1797</v>
      </c>
      <c r="C248">
        <v>2</v>
      </c>
      <c r="D248" t="s">
        <v>1447</v>
      </c>
      <c r="E248" t="s">
        <v>1798</v>
      </c>
      <c r="F248" t="s">
        <v>1748</v>
      </c>
      <c r="H248" s="165" t="str">
        <f>IF(ISBLANK('Q 3'!G8),"",IF('Q 3'!G8="&lt;please select&gt;","",'Q 3'!G8))</f>
        <v>54</v>
      </c>
    </row>
    <row r="249" spans="1:11" x14ac:dyDescent="0.3">
      <c r="A249" t="s">
        <v>1796</v>
      </c>
      <c r="B249" t="s">
        <v>1797</v>
      </c>
      <c r="C249">
        <v>3</v>
      </c>
      <c r="D249" t="s">
        <v>1447</v>
      </c>
      <c r="E249" t="s">
        <v>1798</v>
      </c>
      <c r="F249" t="s">
        <v>1748</v>
      </c>
      <c r="H249" s="165" t="str">
        <f>IF(ISBLANK('Q 3'!G9),"",IF('Q 3'!G9="&lt;please select&gt;","",'Q 3'!G9))</f>
        <v>1</v>
      </c>
    </row>
    <row r="250" spans="1:11" x14ac:dyDescent="0.3">
      <c r="A250" t="s">
        <v>1796</v>
      </c>
      <c r="B250" t="s">
        <v>1797</v>
      </c>
      <c r="C250">
        <v>4</v>
      </c>
      <c r="D250" t="s">
        <v>1447</v>
      </c>
      <c r="E250" t="s">
        <v>1798</v>
      </c>
      <c r="F250" t="s">
        <v>1748</v>
      </c>
      <c r="H250" s="165" t="str">
        <f>IF(ISBLANK('Q 3'!G10),"",IF('Q 3'!G10="&lt;please select&gt;","",'Q 3'!G10))</f>
        <v>2</v>
      </c>
    </row>
    <row r="251" spans="1:11" x14ac:dyDescent="0.3">
      <c r="A251" t="s">
        <v>1796</v>
      </c>
      <c r="B251" t="s">
        <v>1797</v>
      </c>
      <c r="C251">
        <v>5</v>
      </c>
      <c r="D251" t="s">
        <v>1447</v>
      </c>
      <c r="E251" t="s">
        <v>1798</v>
      </c>
      <c r="F251" t="s">
        <v>1748</v>
      </c>
      <c r="H251" s="165" t="str">
        <f>IF(ISBLANK('Q 3'!G11),"",IF('Q 3'!G11="&lt;please select&gt;","",'Q 3'!G11))</f>
        <v>48</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No</v>
      </c>
    </row>
    <row r="254" spans="1:11" x14ac:dyDescent="0.3">
      <c r="A254" t="s">
        <v>1796</v>
      </c>
      <c r="B254" t="s">
        <v>1799</v>
      </c>
      <c r="C254">
        <v>3</v>
      </c>
      <c r="D254" t="s">
        <v>1447</v>
      </c>
      <c r="E254" t="s">
        <v>1800</v>
      </c>
      <c r="F254" t="s">
        <v>1759</v>
      </c>
      <c r="K254" t="str">
        <f>IF(ISBLANK('Q 3'!H17),"",IF('Q 3'!H17="&lt;please select&gt;","",'Q 3'!H17))</f>
        <v>No</v>
      </c>
    </row>
    <row r="255" spans="1:11" x14ac:dyDescent="0.3">
      <c r="A255" t="s">
        <v>1796</v>
      </c>
      <c r="B255" t="s">
        <v>1799</v>
      </c>
      <c r="C255">
        <v>4</v>
      </c>
      <c r="D255" t="s">
        <v>1447</v>
      </c>
      <c r="E255" t="s">
        <v>1800</v>
      </c>
      <c r="F255" t="s">
        <v>1759</v>
      </c>
      <c r="K255" t="str">
        <f>IF(ISBLANK('Q 3'!H18),"",IF('Q 3'!H18="&lt;please select&gt;","",'Q 3'!H18))</f>
        <v>No</v>
      </c>
    </row>
    <row r="256" spans="1:11" x14ac:dyDescent="0.3">
      <c r="A256" t="s">
        <v>1796</v>
      </c>
      <c r="B256" t="s">
        <v>1799</v>
      </c>
      <c r="C256">
        <v>5</v>
      </c>
      <c r="D256" t="s">
        <v>1447</v>
      </c>
      <c r="E256" t="s">
        <v>1800</v>
      </c>
      <c r="F256" t="s">
        <v>1759</v>
      </c>
      <c r="K256" t="str">
        <f>IF(ISBLANK('Q 3'!H19),"",IF('Q 3'!H19="&lt;please select&gt;","",'Q 3'!H19))</f>
        <v>Yes</v>
      </c>
    </row>
    <row r="257" spans="1:11" x14ac:dyDescent="0.3">
      <c r="A257" t="s">
        <v>1796</v>
      </c>
      <c r="B257" t="s">
        <v>1799</v>
      </c>
      <c r="C257">
        <v>6</v>
      </c>
      <c r="D257" t="s">
        <v>1447</v>
      </c>
      <c r="E257" t="s">
        <v>1800</v>
      </c>
      <c r="F257" t="s">
        <v>1759</v>
      </c>
      <c r="K257" t="str">
        <f>IF(ISBLANK('Q 3'!H20),"",IF('Q 3'!H20="&lt;please select&gt;","",'Q 3'!H20))</f>
        <v>Yes</v>
      </c>
    </row>
    <row r="258" spans="1:11" x14ac:dyDescent="0.3">
      <c r="A258" t="s">
        <v>1796</v>
      </c>
      <c r="B258" t="s">
        <v>1799</v>
      </c>
      <c r="C258">
        <v>7</v>
      </c>
      <c r="D258" t="s">
        <v>1447</v>
      </c>
      <c r="E258" t="s">
        <v>1800</v>
      </c>
      <c r="F258" t="s">
        <v>1759</v>
      </c>
      <c r="K258" t="str">
        <f>IF(ISBLANK('Q 3'!H21),"",IF('Q 3'!H21="&lt;please select&gt;","",'Q 3'!H21))</f>
        <v>No</v>
      </c>
    </row>
    <row r="259" spans="1:11" x14ac:dyDescent="0.3">
      <c r="A259" t="s">
        <v>1796</v>
      </c>
      <c r="B259" t="s">
        <v>1799</v>
      </c>
      <c r="C259">
        <v>8</v>
      </c>
      <c r="D259" t="s">
        <v>1447</v>
      </c>
      <c r="E259" t="s">
        <v>1800</v>
      </c>
      <c r="F259" t="s">
        <v>1759</v>
      </c>
      <c r="K259" t="str">
        <f>IF(ISBLANK('Q 3'!H22),"",IF('Q 3'!H22="&lt;please select&gt;","",'Q 3'!H22))</f>
        <v>No</v>
      </c>
    </row>
    <row r="260" spans="1:11" x14ac:dyDescent="0.3">
      <c r="A260" t="s">
        <v>1796</v>
      </c>
      <c r="B260" t="s">
        <v>1799</v>
      </c>
      <c r="C260">
        <v>9</v>
      </c>
      <c r="D260" t="s">
        <v>1447</v>
      </c>
      <c r="E260" t="s">
        <v>1800</v>
      </c>
      <c r="F260" t="s">
        <v>1759</v>
      </c>
      <c r="K260" t="str">
        <f>IF(ISBLANK('Q 3'!H23),"",IF('Q 3'!H23="&lt;please select&gt;","",'Q 3'!H23))</f>
        <v>No</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Yes</v>
      </c>
    </row>
    <row r="263" spans="1:11" x14ac:dyDescent="0.3">
      <c r="A263" t="s">
        <v>1796</v>
      </c>
      <c r="B263" t="s">
        <v>1799</v>
      </c>
      <c r="C263">
        <v>12</v>
      </c>
      <c r="D263" t="s">
        <v>1447</v>
      </c>
      <c r="E263" t="s">
        <v>1800</v>
      </c>
      <c r="F263" t="s">
        <v>1759</v>
      </c>
      <c r="K263" t="str">
        <f>IF(ISBLANK('Q 3'!H26),"",IF('Q 3'!H26="&lt;please select&gt;","",'Q 3'!H26))</f>
        <v>Yes</v>
      </c>
    </row>
    <row r="264" spans="1:11" x14ac:dyDescent="0.3">
      <c r="A264" t="s">
        <v>1796</v>
      </c>
      <c r="B264" t="s">
        <v>1799</v>
      </c>
      <c r="C264">
        <v>13</v>
      </c>
      <c r="D264" t="s">
        <v>1447</v>
      </c>
      <c r="E264" t="s">
        <v>1800</v>
      </c>
      <c r="F264" t="s">
        <v>1759</v>
      </c>
      <c r="K264" t="str">
        <f>IF(ISBLANK('Q 3'!H27),"",IF('Q 3'!H27="&lt;please select&gt;","",'Q 3'!H27))</f>
        <v>Yes</v>
      </c>
    </row>
    <row r="265" spans="1:11" x14ac:dyDescent="0.3">
      <c r="A265" t="s">
        <v>1796</v>
      </c>
      <c r="B265" t="s">
        <v>1799</v>
      </c>
      <c r="C265">
        <v>14</v>
      </c>
      <c r="D265" t="s">
        <v>1447</v>
      </c>
      <c r="E265" t="s">
        <v>1800</v>
      </c>
      <c r="F265" t="s">
        <v>1759</v>
      </c>
      <c r="K265" t="str">
        <f>IF(ISBLANK('Q 3'!H28),"",IF('Q 3'!H28="&lt;please select&gt;","",'Q 3'!H28))</f>
        <v>No</v>
      </c>
    </row>
    <row r="266" spans="1:11" x14ac:dyDescent="0.3">
      <c r="A266" t="s">
        <v>1796</v>
      </c>
      <c r="B266" t="s">
        <v>1799</v>
      </c>
      <c r="C266">
        <v>15</v>
      </c>
      <c r="D266" t="s">
        <v>1447</v>
      </c>
      <c r="E266" t="s">
        <v>1800</v>
      </c>
      <c r="F266" t="s">
        <v>1759</v>
      </c>
      <c r="K266" t="str">
        <f>IF(ISBLANK('Q 3'!H29),"",IF('Q 3'!H29="&lt;please select&gt;","",'Q 3'!H29))</f>
        <v>Yes</v>
      </c>
    </row>
    <row r="267" spans="1:11" x14ac:dyDescent="0.3">
      <c r="A267" t="s">
        <v>1796</v>
      </c>
      <c r="B267" t="s">
        <v>1799</v>
      </c>
      <c r="C267">
        <v>16</v>
      </c>
      <c r="D267" t="s">
        <v>1447</v>
      </c>
      <c r="E267" t="s">
        <v>1800</v>
      </c>
      <c r="F267" t="s">
        <v>1759</v>
      </c>
      <c r="K267" t="str">
        <f>IF(ISBLANK('Q 3'!H30),"",IF('Q 3'!H30="&lt;please select&gt;","",'Q 3'!H30))</f>
        <v>Yes</v>
      </c>
    </row>
    <row r="268" spans="1:11" x14ac:dyDescent="0.3">
      <c r="A268" t="s">
        <v>1796</v>
      </c>
      <c r="B268" t="s">
        <v>1799</v>
      </c>
      <c r="C268">
        <v>17</v>
      </c>
      <c r="D268" t="s">
        <v>1447</v>
      </c>
      <c r="E268" t="s">
        <v>1800</v>
      </c>
      <c r="F268" t="s">
        <v>1759</v>
      </c>
      <c r="K268" t="str">
        <f>IF(ISBLANK('Q 3'!H31),"",IF('Q 3'!H31="&lt;please select&gt;","",'Q 3'!H31))</f>
        <v>Yes</v>
      </c>
    </row>
    <row r="269" spans="1:11" x14ac:dyDescent="0.3">
      <c r="A269" t="s">
        <v>1796</v>
      </c>
      <c r="B269" t="s">
        <v>1799</v>
      </c>
      <c r="C269">
        <v>18</v>
      </c>
      <c r="D269" t="s">
        <v>1447</v>
      </c>
      <c r="E269" t="s">
        <v>1800</v>
      </c>
      <c r="F269" t="s">
        <v>1759</v>
      </c>
      <c r="K269" t="str">
        <f>IF(ISBLANK('Q 3'!H32),"",IF('Q 3'!H32="&lt;please select&gt;","",'Q 3'!H32))</f>
        <v>No</v>
      </c>
    </row>
    <row r="270" spans="1:11" x14ac:dyDescent="0.3">
      <c r="A270" t="s">
        <v>1796</v>
      </c>
      <c r="B270" t="s">
        <v>1799</v>
      </c>
      <c r="C270">
        <v>19</v>
      </c>
      <c r="D270" t="s">
        <v>1447</v>
      </c>
      <c r="E270" t="s">
        <v>1800</v>
      </c>
      <c r="F270" t="s">
        <v>1759</v>
      </c>
      <c r="K270" t="str">
        <f>IF(ISBLANK('Q 3'!H33),"",IF('Q 3'!H33="&lt;please select&gt;","",'Q 3'!H33))</f>
        <v>No</v>
      </c>
    </row>
    <row r="271" spans="1:11" x14ac:dyDescent="0.3">
      <c r="A271" t="s">
        <v>1796</v>
      </c>
      <c r="B271" t="s">
        <v>1799</v>
      </c>
      <c r="C271">
        <v>20</v>
      </c>
      <c r="D271" t="s">
        <v>1447</v>
      </c>
      <c r="E271" t="s">
        <v>1800</v>
      </c>
      <c r="F271" t="s">
        <v>1759</v>
      </c>
      <c r="K271" t="str">
        <f>IF(ISBLANK('Q 3'!H34),"",IF('Q 3'!H34="&lt;please select&gt;","",'Q 3'!H34))</f>
        <v>No</v>
      </c>
    </row>
    <row r="272" spans="1:11" x14ac:dyDescent="0.3">
      <c r="A272" t="s">
        <v>1796</v>
      </c>
      <c r="B272" t="s">
        <v>1799</v>
      </c>
      <c r="C272">
        <v>21</v>
      </c>
      <c r="D272" t="s">
        <v>1447</v>
      </c>
      <c r="E272" t="s">
        <v>1800</v>
      </c>
      <c r="F272" t="s">
        <v>1759</v>
      </c>
      <c r="K272" t="str">
        <f>IF(ISBLANK('Q 3'!H35),"",IF('Q 3'!H35="&lt;please select&gt;","",'Q 3'!H35))</f>
        <v>No</v>
      </c>
    </row>
    <row r="273" spans="1:11" x14ac:dyDescent="0.3">
      <c r="A273" t="s">
        <v>1796</v>
      </c>
      <c r="B273" t="s">
        <v>1799</v>
      </c>
      <c r="C273">
        <v>22</v>
      </c>
      <c r="D273" t="s">
        <v>1447</v>
      </c>
      <c r="E273" t="s">
        <v>1800</v>
      </c>
      <c r="F273" t="s">
        <v>1759</v>
      </c>
      <c r="K273" t="str">
        <f>IF(ISBLANK('Q 3'!H36),"",IF('Q 3'!H36="&lt;please select&gt;","",'Q 3'!H36))</f>
        <v>No</v>
      </c>
    </row>
    <row r="274" spans="1:11" x14ac:dyDescent="0.3">
      <c r="A274" t="s">
        <v>1796</v>
      </c>
      <c r="B274" t="s">
        <v>1799</v>
      </c>
      <c r="C274">
        <v>23</v>
      </c>
      <c r="D274" t="s">
        <v>1447</v>
      </c>
      <c r="E274" t="s">
        <v>1800</v>
      </c>
      <c r="F274" t="s">
        <v>1759</v>
      </c>
      <c r="K274" t="str">
        <f>IF(ISBLANK('Q 3'!H37),"",IF('Q 3'!H37="&lt;please select&gt;","",'Q 3'!H37))</f>
        <v>No</v>
      </c>
    </row>
    <row r="275" spans="1:11" x14ac:dyDescent="0.3">
      <c r="A275" t="s">
        <v>1796</v>
      </c>
      <c r="B275" t="s">
        <v>1799</v>
      </c>
      <c r="C275">
        <v>24</v>
      </c>
      <c r="D275" t="s">
        <v>1447</v>
      </c>
      <c r="E275" t="s">
        <v>1800</v>
      </c>
      <c r="F275" t="s">
        <v>1759</v>
      </c>
      <c r="K275" t="str">
        <f>IF(ISBLANK('Q 3'!H38),"",IF('Q 3'!H38="&lt;please select&gt;","",'Q 3'!H38))</f>
        <v>No</v>
      </c>
    </row>
    <row r="276" spans="1:11" x14ac:dyDescent="0.3">
      <c r="A276" t="s">
        <v>1796</v>
      </c>
      <c r="B276" t="s">
        <v>1799</v>
      </c>
      <c r="C276">
        <v>25</v>
      </c>
      <c r="D276" t="s">
        <v>1447</v>
      </c>
      <c r="E276" t="s">
        <v>1800</v>
      </c>
      <c r="F276" t="s">
        <v>1759</v>
      </c>
      <c r="K276" t="str">
        <f>IF(ISBLANK('Q 3'!H39),"",IF('Q 3'!H39="&lt;please select&gt;","",'Q 3'!H39))</f>
        <v>No</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No</v>
      </c>
    </row>
    <row r="281" spans="1:11" x14ac:dyDescent="0.3">
      <c r="A281" t="s">
        <v>1801</v>
      </c>
      <c r="B281" t="s">
        <v>1803</v>
      </c>
      <c r="C281">
        <v>1</v>
      </c>
      <c r="D281" t="s">
        <v>1447</v>
      </c>
      <c r="E281" t="s">
        <v>1804</v>
      </c>
      <c r="F281" t="s">
        <v>1737</v>
      </c>
      <c r="K281" t="str">
        <f>IF(ISBLANK('Q 3'!C51),"",IF('Q 3'!C51="&lt;please select&gt;","",'Q 3'!C51))</f>
        <v/>
      </c>
    </row>
    <row r="282" spans="1:11" x14ac:dyDescent="0.3">
      <c r="A282" t="s">
        <v>1801</v>
      </c>
      <c r="B282" t="s">
        <v>1803</v>
      </c>
      <c r="C282">
        <v>2</v>
      </c>
      <c r="D282" t="s">
        <v>1447</v>
      </c>
      <c r="E282" t="s">
        <v>1804</v>
      </c>
      <c r="F282" t="s">
        <v>1737</v>
      </c>
      <c r="K282" t="str">
        <f>IF(ISBLANK('Q 3'!C52),"",IF('Q 3'!C52="&lt;please select&gt;","",'Q 3'!C52))</f>
        <v/>
      </c>
    </row>
    <row r="283" spans="1:11" x14ac:dyDescent="0.3">
      <c r="A283" t="s">
        <v>1801</v>
      </c>
      <c r="B283" t="s">
        <v>1803</v>
      </c>
      <c r="C283">
        <v>3</v>
      </c>
      <c r="D283" t="s">
        <v>1447</v>
      </c>
      <c r="E283" t="s">
        <v>1804</v>
      </c>
      <c r="F283" t="s">
        <v>1737</v>
      </c>
      <c r="K283" t="str">
        <f>IF(ISBLANK('Q 3'!C53),"",IF('Q 3'!C53="&lt;please select&gt;","",'Q 3'!C53))</f>
        <v/>
      </c>
    </row>
    <row r="284" spans="1:11" x14ac:dyDescent="0.3">
      <c r="A284" t="s">
        <v>1801</v>
      </c>
      <c r="B284" t="s">
        <v>1803</v>
      </c>
      <c r="C284">
        <v>1</v>
      </c>
      <c r="D284" t="s">
        <v>1447</v>
      </c>
      <c r="E284" t="s">
        <v>1805</v>
      </c>
      <c r="F284" t="s">
        <v>1806</v>
      </c>
      <c r="I284" s="165" t="str">
        <f>IF(ISBLANK('Q 3'!F51),"",IF('Q 3'!F51="&lt;please select&gt;","",'Q 3'!F51))</f>
        <v/>
      </c>
    </row>
    <row r="285" spans="1:11" x14ac:dyDescent="0.3">
      <c r="A285" t="s">
        <v>1801</v>
      </c>
      <c r="B285" t="s">
        <v>1803</v>
      </c>
      <c r="C285">
        <v>2</v>
      </c>
      <c r="D285" t="s">
        <v>1447</v>
      </c>
      <c r="E285" t="s">
        <v>1805</v>
      </c>
      <c r="F285" t="s">
        <v>1806</v>
      </c>
      <c r="I285" s="165" t="str">
        <f>IF(ISBLANK('Q 3'!F52),"",IF('Q 3'!F52="&lt;please select&gt;","",'Q 3'!F52))</f>
        <v/>
      </c>
    </row>
    <row r="286" spans="1:11" x14ac:dyDescent="0.3">
      <c r="A286" t="s">
        <v>1801</v>
      </c>
      <c r="B286" t="s">
        <v>1803</v>
      </c>
      <c r="C286">
        <v>3</v>
      </c>
      <c r="D286" t="s">
        <v>1447</v>
      </c>
      <c r="E286" t="s">
        <v>1805</v>
      </c>
      <c r="F286" t="s">
        <v>1806</v>
      </c>
      <c r="I286" s="165" t="str">
        <f>IF(ISBLANK('Q 3'!F53),"",IF('Q 3'!F53="&lt;please select&gt;","",'Q 3'!F53))</f>
        <v/>
      </c>
    </row>
    <row r="287" spans="1:11" x14ac:dyDescent="0.3">
      <c r="A287" t="s">
        <v>1801</v>
      </c>
      <c r="B287" t="s">
        <v>1803</v>
      </c>
      <c r="C287">
        <v>1</v>
      </c>
      <c r="D287" t="s">
        <v>1447</v>
      </c>
      <c r="E287" t="s">
        <v>1807</v>
      </c>
      <c r="F287" t="s">
        <v>1748</v>
      </c>
      <c r="H287" s="165" t="str">
        <f>IF(ISBLANK('Q 3'!H51),"",IF('Q 3'!H51="&lt;please select&gt;","",'Q 3'!H51))</f>
        <v/>
      </c>
    </row>
    <row r="288" spans="1:11" x14ac:dyDescent="0.3">
      <c r="A288" t="s">
        <v>1801</v>
      </c>
      <c r="B288" t="s">
        <v>1803</v>
      </c>
      <c r="C288">
        <v>2</v>
      </c>
      <c r="D288" t="s">
        <v>1447</v>
      </c>
      <c r="E288" t="s">
        <v>1807</v>
      </c>
      <c r="F288" t="s">
        <v>1748</v>
      </c>
      <c r="H288" s="165" t="str">
        <f>IF(ISBLANK('Q 3'!H52),"",IF('Q 3'!H52="&lt;please select&gt;","",'Q 3'!H52))</f>
        <v/>
      </c>
    </row>
    <row r="289" spans="1:11" x14ac:dyDescent="0.3">
      <c r="A289" t="s">
        <v>1801</v>
      </c>
      <c r="B289" t="s">
        <v>1803</v>
      </c>
      <c r="C289">
        <v>3</v>
      </c>
      <c r="D289" t="s">
        <v>1447</v>
      </c>
      <c r="E289" t="s">
        <v>1807</v>
      </c>
      <c r="F289" t="s">
        <v>1748</v>
      </c>
      <c r="H289" s="165" t="str">
        <f>IF(ISBLANK('Q 3'!H53),"",IF('Q 3'!H53="&lt;please select&gt;","",'Q 3'!H53))</f>
        <v/>
      </c>
    </row>
    <row r="290" spans="1:11" x14ac:dyDescent="0.3">
      <c r="A290" t="s">
        <v>1801</v>
      </c>
      <c r="B290" t="s">
        <v>1808</v>
      </c>
      <c r="C290">
        <v>0</v>
      </c>
      <c r="D290" t="s">
        <v>1447</v>
      </c>
      <c r="E290" t="s">
        <v>1809</v>
      </c>
      <c r="F290" t="s">
        <v>1748</v>
      </c>
      <c r="H290" s="165" t="str">
        <f>IF(ISBLANK('Q 3'!$F$58),"",IF('Q 3'!$F$58="&lt;please select&gt;","",'Q 3'!$F$58))</f>
        <v/>
      </c>
    </row>
    <row r="291" spans="1:11" x14ac:dyDescent="0.3">
      <c r="A291" t="s">
        <v>1801</v>
      </c>
      <c r="B291" t="s">
        <v>1808</v>
      </c>
      <c r="C291">
        <v>0</v>
      </c>
      <c r="D291" t="s">
        <v>1447</v>
      </c>
      <c r="E291" t="s">
        <v>1810</v>
      </c>
      <c r="F291" t="s">
        <v>1748</v>
      </c>
      <c r="H291" s="165" t="str">
        <f>IF(ISBLANK('Q 3'!$F$59),"",IF('Q 3'!$F$59="&lt;please select&gt;","",'Q 3'!$F$59))</f>
        <v/>
      </c>
    </row>
    <row r="292" spans="1:11" x14ac:dyDescent="0.3">
      <c r="A292" t="s">
        <v>1811</v>
      </c>
      <c r="B292" t="s">
        <v>1812</v>
      </c>
      <c r="C292">
        <v>1</v>
      </c>
      <c r="D292" t="s">
        <v>1447</v>
      </c>
      <c r="E292" t="s">
        <v>1813</v>
      </c>
      <c r="F292" t="s">
        <v>1748</v>
      </c>
      <c r="H292" s="165" t="str">
        <f>IF(ISBLANK('Q 3'!G64),"",IF('Q 3'!G64="&lt;please select&gt;","",'Q 3'!G64))</f>
        <v>2</v>
      </c>
    </row>
    <row r="293" spans="1:11" x14ac:dyDescent="0.3">
      <c r="A293" t="s">
        <v>1811</v>
      </c>
      <c r="B293" t="s">
        <v>1812</v>
      </c>
      <c r="C293">
        <v>2</v>
      </c>
      <c r="D293" t="s">
        <v>1447</v>
      </c>
      <c r="E293" t="s">
        <v>1813</v>
      </c>
      <c r="F293" t="s">
        <v>1748</v>
      </c>
      <c r="H293" s="165" t="str">
        <f>IF(ISBLANK('Q 3'!G65),"",IF('Q 3'!G65="&lt;please select&gt;","",'Q 3'!G65))</f>
        <v>0</v>
      </c>
    </row>
    <row r="294" spans="1:11" x14ac:dyDescent="0.3">
      <c r="A294" t="s">
        <v>1811</v>
      </c>
      <c r="B294" t="s">
        <v>1812</v>
      </c>
      <c r="C294">
        <v>3</v>
      </c>
      <c r="D294" t="s">
        <v>1447</v>
      </c>
      <c r="E294" t="s">
        <v>1813</v>
      </c>
      <c r="F294" t="s">
        <v>1748</v>
      </c>
      <c r="H294" s="165" t="str">
        <f>IF(ISBLANK('Q 3'!G66),"",IF('Q 3'!G66="&lt;please select&gt;","",'Q 3'!G66))</f>
        <v>2</v>
      </c>
    </row>
    <row r="295" spans="1:11" x14ac:dyDescent="0.3">
      <c r="A295" t="s">
        <v>1811</v>
      </c>
      <c r="B295" t="s">
        <v>1812</v>
      </c>
      <c r="C295">
        <v>1</v>
      </c>
      <c r="D295" t="s">
        <v>1447</v>
      </c>
      <c r="E295" t="s">
        <v>1814</v>
      </c>
      <c r="F295" t="s">
        <v>1748</v>
      </c>
      <c r="H295" s="165" t="str">
        <f>IF(ISBLANK('Q 3'!H64),"",IF('Q 3'!H64="&lt;please select&gt;","",'Q 3'!H64))</f>
        <v/>
      </c>
    </row>
    <row r="296" spans="1:11" x14ac:dyDescent="0.3">
      <c r="A296" t="s">
        <v>1811</v>
      </c>
      <c r="B296" t="s">
        <v>1812</v>
      </c>
      <c r="C296">
        <v>2</v>
      </c>
      <c r="D296" t="s">
        <v>1447</v>
      </c>
      <c r="E296" t="s">
        <v>1814</v>
      </c>
      <c r="F296" t="s">
        <v>1748</v>
      </c>
      <c r="H296" s="165" t="str">
        <f>IF(ISBLANK('Q 3'!H65),"",IF('Q 3'!H65="&lt;please select&gt;","",'Q 3'!H65))</f>
        <v/>
      </c>
    </row>
    <row r="297" spans="1:11" x14ac:dyDescent="0.3">
      <c r="A297" t="s">
        <v>1811</v>
      </c>
      <c r="B297" t="s">
        <v>1812</v>
      </c>
      <c r="C297">
        <v>3</v>
      </c>
      <c r="D297" t="s">
        <v>1447</v>
      </c>
      <c r="E297" t="s">
        <v>1814</v>
      </c>
      <c r="F297" t="s">
        <v>1748</v>
      </c>
      <c r="H297" s="165" t="str">
        <f>IF(ISBLANK('Q 3'!H66),"",IF('Q 3'!H66="&lt;please select&gt;","",'Q 3'!H66))</f>
        <v/>
      </c>
    </row>
    <row r="298" spans="1:11" x14ac:dyDescent="0.3">
      <c r="A298" t="s">
        <v>1811</v>
      </c>
      <c r="B298" t="s">
        <v>1812</v>
      </c>
      <c r="C298">
        <v>1</v>
      </c>
      <c r="D298" t="s">
        <v>1447</v>
      </c>
      <c r="E298" t="s">
        <v>1815</v>
      </c>
      <c r="F298" t="s">
        <v>1748</v>
      </c>
      <c r="H298" s="165" t="str">
        <f>IF(ISBLANK('Q 3'!I64),"",IF('Q 3'!I64="&lt;please select&gt;","",'Q 3'!I64))</f>
        <v>2</v>
      </c>
    </row>
    <row r="299" spans="1:11" x14ac:dyDescent="0.3">
      <c r="A299" t="s">
        <v>1811</v>
      </c>
      <c r="B299" t="s">
        <v>1812</v>
      </c>
      <c r="C299">
        <v>2</v>
      </c>
      <c r="D299" t="s">
        <v>1447</v>
      </c>
      <c r="E299" t="s">
        <v>1815</v>
      </c>
      <c r="F299" t="s">
        <v>1748</v>
      </c>
      <c r="H299" s="165" t="str">
        <f>IF(ISBLANK('Q 3'!I65),"",IF('Q 3'!I65="&lt;please select&gt;","",'Q 3'!I65))</f>
        <v>0</v>
      </c>
    </row>
    <row r="300" spans="1:11" x14ac:dyDescent="0.3">
      <c r="A300" t="s">
        <v>1811</v>
      </c>
      <c r="B300" t="s">
        <v>1812</v>
      </c>
      <c r="C300">
        <v>3</v>
      </c>
      <c r="D300" t="s">
        <v>1447</v>
      </c>
      <c r="E300" t="s">
        <v>1815</v>
      </c>
      <c r="F300" t="s">
        <v>1748</v>
      </c>
      <c r="H300" s="165" t="str">
        <f>IF(ISBLANK('Q 3'!I66),"",IF('Q 3'!I66="&lt;please select&gt;","",'Q 3'!I66))</f>
        <v>2</v>
      </c>
    </row>
    <row r="301" spans="1:11" x14ac:dyDescent="0.3">
      <c r="A301" t="s">
        <v>1816</v>
      </c>
      <c r="B301" t="s">
        <v>1817</v>
      </c>
      <c r="C301">
        <v>1</v>
      </c>
      <c r="D301" t="s">
        <v>1447</v>
      </c>
      <c r="E301" t="s">
        <v>1818</v>
      </c>
      <c r="F301" t="s">
        <v>1737</v>
      </c>
      <c r="K301" t="str">
        <f>IF(ISBLANK('Q 4'!$G8),"",IF('Q 4'!$G8="&lt;please select&gt;","",'Q 4'!$G8))</f>
        <v>No</v>
      </c>
    </row>
    <row r="302" spans="1:11" x14ac:dyDescent="0.3">
      <c r="A302" t="s">
        <v>1816</v>
      </c>
      <c r="B302" t="s">
        <v>1817</v>
      </c>
      <c r="C302">
        <v>2</v>
      </c>
      <c r="D302" t="s">
        <v>1447</v>
      </c>
      <c r="E302" t="s">
        <v>1818</v>
      </c>
      <c r="F302" t="s">
        <v>1737</v>
      </c>
      <c r="K302" t="str">
        <f>IF(ISBLANK('Q 4'!$G9),"",IF('Q 4'!$G9="&lt;please select&gt;","",'Q 4'!$G9))</f>
        <v>Yes</v>
      </c>
    </row>
    <row r="303" spans="1:11" x14ac:dyDescent="0.3">
      <c r="A303" t="s">
        <v>1816</v>
      </c>
      <c r="B303" t="s">
        <v>1817</v>
      </c>
      <c r="C303">
        <v>3</v>
      </c>
      <c r="D303" t="s">
        <v>1447</v>
      </c>
      <c r="E303" t="s">
        <v>1818</v>
      </c>
      <c r="F303" t="s">
        <v>1737</v>
      </c>
      <c r="K303" t="str">
        <f>IF(ISBLANK('Q 4'!$G10),"",IF('Q 4'!$G10="&lt;please select&gt;","",'Q 4'!$G10))</f>
        <v>No</v>
      </c>
    </row>
    <row r="304" spans="1:11" x14ac:dyDescent="0.3">
      <c r="A304" t="s">
        <v>1816</v>
      </c>
      <c r="B304" t="s">
        <v>1817</v>
      </c>
      <c r="C304">
        <v>4</v>
      </c>
      <c r="D304" t="s">
        <v>1447</v>
      </c>
      <c r="E304" t="s">
        <v>1818</v>
      </c>
      <c r="F304" t="s">
        <v>1737</v>
      </c>
      <c r="K304" t="str">
        <f>IF(ISBLANK('Q 4'!$G11),"",IF('Q 4'!$G11="&lt;please select&gt;","",'Q 4'!$G11))</f>
        <v>Yes</v>
      </c>
    </row>
    <row r="305" spans="1:11" x14ac:dyDescent="0.3">
      <c r="A305" t="s">
        <v>1816</v>
      </c>
      <c r="B305" t="s">
        <v>1817</v>
      </c>
      <c r="C305">
        <v>5</v>
      </c>
      <c r="D305" t="s">
        <v>1447</v>
      </c>
      <c r="E305" t="s">
        <v>1818</v>
      </c>
      <c r="F305" t="s">
        <v>1737</v>
      </c>
      <c r="K305" t="str">
        <f>IF(ISBLANK('Q 4'!$G12),"",IF('Q 4'!$G12="&lt;please select&gt;","",'Q 4'!$G12))</f>
        <v>Yes</v>
      </c>
    </row>
    <row r="306" spans="1:11" x14ac:dyDescent="0.3">
      <c r="A306" t="s">
        <v>1816</v>
      </c>
      <c r="B306" t="s">
        <v>1817</v>
      </c>
      <c r="C306">
        <v>6</v>
      </c>
      <c r="D306" t="s">
        <v>1447</v>
      </c>
      <c r="E306" t="s">
        <v>1818</v>
      </c>
      <c r="F306" t="s">
        <v>1737</v>
      </c>
      <c r="K306" t="str">
        <f>IF(ISBLANK('Q 4'!$G13),"",IF('Q 4'!$G13="&lt;please select&gt;","",'Q 4'!$G13))</f>
        <v>No</v>
      </c>
    </row>
    <row r="307" spans="1:11" x14ac:dyDescent="0.3">
      <c r="A307" t="s">
        <v>1816</v>
      </c>
      <c r="B307" t="s">
        <v>1817</v>
      </c>
      <c r="C307">
        <v>7</v>
      </c>
      <c r="D307" t="s">
        <v>1447</v>
      </c>
      <c r="E307" t="s">
        <v>1818</v>
      </c>
      <c r="F307" t="s">
        <v>1737</v>
      </c>
      <c r="K307" t="str">
        <f>IF(ISBLANK('Q 4'!$G14),"",IF('Q 4'!$G14="&lt;please select&gt;","",'Q 4'!$G14))</f>
        <v/>
      </c>
    </row>
    <row r="308" spans="1:11" x14ac:dyDescent="0.3">
      <c r="A308" t="s">
        <v>1816</v>
      </c>
      <c r="B308" t="s">
        <v>1817</v>
      </c>
      <c r="C308">
        <v>8</v>
      </c>
      <c r="D308" t="s">
        <v>1447</v>
      </c>
      <c r="E308" t="s">
        <v>1818</v>
      </c>
      <c r="F308" t="s">
        <v>1737</v>
      </c>
      <c r="K308" t="str">
        <f>IF(ISBLANK('Q 4'!$G15),"",IF('Q 4'!$G15="&lt;please select&gt;","",'Q 4'!$G15))</f>
        <v/>
      </c>
    </row>
    <row r="309" spans="1:11" x14ac:dyDescent="0.3">
      <c r="A309" t="s">
        <v>1816</v>
      </c>
      <c r="B309" t="s">
        <v>1817</v>
      </c>
      <c r="C309">
        <v>1</v>
      </c>
      <c r="D309" t="s">
        <v>1447</v>
      </c>
      <c r="E309" t="s">
        <v>1819</v>
      </c>
      <c r="F309" t="s">
        <v>1791</v>
      </c>
      <c r="J309" t="str">
        <f>IF(ISBLANK('Q 4'!H8),"",IF('Q 4'!H8="&lt;please select&gt;","",'Q 4'!H8))</f>
        <v>SEG atļauja ir atsevišķs dokuments.</v>
      </c>
    </row>
    <row r="310" spans="1:11" x14ac:dyDescent="0.3">
      <c r="A310" t="s">
        <v>1816</v>
      </c>
      <c r="B310" t="s">
        <v>1817</v>
      </c>
      <c r="C310">
        <v>2</v>
      </c>
      <c r="D310" t="s">
        <v>1447</v>
      </c>
      <c r="E310" t="s">
        <v>1819</v>
      </c>
      <c r="F310" t="s">
        <v>1791</v>
      </c>
      <c r="J310" t="str">
        <f>IF(ISBLANK('Q 4'!H9),"",IF('Q 4'!H9="&lt;please select&gt;","",'Q 4'!H9))</f>
        <v>Latvijas TA ir noteikts, ka operators nodrošina atļauju atbilstību. Iesniedzot iesniegumu SEG atļaujai, operators iesniedz arī iesniegumu RED atļaujai. Termiņi ir pielīdzināti. Abas atļaujas iesniedz viena KI, kura veica abu atļauju pārbaudi.</v>
      </c>
    </row>
    <row r="311" spans="1:11" x14ac:dyDescent="0.3">
      <c r="A311" t="s">
        <v>1816</v>
      </c>
      <c r="B311" t="s">
        <v>1817</v>
      </c>
      <c r="C311">
        <v>3</v>
      </c>
      <c r="D311" t="s">
        <v>1447</v>
      </c>
      <c r="E311" t="s">
        <v>1819</v>
      </c>
      <c r="F311" t="s">
        <v>1791</v>
      </c>
      <c r="J311" t="str">
        <f>IF(ISBLANK('Q 4'!H10),"",IF('Q 4'!H10="&lt;please select&gt;","",'Q 4'!H10))</f>
        <v/>
      </c>
    </row>
    <row r="312" spans="1:11" x14ac:dyDescent="0.3">
      <c r="A312" t="s">
        <v>1816</v>
      </c>
      <c r="B312" t="s">
        <v>1817</v>
      </c>
      <c r="C312">
        <v>4</v>
      </c>
      <c r="D312" t="s">
        <v>1447</v>
      </c>
      <c r="E312" t="s">
        <v>1819</v>
      </c>
      <c r="F312" t="s">
        <v>1791</v>
      </c>
      <c r="J312" t="str">
        <f>IF(ISBLANK('Q 4'!H11),"",IF('Q 4'!H11="&lt;please select&gt;","",'Q 4'!H11))</f>
        <v>RED atļaujas izsniedz tā pati kompetentā iestāde, kas izsniedz SEG atļaujas, apstiprina SEG atļauju monitoringa plānus un kas izvērtē ES ETS emisiju ziņojumu.</v>
      </c>
    </row>
    <row r="313" spans="1:11" x14ac:dyDescent="0.3">
      <c r="A313" t="s">
        <v>1816</v>
      </c>
      <c r="B313" t="s">
        <v>1817</v>
      </c>
      <c r="C313">
        <v>5</v>
      </c>
      <c r="D313" t="s">
        <v>1447</v>
      </c>
      <c r="E313" t="s">
        <v>1819</v>
      </c>
      <c r="F313" t="s">
        <v>1791</v>
      </c>
      <c r="J313" t="str">
        <f>IF(ISBLANK('Q 4'!H12),"",IF('Q 4'!H12="&lt;please select&gt;","",'Q 4'!H12))</f>
        <v>RED un ES ETS darbības pārbauda tie paši kompetentās iestādes vides inspektori.</v>
      </c>
    </row>
    <row r="314" spans="1:11" x14ac:dyDescent="0.3">
      <c r="A314" t="s">
        <v>1816</v>
      </c>
      <c r="B314" t="s">
        <v>1817</v>
      </c>
      <c r="C314">
        <v>6</v>
      </c>
      <c r="D314" t="s">
        <v>1447</v>
      </c>
      <c r="E314" t="s">
        <v>1819</v>
      </c>
      <c r="F314" t="s">
        <v>1791</v>
      </c>
      <c r="J314" t="str">
        <f>IF(ISBLANK('Q 4'!H13),"",IF('Q 4'!H13="&lt;please select&gt;","",'Q 4'!H13))</f>
        <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
      </c>
    </row>
    <row r="317" spans="1:11" x14ac:dyDescent="0.3">
      <c r="A317" t="s">
        <v>1820</v>
      </c>
      <c r="B317" t="s">
        <v>1821</v>
      </c>
      <c r="C317">
        <v>1</v>
      </c>
      <c r="D317" t="s">
        <v>1447</v>
      </c>
      <c r="E317" t="s">
        <v>1822</v>
      </c>
      <c r="F317" t="s">
        <v>1741</v>
      </c>
      <c r="G317" t="str">
        <f>IF(ISBLANK('Q 4'!G19),"",IF('Q 4'!G19="&lt;please select&gt;","",'Q 4'!G19))</f>
        <v>Nosacījumi ir noteikti LV Ministru kabineta noteikumu Nr.769 "Noteikumi par stacionāto tehnoloģisko iekārtu dalību Eiropas Savienības emisijas kvotu tirdzniecības sistēmā" 46.punktā (http://likumi.lv/doc.php?id=253119)</v>
      </c>
    </row>
    <row r="318" spans="1:11" x14ac:dyDescent="0.3">
      <c r="A318" t="s">
        <v>1820</v>
      </c>
      <c r="B318" t="s">
        <v>1821</v>
      </c>
      <c r="C318">
        <v>2</v>
      </c>
      <c r="D318" t="s">
        <v>1447</v>
      </c>
      <c r="E318" t="s">
        <v>1822</v>
      </c>
      <c r="F318" t="s">
        <v>1741</v>
      </c>
      <c r="G318" t="str">
        <f>IF(ISBLANK('Q 4'!G20),"",IF('Q 4'!G20="&lt;please select&gt;","",'Q 4'!G20))</f>
        <v>Likums „Par piesārņojumu” 24.1 pants piektā daļa (http://likumi.lv//doc.php?id=6075). atļaujas derīguma termiņš ir ETS periods.</v>
      </c>
    </row>
    <row r="319" spans="1:11" x14ac:dyDescent="0.3">
      <c r="A319" t="s">
        <v>1820</v>
      </c>
      <c r="B319" t="s">
        <v>1821</v>
      </c>
      <c r="C319">
        <v>3</v>
      </c>
      <c r="D319" t="s">
        <v>1447</v>
      </c>
      <c r="E319" t="s">
        <v>1822</v>
      </c>
      <c r="F319" t="s">
        <v>1741</v>
      </c>
      <c r="G319" t="str">
        <f>IF(ISBLANK('Q 4'!G21),"",IF('Q 4'!G21="&lt;please select&gt;","",'Q 4'!G21))</f>
        <v>MK noteikumu Nr.769 31.punkts - iesniegumu SEG atļaujas grozījumiem, ja iekārtā ir paredzēts jaudas pieaugums, operators iesniedz KI vismaz 15 darbdienas pirms izmaiņām.</v>
      </c>
    </row>
    <row r="320" spans="1:11" x14ac:dyDescent="0.3">
      <c r="A320" t="s">
        <v>1820</v>
      </c>
      <c r="B320" t="s">
        <v>1821</v>
      </c>
      <c r="C320">
        <v>4</v>
      </c>
      <c r="D320" t="s">
        <v>1447</v>
      </c>
      <c r="E320" t="s">
        <v>1822</v>
      </c>
      <c r="F320" t="s">
        <v>1741</v>
      </c>
      <c r="G320" t="str">
        <f>IF(ISBLANK('Q 4'!G22),"",IF('Q 4'!G22="&lt;please select&gt;","",'Q 4'!G22))</f>
        <v>MK noteikumu Nr.769 31.punkts - iesniegumu SEG atļaujas grozījumiem, ja iekārtā ir paredzēts jaudas samazinājums, operators iesniedz kompetentajai iestādei vismaz 15 darbdienas pirms izmaiņām.</v>
      </c>
    </row>
    <row r="321" spans="1:11" x14ac:dyDescent="0.3">
      <c r="A321" t="s">
        <v>1820</v>
      </c>
      <c r="B321" t="s">
        <v>1821</v>
      </c>
      <c r="C321">
        <v>5</v>
      </c>
      <c r="D321" t="s">
        <v>1447</v>
      </c>
      <c r="E321" t="s">
        <v>1822</v>
      </c>
      <c r="F321" t="s">
        <v>1741</v>
      </c>
      <c r="G321" t="str">
        <f>IF(ISBLANK('Q 4'!G23),"",IF('Q 4'!G23="&lt;please select&gt;","",'Q 4'!G23))</f>
        <v xml:space="preserve">	MK noteikumu Nr.769 31.punkts un Regulas Nr. 2018/2066</v>
      </c>
    </row>
    <row r="322" spans="1:11" x14ac:dyDescent="0.3">
      <c r="A322" t="s">
        <v>1820</v>
      </c>
      <c r="B322" t="s">
        <v>1821</v>
      </c>
      <c r="C322">
        <v>6</v>
      </c>
      <c r="D322" t="s">
        <v>1447</v>
      </c>
      <c r="E322" t="s">
        <v>1822</v>
      </c>
      <c r="F322" t="s">
        <v>1741</v>
      </c>
      <c r="G322" t="str">
        <f>IF(ISBLANK('Q 4'!G24),"",IF('Q 4'!G24="&lt;please select&gt;","",'Q 4'!G24))</f>
        <v>SEG atļauju groza arī, ja mainītie emisiju aprēķina faktori nodrošinās emisiju noteikšanu ar lielāku precizitāti.</v>
      </c>
    </row>
    <row r="323" spans="1:11" x14ac:dyDescent="0.3">
      <c r="A323" t="s">
        <v>1820</v>
      </c>
      <c r="B323" t="s">
        <v>1821</v>
      </c>
      <c r="C323">
        <v>7</v>
      </c>
      <c r="D323" t="s">
        <v>1447</v>
      </c>
      <c r="E323" t="s">
        <v>1822</v>
      </c>
      <c r="F323" t="s">
        <v>1741</v>
      </c>
      <c r="G323" t="str">
        <f>IF(ISBLANK('Q 4'!G25),"",IF('Q 4'!G25="&lt;please select&gt;","",'Q 4'!G25))</f>
        <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0</v>
      </c>
    </row>
    <row r="327" spans="1:11" x14ac:dyDescent="0.3">
      <c r="A327" t="s">
        <v>1824</v>
      </c>
      <c r="B327" t="s">
        <v>1825</v>
      </c>
      <c r="C327">
        <v>0</v>
      </c>
      <c r="D327" t="s">
        <v>1447</v>
      </c>
      <c r="E327" t="s">
        <v>1825</v>
      </c>
      <c r="F327" t="s">
        <v>1759</v>
      </c>
      <c r="K327" t="str">
        <f>IF(ISBLANK('Q 5'!$I$6),"",IF('Q 5'!$I$6="&lt;please select&gt;","",'Q 5'!$I$6))</f>
        <v>Yes</v>
      </c>
    </row>
    <row r="328" spans="1:11" x14ac:dyDescent="0.3">
      <c r="A328" t="s">
        <v>1824</v>
      </c>
      <c r="B328" t="s">
        <v>1826</v>
      </c>
      <c r="C328">
        <v>0</v>
      </c>
      <c r="D328" t="s">
        <v>1447</v>
      </c>
      <c r="E328" t="s">
        <v>1826</v>
      </c>
      <c r="F328" t="s">
        <v>1741</v>
      </c>
      <c r="G328" t="str">
        <f>IF(ISBLANK('Q 5'!$C$8),"",IF('Q 5'!$C$8="&lt;please select&gt;","",'Q 5'!$C$8))</f>
        <v>Stacionārās iekārtas - MK 13.12.2012. noteikumi Nr.769 „Noteikumi par stacionāro tehnoloģisko iekārtu dalību Eiropas Savienības emisijas kvotu tirdzniecības sistēmā”; gaisa kuģu operatori - MK 09.07.2013. noteikumi Nr.366 „Noteikumi par aviācijas darbību dalību Eiropas Savienības emisijas kvotu tirdzniecības sistēmā”.</v>
      </c>
    </row>
    <row r="329" spans="1:11" x14ac:dyDescent="0.3">
      <c r="A329" t="s">
        <v>1824</v>
      </c>
      <c r="B329" t="s">
        <v>1827</v>
      </c>
      <c r="C329">
        <v>0</v>
      </c>
      <c r="D329" t="s">
        <v>1447</v>
      </c>
      <c r="E329" t="s">
        <v>1827</v>
      </c>
      <c r="F329" t="s">
        <v>1759</v>
      </c>
      <c r="K329" t="str">
        <f>IF(ISBLANK('Q 5'!$I$10),"",IF('Q 5'!$I$10="&lt;please select&gt;","",'Q 5'!$I$10))</f>
        <v>Yes</v>
      </c>
    </row>
    <row r="330" spans="1:11" x14ac:dyDescent="0.3">
      <c r="A330" t="s">
        <v>1824</v>
      </c>
      <c r="B330" t="s">
        <v>1828</v>
      </c>
      <c r="C330">
        <v>0</v>
      </c>
      <c r="D330" t="s">
        <v>1447</v>
      </c>
      <c r="E330" t="s">
        <v>1828</v>
      </c>
      <c r="F330" t="s">
        <v>1741</v>
      </c>
      <c r="G330" t="str">
        <f>IF(ISBLANK('Q 5'!$C$12),"",IF('Q 5'!$C$12="&lt;please select&gt;","",'Q 5'!$C$12))</f>
        <v>VARAM izstrādājusi procedūru „Stacionāro tehnoloģisko iekārtu dalības Eiropas Savienības emisijas kvotu tirdzniecības sistēmā nodrošināšanas kārtība”.</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Yes</v>
      </c>
    </row>
    <row r="333" spans="1:11" x14ac:dyDescent="0.3">
      <c r="A333" t="s">
        <v>1829</v>
      </c>
      <c r="B333" t="s">
        <v>1830</v>
      </c>
      <c r="C333">
        <v>3</v>
      </c>
      <c r="D333" t="s">
        <v>1447</v>
      </c>
      <c r="E333" t="s">
        <v>1831</v>
      </c>
      <c r="F333" t="s">
        <v>1759</v>
      </c>
      <c r="K333" t="str">
        <f>IF(ISBLANK('Q 5'!G18),"",IF('Q 5'!G18="&lt;please select&gt;","",'Q 5'!G18))</f>
        <v>No</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No</v>
      </c>
    </row>
    <row r="336" spans="1:11" x14ac:dyDescent="0.3">
      <c r="A336" t="s">
        <v>1829</v>
      </c>
      <c r="B336" t="s">
        <v>1830</v>
      </c>
      <c r="C336">
        <v>6</v>
      </c>
      <c r="D336" t="s">
        <v>1447</v>
      </c>
      <c r="E336" t="s">
        <v>1831</v>
      </c>
      <c r="F336" t="s">
        <v>1759</v>
      </c>
      <c r="K336" t="str">
        <f>IF(ISBLANK('Q 5'!G21),"",IF('Q 5'!G21="&lt;please select&gt;","",'Q 5'!G21))</f>
        <v>No</v>
      </c>
    </row>
    <row r="337" spans="1:11" x14ac:dyDescent="0.3">
      <c r="A337" t="s">
        <v>1829</v>
      </c>
      <c r="B337" t="s">
        <v>1830</v>
      </c>
      <c r="C337">
        <v>7</v>
      </c>
      <c r="D337" t="s">
        <v>1447</v>
      </c>
      <c r="E337" t="s">
        <v>1831</v>
      </c>
      <c r="F337" t="s">
        <v>1759</v>
      </c>
      <c r="K337" t="str">
        <f>IF(ISBLANK('Q 5'!G22),"",IF('Q 5'!G22="&lt;please select&gt;","",'Q 5'!G22))</f>
        <v>No</v>
      </c>
    </row>
    <row r="338" spans="1:11" x14ac:dyDescent="0.3">
      <c r="A338" t="s">
        <v>1829</v>
      </c>
      <c r="B338" t="s">
        <v>1830</v>
      </c>
      <c r="C338">
        <v>1</v>
      </c>
      <c r="D338" t="s">
        <v>1447</v>
      </c>
      <c r="E338" t="s">
        <v>1832</v>
      </c>
      <c r="F338" t="s">
        <v>1791</v>
      </c>
      <c r="J338" t="str">
        <f>IF(ISBLANK('Q 5'!H16),"",IF('Q 5'!H16="&lt;please select&gt;","",'Q 5'!H16))</f>
        <v/>
      </c>
    </row>
    <row r="339" spans="1:11" x14ac:dyDescent="0.3">
      <c r="A339" t="s">
        <v>1829</v>
      </c>
      <c r="B339" t="s">
        <v>1830</v>
      </c>
      <c r="C339">
        <v>2</v>
      </c>
      <c r="D339" t="s">
        <v>1447</v>
      </c>
      <c r="E339" t="s">
        <v>1832</v>
      </c>
      <c r="F339" t="s">
        <v>1791</v>
      </c>
      <c r="J339" t="str">
        <f>IF(ISBLANK('Q 5'!H17),"",IF('Q 5'!H17="&lt;please select&gt;","",'Q 5'!H17))</f>
        <v/>
      </c>
    </row>
    <row r="340" spans="1:11" x14ac:dyDescent="0.3">
      <c r="A340" t="s">
        <v>1829</v>
      </c>
      <c r="B340" t="s">
        <v>1830</v>
      </c>
      <c r="C340">
        <v>3</v>
      </c>
      <c r="D340" t="s">
        <v>1447</v>
      </c>
      <c r="E340" t="s">
        <v>1832</v>
      </c>
      <c r="F340" t="s">
        <v>1791</v>
      </c>
      <c r="J340" t="str">
        <f>IF(ISBLANK('Q 5'!H18),"",IF('Q 5'!H18="&lt;please select&gt;","",'Q 5'!H18))</f>
        <v/>
      </c>
    </row>
    <row r="341" spans="1:11" x14ac:dyDescent="0.3">
      <c r="A341" t="s">
        <v>1829</v>
      </c>
      <c r="B341" t="s">
        <v>1830</v>
      </c>
      <c r="C341">
        <v>4</v>
      </c>
      <c r="D341" t="s">
        <v>1447</v>
      </c>
      <c r="E341" t="s">
        <v>1832</v>
      </c>
      <c r="F341" t="s">
        <v>1791</v>
      </c>
      <c r="J341" t="str">
        <f>IF(ISBLANK('Q 5'!H19),"",IF('Q 5'!H19="&lt;please select&gt;","",'Q 5'!H19))</f>
        <v/>
      </c>
    </row>
    <row r="342" spans="1:11" x14ac:dyDescent="0.3">
      <c r="A342" t="s">
        <v>1829</v>
      </c>
      <c r="B342" t="s">
        <v>1830</v>
      </c>
      <c r="C342">
        <v>5</v>
      </c>
      <c r="D342" t="s">
        <v>1447</v>
      </c>
      <c r="E342" t="s">
        <v>1832</v>
      </c>
      <c r="F342" t="s">
        <v>1791</v>
      </c>
      <c r="J342" t="str">
        <f>IF(ISBLANK('Q 5'!H20),"",IF('Q 5'!H20="&lt;please select&gt;","",'Q 5'!H20))</f>
        <v/>
      </c>
    </row>
    <row r="343" spans="1:11" x14ac:dyDescent="0.3">
      <c r="A343" t="s">
        <v>1829</v>
      </c>
      <c r="B343" t="s">
        <v>1830</v>
      </c>
      <c r="C343">
        <v>6</v>
      </c>
      <c r="D343" t="s">
        <v>1447</v>
      </c>
      <c r="E343" t="s">
        <v>1832</v>
      </c>
      <c r="F343" t="s">
        <v>1791</v>
      </c>
      <c r="J343" t="str">
        <f>IF(ISBLANK('Q 5'!H21),"",IF('Q 5'!H21="&lt;please select&gt;","",'Q 5'!H21))</f>
        <v/>
      </c>
    </row>
    <row r="344" spans="1:11" x14ac:dyDescent="0.3">
      <c r="A344" t="s">
        <v>1829</v>
      </c>
      <c r="B344" t="s">
        <v>1830</v>
      </c>
      <c r="C344">
        <v>7</v>
      </c>
      <c r="D344" t="s">
        <v>1447</v>
      </c>
      <c r="E344" t="s">
        <v>1832</v>
      </c>
      <c r="F344" t="s">
        <v>1791</v>
      </c>
      <c r="J344" t="str">
        <f>IF(ISBLANK('Q 5'!H22),"",IF('Q 5'!H22="&lt;please select&gt;","",'Q 5'!H22))</f>
        <v/>
      </c>
    </row>
    <row r="345" spans="1:11" x14ac:dyDescent="0.3">
      <c r="A345" t="s">
        <v>1833</v>
      </c>
      <c r="B345" t="s">
        <v>1834</v>
      </c>
      <c r="C345">
        <v>0</v>
      </c>
      <c r="D345" t="s">
        <v>1447</v>
      </c>
      <c r="E345" t="s">
        <v>1834</v>
      </c>
      <c r="F345" t="s">
        <v>1759</v>
      </c>
      <c r="K345" t="str">
        <f>IF(ISBLANK('Q 5'!$I$25),"",IF('Q 5'!$I$25="&lt;please select&gt;","",'Q 5'!$I$25))</f>
        <v>Yes</v>
      </c>
    </row>
    <row r="346" spans="1:11" x14ac:dyDescent="0.3">
      <c r="A346" t="s">
        <v>1833</v>
      </c>
      <c r="B346" t="s">
        <v>1835</v>
      </c>
      <c r="C346">
        <v>1</v>
      </c>
      <c r="D346" t="s">
        <v>1447</v>
      </c>
      <c r="E346" t="s">
        <v>1836</v>
      </c>
      <c r="F346" t="s">
        <v>1737</v>
      </c>
      <c r="K346" t="str">
        <f>IF(ISBLANK('Q 5'!F28),"",IF('Q 5'!F28="&lt;please select&gt;","",'Q 5'!F28))</f>
        <v/>
      </c>
    </row>
    <row r="347" spans="1:11" x14ac:dyDescent="0.3">
      <c r="A347" t="s">
        <v>1833</v>
      </c>
      <c r="B347" t="s">
        <v>1835</v>
      </c>
      <c r="C347">
        <v>2</v>
      </c>
      <c r="D347" t="s">
        <v>1447</v>
      </c>
      <c r="E347" t="s">
        <v>1836</v>
      </c>
      <c r="F347" t="s">
        <v>1737</v>
      </c>
      <c r="K347" t="str">
        <f>IF(ISBLANK('Q 5'!F29),"",IF('Q 5'!F29="&lt;please select&gt;","",'Q 5'!F29))</f>
        <v/>
      </c>
    </row>
    <row r="348" spans="1:11" x14ac:dyDescent="0.3">
      <c r="A348" t="s">
        <v>1833</v>
      </c>
      <c r="B348" t="s">
        <v>1835</v>
      </c>
      <c r="C348">
        <v>3</v>
      </c>
      <c r="D348" t="s">
        <v>1447</v>
      </c>
      <c r="E348" t="s">
        <v>1836</v>
      </c>
      <c r="F348" t="s">
        <v>1737</v>
      </c>
      <c r="K348" t="str">
        <f>IF(ISBLANK('Q 5'!F30),"",IF('Q 5'!F30="&lt;please select&gt;","",'Q 5'!F30))</f>
        <v/>
      </c>
    </row>
    <row r="349" spans="1:11" x14ac:dyDescent="0.3">
      <c r="A349" t="s">
        <v>1833</v>
      </c>
      <c r="B349" t="s">
        <v>1835</v>
      </c>
      <c r="C349">
        <v>4</v>
      </c>
      <c r="D349" t="s">
        <v>1447</v>
      </c>
      <c r="E349" t="s">
        <v>1836</v>
      </c>
      <c r="F349" t="s">
        <v>1737</v>
      </c>
      <c r="K349" t="str">
        <f>IF(ISBLANK('Q 5'!F31),"",IF('Q 5'!F31="&lt;please select&gt;","",'Q 5'!F31))</f>
        <v/>
      </c>
    </row>
    <row r="350" spans="1:11" x14ac:dyDescent="0.3">
      <c r="A350" t="s">
        <v>1833</v>
      </c>
      <c r="B350" t="s">
        <v>1835</v>
      </c>
      <c r="C350">
        <v>1</v>
      </c>
      <c r="D350" t="s">
        <v>1447</v>
      </c>
      <c r="E350" t="s">
        <v>1837</v>
      </c>
      <c r="F350" t="s">
        <v>1741</v>
      </c>
      <c r="G350" t="str">
        <f>IF(ISBLANK('Q 5'!H28),"",IF('Q 5'!H28="&lt;please select&gt;","",'Q 5'!H28))</f>
        <v/>
      </c>
    </row>
    <row r="351" spans="1:11" x14ac:dyDescent="0.3">
      <c r="A351" t="s">
        <v>1833</v>
      </c>
      <c r="B351" t="s">
        <v>1835</v>
      </c>
      <c r="C351">
        <v>2</v>
      </c>
      <c r="D351" t="s">
        <v>1447</v>
      </c>
      <c r="E351" t="s">
        <v>1837</v>
      </c>
      <c r="F351" t="s">
        <v>1741</v>
      </c>
      <c r="G351" t="str">
        <f>IF(ISBLANK('Q 5'!H29),"",IF('Q 5'!H29="&lt;please select&gt;","",'Q 5'!H29))</f>
        <v/>
      </c>
    </row>
    <row r="352" spans="1:11" x14ac:dyDescent="0.3">
      <c r="A352" t="s">
        <v>1833</v>
      </c>
      <c r="B352" t="s">
        <v>1835</v>
      </c>
      <c r="C352">
        <v>3</v>
      </c>
      <c r="D352" t="s">
        <v>1447</v>
      </c>
      <c r="E352" t="s">
        <v>1837</v>
      </c>
      <c r="F352" t="s">
        <v>1741</v>
      </c>
      <c r="G352" t="str">
        <f>IF(ISBLANK('Q 5'!H30),"",IF('Q 5'!H30="&lt;please select&gt;","",'Q 5'!H30))</f>
        <v/>
      </c>
    </row>
    <row r="353" spans="1:11" x14ac:dyDescent="0.3">
      <c r="A353" t="s">
        <v>1833</v>
      </c>
      <c r="B353" t="s">
        <v>1835</v>
      </c>
      <c r="C353">
        <v>4</v>
      </c>
      <c r="D353" t="s">
        <v>1447</v>
      </c>
      <c r="E353" t="s">
        <v>1837</v>
      </c>
      <c r="F353" t="s">
        <v>1741</v>
      </c>
      <c r="G353" t="str">
        <f>IF(ISBLANK('Q 5'!H31),"",IF('Q 5'!H31="&lt;please select&gt;","",'Q 5'!H31))</f>
        <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
      </c>
    </row>
    <row r="359" spans="1:11" x14ac:dyDescent="0.3">
      <c r="A359" t="s">
        <v>1833</v>
      </c>
      <c r="B359" t="s">
        <v>1838</v>
      </c>
      <c r="C359">
        <v>2</v>
      </c>
      <c r="D359" t="s">
        <v>1447</v>
      </c>
      <c r="E359" t="s">
        <v>1837</v>
      </c>
      <c r="F359" t="s">
        <v>1741</v>
      </c>
      <c r="G359" t="str">
        <f>IF(ISBLANK('Q 5'!H36),"",IF('Q 5'!H36="&lt;please select&gt;","",'Q 5'!H36))</f>
        <v/>
      </c>
    </row>
    <row r="360" spans="1:11" x14ac:dyDescent="0.3">
      <c r="A360" t="s">
        <v>1833</v>
      </c>
      <c r="B360" t="s">
        <v>1838</v>
      </c>
      <c r="C360">
        <v>3</v>
      </c>
      <c r="D360" t="s">
        <v>1447</v>
      </c>
      <c r="E360" t="s">
        <v>1837</v>
      </c>
      <c r="F360" t="s">
        <v>1741</v>
      </c>
      <c r="G360" t="str">
        <f>IF(ISBLANK('Q 5'!H37),"",IF('Q 5'!H37="&lt;please select&gt;","",'Q 5'!H37))</f>
        <v/>
      </c>
    </row>
    <row r="361" spans="1:11" x14ac:dyDescent="0.3">
      <c r="A361" t="s">
        <v>1833</v>
      </c>
      <c r="B361" t="s">
        <v>1838</v>
      </c>
      <c r="C361">
        <v>4</v>
      </c>
      <c r="D361" t="s">
        <v>1447</v>
      </c>
      <c r="E361" t="s">
        <v>1837</v>
      </c>
      <c r="F361" t="s">
        <v>1741</v>
      </c>
      <c r="G361" t="str">
        <f>IF(ISBLANK('Q 5'!H38),"",IF('Q 5'!H38="&lt;please select&gt;","",'Q 5'!H38))</f>
        <v/>
      </c>
    </row>
    <row r="362" spans="1:11" x14ac:dyDescent="0.3">
      <c r="A362" t="s">
        <v>1833</v>
      </c>
      <c r="B362" t="s">
        <v>1839</v>
      </c>
      <c r="C362">
        <v>0</v>
      </c>
      <c r="D362" t="s">
        <v>1447</v>
      </c>
      <c r="E362" t="s">
        <v>1839</v>
      </c>
      <c r="F362" t="s">
        <v>1741</v>
      </c>
      <c r="G362" t="str">
        <f>IF(ISBLANK('Q 5'!$C$42),"",IF('Q 5'!$C$42="&lt;please select&gt;","",'Q 5'!$C$42))</f>
        <v>Latvijas normatīvajos aktos ir noteikts, ka operators un gaisa kuģu operators izmanto Eiropas Komisijas izstrādātās veidlapas monitoringa plānam, tonnkilometru monitoringa plānam un gaisa kuģu operatora emisiju ziņojumam. Sākot ar 2014.gada atbilstības ciklu operators izmanto EK izstrādāto ikgadējā emisiju ziņojuma veidlapu. Operators izmanto standarta ar Latvijas tiesību aktiem apstiprinātās veidlapas iesniegumam SEG atļaujas saņemšanai un grozījumu veikšanai. Kompetentā iestāde izmanto ar Latvijas tiesību aktiem apstiprinātās SEG atļaujas veidlapas.</v>
      </c>
    </row>
    <row r="363" spans="1:11" x14ac:dyDescent="0.3">
      <c r="A363" t="s">
        <v>1840</v>
      </c>
      <c r="B363" t="s">
        <v>1841</v>
      </c>
      <c r="C363">
        <v>0</v>
      </c>
      <c r="D363" t="s">
        <v>1447</v>
      </c>
      <c r="E363" t="s">
        <v>1841</v>
      </c>
      <c r="F363" t="s">
        <v>1759</v>
      </c>
      <c r="K363" t="str">
        <f>IF(ISBLANK('Q 5'!$I$45),"",IF('Q 5'!$I$45="&lt;please select&gt;","",'Q 5'!$I$45))</f>
        <v>Yes</v>
      </c>
    </row>
    <row r="364" spans="1:11" x14ac:dyDescent="0.3">
      <c r="A364" t="s">
        <v>1840</v>
      </c>
      <c r="B364" t="s">
        <v>1842</v>
      </c>
      <c r="C364">
        <v>0</v>
      </c>
      <c r="D364" t="s">
        <v>1447</v>
      </c>
      <c r="E364" t="s">
        <v>1842</v>
      </c>
      <c r="F364" t="s">
        <v>1741</v>
      </c>
      <c r="G364" t="str">
        <f>IF(ISBLANK('Q 5'!$C$47),"",IF('Q 5'!$C$47="&lt;please select&gt;","",'Q 5'!$C$47))</f>
        <v>ets-reporting.ec.europa.eu/ ; iesniegumu SEG atļaujas saņemšanai var iesniegt arī elektroniski, reģistrējoties Valsts vides dienesta vienotās vides informācijas sistēmā “TULPE”.</v>
      </c>
    </row>
    <row r="365" spans="1:11" x14ac:dyDescent="0.3">
      <c r="A365" t="s">
        <v>1843</v>
      </c>
      <c r="B365" t="s">
        <v>1844</v>
      </c>
      <c r="C365">
        <v>1</v>
      </c>
      <c r="D365" t="s">
        <v>1447</v>
      </c>
      <c r="E365" t="s">
        <v>1845</v>
      </c>
      <c r="F365" t="s">
        <v>1806</v>
      </c>
      <c r="I365" t="str">
        <f>IF(ISBLANK('Q 5'!F53),"",IF('Q 5'!F53="&lt;please select&gt;","",'Q 5'!F53))</f>
        <v/>
      </c>
    </row>
    <row r="366" spans="1:11" x14ac:dyDescent="0.3">
      <c r="A366" t="s">
        <v>1843</v>
      </c>
      <c r="B366" t="s">
        <v>1844</v>
      </c>
      <c r="C366">
        <v>2</v>
      </c>
      <c r="D366" t="s">
        <v>1447</v>
      </c>
      <c r="E366" t="s">
        <v>1845</v>
      </c>
      <c r="F366" t="s">
        <v>1806</v>
      </c>
      <c r="I366" t="str">
        <f>IF(ISBLANK('Q 5'!F54),"",IF('Q 5'!F54="&lt;please select&gt;","",'Q 5'!F54))</f>
        <v>608.47675331</v>
      </c>
    </row>
    <row r="367" spans="1:11" x14ac:dyDescent="0.3">
      <c r="A367" t="s">
        <v>1843</v>
      </c>
      <c r="B367" t="s">
        <v>1844</v>
      </c>
      <c r="C367">
        <v>3</v>
      </c>
      <c r="D367" t="s">
        <v>1447</v>
      </c>
      <c r="E367" t="s">
        <v>1845</v>
      </c>
      <c r="F367" t="s">
        <v>1806</v>
      </c>
      <c r="I367" t="str">
        <f>IF(ISBLANK('Q 5'!F55),"",IF('Q 5'!F55="&lt;please select&gt;","",'Q 5'!F55))</f>
        <v>0.5025</v>
      </c>
    </row>
    <row r="368" spans="1:11" x14ac:dyDescent="0.3">
      <c r="A368" t="s">
        <v>1843</v>
      </c>
      <c r="B368" t="s">
        <v>1844</v>
      </c>
      <c r="C368">
        <v>4</v>
      </c>
      <c r="D368" t="s">
        <v>1447</v>
      </c>
      <c r="E368" t="s">
        <v>1845</v>
      </c>
      <c r="F368" t="s">
        <v>1806</v>
      </c>
      <c r="I368" t="str">
        <f>IF(ISBLANK('Q 5'!F56),"",IF('Q 5'!F56="&lt;please select&gt;","",'Q 5'!F56))</f>
        <v/>
      </c>
    </row>
    <row r="369" spans="1:9" x14ac:dyDescent="0.3">
      <c r="A369" t="s">
        <v>1843</v>
      </c>
      <c r="B369" t="s">
        <v>1844</v>
      </c>
      <c r="C369">
        <v>5</v>
      </c>
      <c r="D369" t="s">
        <v>1447</v>
      </c>
      <c r="E369" t="s">
        <v>1845</v>
      </c>
      <c r="F369" t="s">
        <v>1806</v>
      </c>
      <c r="I369" t="str">
        <f>IF(ISBLANK('Q 5'!F57),"",IF('Q 5'!F57="&lt;please select&gt;","",'Q 5'!F57))</f>
        <v>23198.930748071</v>
      </c>
    </row>
    <row r="370" spans="1:9" x14ac:dyDescent="0.3">
      <c r="A370" t="s">
        <v>1843</v>
      </c>
      <c r="B370" t="s">
        <v>1844</v>
      </c>
      <c r="C370">
        <v>6</v>
      </c>
      <c r="D370" t="s">
        <v>1447</v>
      </c>
      <c r="E370" t="s">
        <v>1845</v>
      </c>
      <c r="F370" t="s">
        <v>1806</v>
      </c>
      <c r="I370" t="str">
        <f>IF(ISBLANK('Q 5'!F58),"",IF('Q 5'!F58="&lt;please select&gt;","",'Q 5'!F58))</f>
        <v/>
      </c>
    </row>
    <row r="371" spans="1:9" x14ac:dyDescent="0.3">
      <c r="A371" t="s">
        <v>1843</v>
      </c>
      <c r="B371" t="s">
        <v>1844</v>
      </c>
      <c r="C371">
        <v>7</v>
      </c>
      <c r="D371" t="s">
        <v>1447</v>
      </c>
      <c r="E371" t="s">
        <v>1845</v>
      </c>
      <c r="F371" t="s">
        <v>1806</v>
      </c>
      <c r="I371" t="str">
        <f>IF(ISBLANK('Q 5'!F59),"",IF('Q 5'!F59="&lt;please select&gt;","",'Q 5'!F59))</f>
        <v/>
      </c>
    </row>
    <row r="372" spans="1:9" x14ac:dyDescent="0.3">
      <c r="A372" t="s">
        <v>1843</v>
      </c>
      <c r="B372" t="s">
        <v>1844</v>
      </c>
      <c r="C372">
        <v>8</v>
      </c>
      <c r="D372" t="s">
        <v>1447</v>
      </c>
      <c r="E372" t="s">
        <v>1845</v>
      </c>
      <c r="F372" t="s">
        <v>1806</v>
      </c>
      <c r="I372" t="str">
        <f>IF(ISBLANK('Q 5'!F60),"",IF('Q 5'!F60="&lt;please select&gt;","",'Q 5'!F60))</f>
        <v/>
      </c>
    </row>
    <row r="373" spans="1:9" x14ac:dyDescent="0.3">
      <c r="A373" t="s">
        <v>1843</v>
      </c>
      <c r="B373" t="s">
        <v>1844</v>
      </c>
      <c r="C373">
        <v>9</v>
      </c>
      <c r="D373" t="s">
        <v>1447</v>
      </c>
      <c r="E373" t="s">
        <v>1845</v>
      </c>
      <c r="F373" t="s">
        <v>1806</v>
      </c>
      <c r="I373" t="str">
        <f>IF(ISBLANK('Q 5'!F61),"",IF('Q 5'!F61="&lt;please select&gt;","",'Q 5'!F61))</f>
        <v>61.2672786178</v>
      </c>
    </row>
    <row r="374" spans="1:9" x14ac:dyDescent="0.3">
      <c r="A374" t="s">
        <v>1843</v>
      </c>
      <c r="B374" t="s">
        <v>1844</v>
      </c>
      <c r="C374">
        <v>10</v>
      </c>
      <c r="D374" t="s">
        <v>1447</v>
      </c>
      <c r="E374" t="s">
        <v>1845</v>
      </c>
      <c r="F374" t="s">
        <v>1806</v>
      </c>
      <c r="I374" t="str">
        <f>IF(ISBLANK('Q 5'!F62),"",IF('Q 5'!F62="&lt;please select&gt;","",'Q 5'!F62))</f>
        <v>1.3268136</v>
      </c>
    </row>
    <row r="375" spans="1:9" x14ac:dyDescent="0.3">
      <c r="A375" t="s">
        <v>1843</v>
      </c>
      <c r="B375" t="s">
        <v>1844</v>
      </c>
      <c r="C375">
        <v>11</v>
      </c>
      <c r="D375" t="s">
        <v>1447</v>
      </c>
      <c r="E375" t="s">
        <v>1845</v>
      </c>
      <c r="F375" t="s">
        <v>1806</v>
      </c>
      <c r="I375" t="str">
        <f>IF(ISBLANK('Q 5'!F63),"",IF('Q 5'!F63="&lt;please select&gt;","",'Q 5'!F63))</f>
        <v/>
      </c>
    </row>
    <row r="376" spans="1:9" x14ac:dyDescent="0.3">
      <c r="A376" t="s">
        <v>1843</v>
      </c>
      <c r="B376" t="s">
        <v>1844</v>
      </c>
      <c r="C376">
        <v>12</v>
      </c>
      <c r="D376" t="s">
        <v>1447</v>
      </c>
      <c r="E376" t="s">
        <v>1845</v>
      </c>
      <c r="F376" t="s">
        <v>1806</v>
      </c>
      <c r="I376" t="str">
        <f>IF(ISBLANK('Q 5'!F64),"",IF('Q 5'!F64="&lt;please select&gt;","",'Q 5'!F64))</f>
        <v>2.2415334</v>
      </c>
    </row>
    <row r="377" spans="1:9" x14ac:dyDescent="0.3">
      <c r="A377" t="s">
        <v>1843</v>
      </c>
      <c r="B377" t="s">
        <v>1844</v>
      </c>
      <c r="C377">
        <v>1</v>
      </c>
      <c r="D377" t="s">
        <v>1447</v>
      </c>
      <c r="E377" t="s">
        <v>1848</v>
      </c>
      <c r="F377" t="s">
        <v>1806</v>
      </c>
      <c r="I377" t="str">
        <f>IF(ISBLANK('Q 5'!H53),"",IF('Q 5'!H53="&lt;please select&gt;","",'Q 5'!H53))</f>
        <v/>
      </c>
    </row>
    <row r="378" spans="1:9" x14ac:dyDescent="0.3">
      <c r="A378" t="s">
        <v>1843</v>
      </c>
      <c r="B378" t="s">
        <v>1844</v>
      </c>
      <c r="C378">
        <v>2</v>
      </c>
      <c r="D378" t="s">
        <v>1447</v>
      </c>
      <c r="E378" t="s">
        <v>1848</v>
      </c>
      <c r="F378" t="s">
        <v>1806</v>
      </c>
      <c r="I378" t="str">
        <f>IF(ISBLANK('Q 5'!H54),"",IF('Q 5'!H54="&lt;please select&gt;","",'Q 5'!H54))</f>
        <v>56701.2265948743</v>
      </c>
    </row>
    <row r="379" spans="1:9" x14ac:dyDescent="0.3">
      <c r="A379" t="s">
        <v>1843</v>
      </c>
      <c r="B379" t="s">
        <v>1844</v>
      </c>
      <c r="C379">
        <v>3</v>
      </c>
      <c r="D379" t="s">
        <v>1447</v>
      </c>
      <c r="E379" t="s">
        <v>1848</v>
      </c>
      <c r="F379" t="s">
        <v>1806</v>
      </c>
      <c r="I379" t="str">
        <f>IF(ISBLANK('Q 5'!H55),"",IF('Q 5'!H55="&lt;please select&gt;","",'Q 5'!H55))</f>
        <v>53.2580655</v>
      </c>
    </row>
    <row r="380" spans="1:9" x14ac:dyDescent="0.3">
      <c r="A380" t="s">
        <v>1843</v>
      </c>
      <c r="B380" t="s">
        <v>1844</v>
      </c>
      <c r="C380">
        <v>4</v>
      </c>
      <c r="D380" t="s">
        <v>1447</v>
      </c>
      <c r="E380" t="s">
        <v>1848</v>
      </c>
      <c r="F380" t="s">
        <v>1806</v>
      </c>
      <c r="I380" t="str">
        <f>IF(ISBLANK('Q 5'!H56),"",IF('Q 5'!H56="&lt;please select&gt;","",'Q 5'!H56))</f>
        <v/>
      </c>
    </row>
    <row r="381" spans="1:9" x14ac:dyDescent="0.3">
      <c r="A381" t="s">
        <v>1843</v>
      </c>
      <c r="B381" t="s">
        <v>1844</v>
      </c>
      <c r="C381">
        <v>5</v>
      </c>
      <c r="D381" t="s">
        <v>1447</v>
      </c>
      <c r="E381" t="s">
        <v>1848</v>
      </c>
      <c r="F381" t="s">
        <v>1806</v>
      </c>
      <c r="I381" t="str">
        <f>IF(ISBLANK('Q 5'!H57),"",IF('Q 5'!H57="&lt;please select&gt;","",'Q 5'!H57))</f>
        <v>1288088.32781947</v>
      </c>
    </row>
    <row r="382" spans="1:9" x14ac:dyDescent="0.3">
      <c r="A382" t="s">
        <v>1843</v>
      </c>
      <c r="B382" t="s">
        <v>1844</v>
      </c>
      <c r="C382">
        <v>6</v>
      </c>
      <c r="D382" t="s">
        <v>1447</v>
      </c>
      <c r="E382" t="s">
        <v>1848</v>
      </c>
      <c r="F382" t="s">
        <v>1806</v>
      </c>
      <c r="I382" t="str">
        <f>IF(ISBLANK('Q 5'!H58),"",IF('Q 5'!H58="&lt;please select&gt;","",'Q 5'!H58))</f>
        <v/>
      </c>
    </row>
    <row r="383" spans="1:9" x14ac:dyDescent="0.3">
      <c r="A383" t="s">
        <v>1843</v>
      </c>
      <c r="B383" t="s">
        <v>1844</v>
      </c>
      <c r="C383">
        <v>7</v>
      </c>
      <c r="D383" t="s">
        <v>1447</v>
      </c>
      <c r="E383" t="s">
        <v>1848</v>
      </c>
      <c r="F383" t="s">
        <v>1806</v>
      </c>
      <c r="I383" t="str">
        <f>IF(ISBLANK('Q 5'!H59),"",IF('Q 5'!H59="&lt;please select&gt;","",'Q 5'!H59))</f>
        <v/>
      </c>
    </row>
    <row r="384" spans="1:9" x14ac:dyDescent="0.3">
      <c r="A384" t="s">
        <v>1843</v>
      </c>
      <c r="B384" t="s">
        <v>1844</v>
      </c>
      <c r="C384">
        <v>8</v>
      </c>
      <c r="D384" t="s">
        <v>1447</v>
      </c>
      <c r="E384" t="s">
        <v>1848</v>
      </c>
      <c r="F384" t="s">
        <v>1806</v>
      </c>
      <c r="I384" t="str">
        <f>IF(ISBLANK('Q 5'!H60),"",IF('Q 5'!H60="&lt;please select&gt;","",'Q 5'!H60))</f>
        <v/>
      </c>
    </row>
    <row r="385" spans="1:11" x14ac:dyDescent="0.3">
      <c r="A385" t="s">
        <v>1843</v>
      </c>
      <c r="B385" t="s">
        <v>1844</v>
      </c>
      <c r="C385">
        <v>9</v>
      </c>
      <c r="D385" t="s">
        <v>1447</v>
      </c>
      <c r="E385" t="s">
        <v>1848</v>
      </c>
      <c r="F385" t="s">
        <v>1806</v>
      </c>
      <c r="I385" t="str">
        <f>IF(ISBLANK('Q 5'!H61),"",IF('Q 5'!H61="&lt;please select&gt;","",'Q 5'!H61))</f>
        <v>4580.931595518</v>
      </c>
    </row>
    <row r="386" spans="1:11" x14ac:dyDescent="0.3">
      <c r="A386" t="s">
        <v>1843</v>
      </c>
      <c r="B386" t="s">
        <v>1844</v>
      </c>
      <c r="C386">
        <v>10</v>
      </c>
      <c r="D386" t="s">
        <v>1447</v>
      </c>
      <c r="E386" t="s">
        <v>1848</v>
      </c>
      <c r="F386" t="s">
        <v>1806</v>
      </c>
      <c r="I386" t="str">
        <f>IF(ISBLANK('Q 5'!H62),"",IF('Q 5'!H62="&lt;please select&gt;","",'Q 5'!H62))</f>
        <v>44.2677735377</v>
      </c>
    </row>
    <row r="387" spans="1:11" x14ac:dyDescent="0.3">
      <c r="A387" t="s">
        <v>1843</v>
      </c>
      <c r="B387" t="s">
        <v>1844</v>
      </c>
      <c r="C387">
        <v>11</v>
      </c>
      <c r="D387" t="s">
        <v>1447</v>
      </c>
      <c r="E387" t="s">
        <v>1848</v>
      </c>
      <c r="F387" t="s">
        <v>1806</v>
      </c>
      <c r="I387" t="str">
        <f>IF(ISBLANK('Q 5'!H63),"",IF('Q 5'!H63="&lt;please select&gt;","",'Q 5'!H63))</f>
        <v/>
      </c>
    </row>
    <row r="388" spans="1:11" x14ac:dyDescent="0.3">
      <c r="A388" t="s">
        <v>1843</v>
      </c>
      <c r="B388" t="s">
        <v>1844</v>
      </c>
      <c r="C388">
        <v>12</v>
      </c>
      <c r="D388" t="s">
        <v>1447</v>
      </c>
      <c r="E388" t="s">
        <v>1848</v>
      </c>
      <c r="F388" t="s">
        <v>1806</v>
      </c>
      <c r="I388" t="str">
        <f>IF(ISBLANK('Q 5'!H64),"",IF('Q 5'!H64="&lt;please select&gt;","",'Q 5'!H64))</f>
        <v>172.8645901213</v>
      </c>
    </row>
    <row r="389" spans="1:11" x14ac:dyDescent="0.3">
      <c r="A389" t="s">
        <v>1846</v>
      </c>
      <c r="B389" t="s">
        <v>1849</v>
      </c>
      <c r="C389">
        <v>1</v>
      </c>
      <c r="D389" t="s">
        <v>1447</v>
      </c>
      <c r="E389" t="s">
        <v>1850</v>
      </c>
      <c r="F389" t="s">
        <v>1737</v>
      </c>
      <c r="K389" t="str">
        <f>IF(ISBLANK('Q 5'!C69),"",IF('Q 5'!C69="&lt;please select&gt;","",'Q 5'!C69))</f>
        <v>1A1 - Energy - Energy Industries</v>
      </c>
    </row>
    <row r="390" spans="1:11" x14ac:dyDescent="0.3">
      <c r="A390" t="s">
        <v>1846</v>
      </c>
      <c r="B390" t="s">
        <v>1849</v>
      </c>
      <c r="C390">
        <v>2</v>
      </c>
      <c r="D390" t="s">
        <v>1447</v>
      </c>
      <c r="E390" t="s">
        <v>1850</v>
      </c>
      <c r="F390" t="s">
        <v>1737</v>
      </c>
      <c r="K390" t="str">
        <f>IF(ISBLANK('Q 5'!C70),"",IF('Q 5'!C70="&lt;please select&gt;","",'Q 5'!C70))</f>
        <v>1A2 - Energy - Manufacturing Industries and Construction</v>
      </c>
    </row>
    <row r="391" spans="1:11" x14ac:dyDescent="0.3">
      <c r="A391" t="s">
        <v>1846</v>
      </c>
      <c r="B391" t="s">
        <v>1849</v>
      </c>
      <c r="C391">
        <v>3</v>
      </c>
      <c r="D391" t="s">
        <v>1447</v>
      </c>
      <c r="E391" t="s">
        <v>1850</v>
      </c>
      <c r="F391" t="s">
        <v>1737</v>
      </c>
      <c r="K391" t="str">
        <f>IF(ISBLANK('Q 5'!C71),"",IF('Q 5'!C71="&lt;please select&gt;","",'Q 5'!C71))</f>
        <v>1A4 - Energy - Other Sectors</v>
      </c>
    </row>
    <row r="392" spans="1:11" x14ac:dyDescent="0.3">
      <c r="A392" t="s">
        <v>1846</v>
      </c>
      <c r="B392" t="s">
        <v>1849</v>
      </c>
      <c r="C392">
        <v>4</v>
      </c>
      <c r="D392" t="s">
        <v>1447</v>
      </c>
      <c r="E392" t="s">
        <v>1850</v>
      </c>
      <c r="F392" t="s">
        <v>1737</v>
      </c>
      <c r="K392" t="str">
        <f>IF(ISBLANK('Q 5'!C72),"",IF('Q 5'!C72="&lt;please select&gt;","",'Q 5'!C72))</f>
        <v/>
      </c>
    </row>
    <row r="393" spans="1:11" x14ac:dyDescent="0.3">
      <c r="A393" t="s">
        <v>1846</v>
      </c>
      <c r="B393" t="s">
        <v>1849</v>
      </c>
      <c r="C393">
        <v>5</v>
      </c>
      <c r="D393" t="s">
        <v>1447</v>
      </c>
      <c r="E393" t="s">
        <v>1850</v>
      </c>
      <c r="F393" t="s">
        <v>1737</v>
      </c>
      <c r="K393" t="str">
        <f>IF(ISBLANK('Q 5'!C73),"",IF('Q 5'!C73="&lt;please select&gt;","",'Q 5'!C73))</f>
        <v/>
      </c>
    </row>
    <row r="394" spans="1:11" x14ac:dyDescent="0.3">
      <c r="A394" t="s">
        <v>1846</v>
      </c>
      <c r="B394" t="s">
        <v>1849</v>
      </c>
      <c r="C394">
        <v>6</v>
      </c>
      <c r="D394" t="s">
        <v>1447</v>
      </c>
      <c r="E394" t="s">
        <v>1850</v>
      </c>
      <c r="F394" t="s">
        <v>1737</v>
      </c>
      <c r="K394" t="str">
        <f>IF(ISBLANK('Q 5'!C74),"",IF('Q 5'!C74="&lt;please select&gt;","",'Q 5'!C74))</f>
        <v/>
      </c>
    </row>
    <row r="395" spans="1:11" x14ac:dyDescent="0.3">
      <c r="A395" t="s">
        <v>1846</v>
      </c>
      <c r="B395" t="s">
        <v>1849</v>
      </c>
      <c r="C395">
        <v>7</v>
      </c>
      <c r="D395" t="s">
        <v>1447</v>
      </c>
      <c r="E395" t="s">
        <v>1850</v>
      </c>
      <c r="F395" t="s">
        <v>1737</v>
      </c>
      <c r="K395" t="str">
        <f>IF(ISBLANK('Q 5'!C75),"",IF('Q 5'!C75="&lt;please select&gt;","",'Q 5'!C75))</f>
        <v/>
      </c>
    </row>
    <row r="396" spans="1:11" x14ac:dyDescent="0.3">
      <c r="A396" t="s">
        <v>1846</v>
      </c>
      <c r="B396" t="s">
        <v>1849</v>
      </c>
      <c r="C396">
        <v>8</v>
      </c>
      <c r="D396" t="s">
        <v>1447</v>
      </c>
      <c r="E396" t="s">
        <v>1850</v>
      </c>
      <c r="F396" t="s">
        <v>1737</v>
      </c>
      <c r="K396" t="str">
        <f>IF(ISBLANK('Q 5'!C76),"",IF('Q 5'!C76="&lt;please select&gt;","",'Q 5'!C76))</f>
        <v/>
      </c>
    </row>
    <row r="397" spans="1:11" x14ac:dyDescent="0.3">
      <c r="A397" t="s">
        <v>1846</v>
      </c>
      <c r="B397" t="s">
        <v>1849</v>
      </c>
      <c r="C397">
        <v>9</v>
      </c>
      <c r="D397" t="s">
        <v>1447</v>
      </c>
      <c r="E397" t="s">
        <v>1850</v>
      </c>
      <c r="F397" t="s">
        <v>1737</v>
      </c>
      <c r="K397" t="str">
        <f>IF(ISBLANK('Q 5'!C77),"",IF('Q 5'!C77="&lt;please select&gt;","",'Q 5'!C77))</f>
        <v/>
      </c>
    </row>
    <row r="398" spans="1:11" x14ac:dyDescent="0.3">
      <c r="A398" t="s">
        <v>1846</v>
      </c>
      <c r="B398" t="s">
        <v>1849</v>
      </c>
      <c r="C398">
        <v>10</v>
      </c>
      <c r="D398" t="s">
        <v>1447</v>
      </c>
      <c r="E398" t="s">
        <v>1850</v>
      </c>
      <c r="F398" t="s">
        <v>1737</v>
      </c>
      <c r="K398" t="str">
        <f>IF(ISBLANK('Q 5'!C78),"",IF('Q 5'!C78="&lt;please select&gt;","",'Q 5'!C78))</f>
        <v/>
      </c>
    </row>
    <row r="399" spans="1:11" x14ac:dyDescent="0.3">
      <c r="A399" t="s">
        <v>1846</v>
      </c>
      <c r="B399" t="s">
        <v>1849</v>
      </c>
      <c r="C399">
        <v>11</v>
      </c>
      <c r="D399" t="s">
        <v>1447</v>
      </c>
      <c r="E399" t="s">
        <v>1850</v>
      </c>
      <c r="F399" t="s">
        <v>1737</v>
      </c>
      <c r="K399" t="str">
        <f>IF(ISBLANK('Q 5'!C79),"",IF('Q 5'!C79="&lt;please select&gt;","",'Q 5'!C79))</f>
        <v/>
      </c>
    </row>
    <row r="400" spans="1:11" x14ac:dyDescent="0.3">
      <c r="A400" t="s">
        <v>1846</v>
      </c>
      <c r="B400" t="s">
        <v>1849</v>
      </c>
      <c r="C400">
        <v>12</v>
      </c>
      <c r="D400" t="s">
        <v>1447</v>
      </c>
      <c r="E400" t="s">
        <v>1850</v>
      </c>
      <c r="F400" t="s">
        <v>1737</v>
      </c>
      <c r="K400" t="str">
        <f>IF(ISBLANK('Q 5'!C80),"",IF('Q 5'!C80="&lt;please select&gt;","",'Q 5'!C80))</f>
        <v/>
      </c>
    </row>
    <row r="401" spans="1:11" x14ac:dyDescent="0.3">
      <c r="A401" t="s">
        <v>1846</v>
      </c>
      <c r="B401" t="s">
        <v>1849</v>
      </c>
      <c r="C401">
        <v>13</v>
      </c>
      <c r="D401" t="s">
        <v>1447</v>
      </c>
      <c r="E401" t="s">
        <v>1850</v>
      </c>
      <c r="F401" t="s">
        <v>1737</v>
      </c>
      <c r="K401" t="str">
        <f>IF(ISBLANK('Q 5'!C81),"",IF('Q 5'!C81="&lt;please select&gt;","",'Q 5'!C81))</f>
        <v/>
      </c>
    </row>
    <row r="402" spans="1:11" x14ac:dyDescent="0.3">
      <c r="A402" t="s">
        <v>1846</v>
      </c>
      <c r="B402" t="s">
        <v>1849</v>
      </c>
      <c r="C402">
        <v>14</v>
      </c>
      <c r="D402" t="s">
        <v>1447</v>
      </c>
      <c r="E402" t="s">
        <v>1850</v>
      </c>
      <c r="F402" t="s">
        <v>1737</v>
      </c>
      <c r="K402" t="str">
        <f>IF(ISBLANK('Q 5'!C82),"",IF('Q 5'!C82="&lt;please select&gt;","",'Q 5'!C82))</f>
        <v/>
      </c>
    </row>
    <row r="403" spans="1:11" x14ac:dyDescent="0.3">
      <c r="A403" t="s">
        <v>1846</v>
      </c>
      <c r="B403" t="s">
        <v>1849</v>
      </c>
      <c r="C403">
        <v>15</v>
      </c>
      <c r="D403" t="s">
        <v>1447</v>
      </c>
      <c r="E403" t="s">
        <v>1850</v>
      </c>
      <c r="F403" t="s">
        <v>1737</v>
      </c>
      <c r="K403" t="str">
        <f>IF(ISBLANK('Q 5'!C83),"",IF('Q 5'!C83="&lt;please select&gt;","",'Q 5'!C83))</f>
        <v/>
      </c>
    </row>
    <row r="404" spans="1:11" x14ac:dyDescent="0.3">
      <c r="A404" t="s">
        <v>1846</v>
      </c>
      <c r="B404" t="s">
        <v>1849</v>
      </c>
      <c r="C404">
        <v>16</v>
      </c>
      <c r="D404" t="s">
        <v>1447</v>
      </c>
      <c r="E404" t="s">
        <v>1850</v>
      </c>
      <c r="F404" t="s">
        <v>1737</v>
      </c>
      <c r="K404" t="str">
        <f>IF(ISBLANK('Q 5'!C84),"",IF('Q 5'!C84="&lt;please select&gt;","",'Q 5'!C84))</f>
        <v/>
      </c>
    </row>
    <row r="405" spans="1:11" x14ac:dyDescent="0.3">
      <c r="A405" t="s">
        <v>1846</v>
      </c>
      <c r="B405" t="s">
        <v>1849</v>
      </c>
      <c r="C405">
        <v>17</v>
      </c>
      <c r="D405" t="s">
        <v>1447</v>
      </c>
      <c r="E405" t="s">
        <v>1850</v>
      </c>
      <c r="F405" t="s">
        <v>1737</v>
      </c>
      <c r="K405" t="str">
        <f>IF(ISBLANK('Q 5'!C85),"",IF('Q 5'!C85="&lt;please select&gt;","",'Q 5'!C85))</f>
        <v/>
      </c>
    </row>
    <row r="406" spans="1:11" x14ac:dyDescent="0.3">
      <c r="A406" t="s">
        <v>1846</v>
      </c>
      <c r="B406" t="s">
        <v>1849</v>
      </c>
      <c r="C406">
        <v>18</v>
      </c>
      <c r="D406" t="s">
        <v>1447</v>
      </c>
      <c r="E406" t="s">
        <v>1850</v>
      </c>
      <c r="F406" t="s">
        <v>1737</v>
      </c>
      <c r="K406" t="str">
        <f>IF(ISBLANK('Q 5'!C86),"",IF('Q 5'!C86="&lt;please select&gt;","",'Q 5'!C86))</f>
        <v/>
      </c>
    </row>
    <row r="407" spans="1:11" x14ac:dyDescent="0.3">
      <c r="A407" t="s">
        <v>1846</v>
      </c>
      <c r="B407" t="s">
        <v>1849</v>
      </c>
      <c r="C407">
        <v>19</v>
      </c>
      <c r="D407" t="s">
        <v>1447</v>
      </c>
      <c r="E407" t="s">
        <v>1850</v>
      </c>
      <c r="F407" t="s">
        <v>1737</v>
      </c>
      <c r="K407" t="str">
        <f>IF(ISBLANK('Q 5'!C87),"",IF('Q 5'!C87="&lt;please select&gt;","",'Q 5'!C87))</f>
        <v/>
      </c>
    </row>
    <row r="408" spans="1:11" x14ac:dyDescent="0.3">
      <c r="A408" t="s">
        <v>1846</v>
      </c>
      <c r="B408" t="s">
        <v>1849</v>
      </c>
      <c r="C408">
        <v>20</v>
      </c>
      <c r="D408" t="s">
        <v>1447</v>
      </c>
      <c r="E408" t="s">
        <v>1850</v>
      </c>
      <c r="F408" t="s">
        <v>1737</v>
      </c>
      <c r="K408" t="str">
        <f>IF(ISBLANK('Q 5'!C88),"",IF('Q 5'!C88="&lt;please select&gt;","",'Q 5'!C88))</f>
        <v/>
      </c>
    </row>
    <row r="409" spans="1:11" x14ac:dyDescent="0.3">
      <c r="A409" t="s">
        <v>1846</v>
      </c>
      <c r="B409" t="s">
        <v>1849</v>
      </c>
      <c r="C409">
        <v>21</v>
      </c>
      <c r="D409" t="s">
        <v>1447</v>
      </c>
      <c r="E409" t="s">
        <v>1850</v>
      </c>
      <c r="F409" t="s">
        <v>1737</v>
      </c>
      <c r="K409" t="str">
        <f>IF(ISBLANK('Q 5'!C89),"",IF('Q 5'!C89="&lt;please select&gt;","",'Q 5'!C89))</f>
        <v/>
      </c>
    </row>
    <row r="410" spans="1:11" x14ac:dyDescent="0.3">
      <c r="A410" t="s">
        <v>1846</v>
      </c>
      <c r="B410" t="s">
        <v>1849</v>
      </c>
      <c r="C410">
        <v>22</v>
      </c>
      <c r="D410" t="s">
        <v>1447</v>
      </c>
      <c r="E410" t="s">
        <v>1850</v>
      </c>
      <c r="F410" t="s">
        <v>1737</v>
      </c>
      <c r="K410" t="str">
        <f>IF(ISBLANK('Q 5'!C90),"",IF('Q 5'!C90="&lt;please select&gt;","",'Q 5'!C90))</f>
        <v/>
      </c>
    </row>
    <row r="411" spans="1:11" x14ac:dyDescent="0.3">
      <c r="A411" t="s">
        <v>1846</v>
      </c>
      <c r="B411" t="s">
        <v>1849</v>
      </c>
      <c r="C411">
        <v>23</v>
      </c>
      <c r="D411" t="s">
        <v>1447</v>
      </c>
      <c r="E411" t="s">
        <v>1850</v>
      </c>
      <c r="F411" t="s">
        <v>1737</v>
      </c>
      <c r="K411" t="str">
        <f>IF(ISBLANK('Q 5'!C91),"",IF('Q 5'!C91="&lt;please select&gt;","",'Q 5'!C91))</f>
        <v/>
      </c>
    </row>
    <row r="412" spans="1:11" x14ac:dyDescent="0.3">
      <c r="A412" t="s">
        <v>1846</v>
      </c>
      <c r="B412" t="s">
        <v>1849</v>
      </c>
      <c r="C412">
        <v>24</v>
      </c>
      <c r="D412" t="s">
        <v>1447</v>
      </c>
      <c r="E412" t="s">
        <v>1850</v>
      </c>
      <c r="F412" t="s">
        <v>1737</v>
      </c>
      <c r="K412" t="str">
        <f>IF(ISBLANK('Q 5'!C92),"",IF('Q 5'!C92="&lt;please select&gt;","",'Q 5'!C92))</f>
        <v/>
      </c>
    </row>
    <row r="413" spans="1:11" x14ac:dyDescent="0.3">
      <c r="A413" t="s">
        <v>1846</v>
      </c>
      <c r="B413" t="s">
        <v>1849</v>
      </c>
      <c r="C413">
        <v>25</v>
      </c>
      <c r="D413" t="s">
        <v>1447</v>
      </c>
      <c r="E413" t="s">
        <v>1850</v>
      </c>
      <c r="F413" t="s">
        <v>1737</v>
      </c>
      <c r="K413" t="str">
        <f>IF(ISBLANK('Q 5'!C93),"",IF('Q 5'!C93="&lt;please select&gt;","",'Q 5'!C93))</f>
        <v/>
      </c>
    </row>
    <row r="414" spans="1:11" x14ac:dyDescent="0.3">
      <c r="A414" t="s">
        <v>1846</v>
      </c>
      <c r="B414" t="s">
        <v>1849</v>
      </c>
      <c r="C414">
        <v>26</v>
      </c>
      <c r="D414" t="s">
        <v>1447</v>
      </c>
      <c r="E414" t="s">
        <v>1850</v>
      </c>
      <c r="F414" t="s">
        <v>1737</v>
      </c>
      <c r="K414" t="str">
        <f>IF(ISBLANK('Q 5'!C94),"",IF('Q 5'!C94="&lt;please select&gt;","",'Q 5'!C94))</f>
        <v/>
      </c>
    </row>
    <row r="415" spans="1:11" x14ac:dyDescent="0.3">
      <c r="A415" t="s">
        <v>1846</v>
      </c>
      <c r="B415" t="s">
        <v>1849</v>
      </c>
      <c r="C415">
        <v>27</v>
      </c>
      <c r="D415" t="s">
        <v>1447</v>
      </c>
      <c r="E415" t="s">
        <v>1850</v>
      </c>
      <c r="F415" t="s">
        <v>1737</v>
      </c>
      <c r="K415" t="str">
        <f>IF(ISBLANK('Q 5'!C95),"",IF('Q 5'!C95="&lt;please select&gt;","",'Q 5'!C95))</f>
        <v/>
      </c>
    </row>
    <row r="416" spans="1:11" x14ac:dyDescent="0.3">
      <c r="A416" t="s">
        <v>1846</v>
      </c>
      <c r="B416" t="s">
        <v>1849</v>
      </c>
      <c r="C416">
        <v>28</v>
      </c>
      <c r="D416" t="s">
        <v>1447</v>
      </c>
      <c r="E416" t="s">
        <v>1850</v>
      </c>
      <c r="F416" t="s">
        <v>1737</v>
      </c>
      <c r="K416" t="str">
        <f>IF(ISBLANK('Q 5'!C96),"",IF('Q 5'!C96="&lt;please select&gt;","",'Q 5'!C96))</f>
        <v/>
      </c>
    </row>
    <row r="417" spans="1:11" x14ac:dyDescent="0.3">
      <c r="A417" t="s">
        <v>1846</v>
      </c>
      <c r="B417" t="s">
        <v>1849</v>
      </c>
      <c r="C417">
        <v>29</v>
      </c>
      <c r="D417" t="s">
        <v>1447</v>
      </c>
      <c r="E417" t="s">
        <v>1850</v>
      </c>
      <c r="F417" t="s">
        <v>1737</v>
      </c>
      <c r="K417" t="str">
        <f>IF(ISBLANK('Q 5'!C97),"",IF('Q 5'!C97="&lt;please select&gt;","",'Q 5'!C97))</f>
        <v/>
      </c>
    </row>
    <row r="418" spans="1:11" x14ac:dyDescent="0.3">
      <c r="A418" t="s">
        <v>1846</v>
      </c>
      <c r="B418" t="s">
        <v>1849</v>
      </c>
      <c r="C418">
        <v>30</v>
      </c>
      <c r="D418" t="s">
        <v>1447</v>
      </c>
      <c r="E418" t="s">
        <v>1850</v>
      </c>
      <c r="F418" t="s">
        <v>1737</v>
      </c>
      <c r="K418" t="str">
        <f>IF(ISBLANK('Q 5'!C98),"",IF('Q 5'!C98="&lt;please select&gt;","",'Q 5'!C98))</f>
        <v/>
      </c>
    </row>
    <row r="419" spans="1:11" x14ac:dyDescent="0.3">
      <c r="A419" t="s">
        <v>1846</v>
      </c>
      <c r="B419" t="s">
        <v>1849</v>
      </c>
      <c r="C419">
        <v>31</v>
      </c>
      <c r="D419" t="s">
        <v>1447</v>
      </c>
      <c r="E419" t="s">
        <v>1850</v>
      </c>
      <c r="F419" t="s">
        <v>1737</v>
      </c>
      <c r="K419" t="str">
        <f>IF(ISBLANK('Q 5'!C99),"",IF('Q 5'!C99="&lt;please select&gt;","",'Q 5'!C99))</f>
        <v/>
      </c>
    </row>
    <row r="420" spans="1:11" x14ac:dyDescent="0.3">
      <c r="A420" t="s">
        <v>1846</v>
      </c>
      <c r="B420" t="s">
        <v>1849</v>
      </c>
      <c r="C420">
        <v>32</v>
      </c>
      <c r="D420" t="s">
        <v>1447</v>
      </c>
      <c r="E420" t="s">
        <v>1850</v>
      </c>
      <c r="F420" t="s">
        <v>1737</v>
      </c>
      <c r="K420" t="str">
        <f>IF(ISBLANK('Q 5'!C100),"",IF('Q 5'!C100="&lt;please select&gt;","",'Q 5'!C100))</f>
        <v/>
      </c>
    </row>
    <row r="421" spans="1:11" x14ac:dyDescent="0.3">
      <c r="A421" t="s">
        <v>1846</v>
      </c>
      <c r="B421" t="s">
        <v>1849</v>
      </c>
      <c r="C421">
        <v>33</v>
      </c>
      <c r="D421" t="s">
        <v>1447</v>
      </c>
      <c r="E421" t="s">
        <v>1850</v>
      </c>
      <c r="F421" t="s">
        <v>1737</v>
      </c>
      <c r="K421" t="str">
        <f>IF(ISBLANK('Q 5'!C101),"",IF('Q 5'!C101="&lt;please select&gt;","",'Q 5'!C101))</f>
        <v/>
      </c>
    </row>
    <row r="422" spans="1:11" x14ac:dyDescent="0.3">
      <c r="A422" t="s">
        <v>1846</v>
      </c>
      <c r="B422" t="s">
        <v>1849</v>
      </c>
      <c r="C422">
        <v>34</v>
      </c>
      <c r="D422" t="s">
        <v>1447</v>
      </c>
      <c r="E422" t="s">
        <v>1850</v>
      </c>
      <c r="F422" t="s">
        <v>1737</v>
      </c>
      <c r="K422" t="str">
        <f>IF(ISBLANK('Q 5'!C102),"",IF('Q 5'!C102="&lt;please select&gt;","",'Q 5'!C102))</f>
        <v/>
      </c>
    </row>
    <row r="423" spans="1:11" x14ac:dyDescent="0.3">
      <c r="A423" t="s">
        <v>1846</v>
      </c>
      <c r="B423" t="s">
        <v>1849</v>
      </c>
      <c r="C423">
        <v>35</v>
      </c>
      <c r="D423" t="s">
        <v>1447</v>
      </c>
      <c r="E423" t="s">
        <v>1850</v>
      </c>
      <c r="F423" t="s">
        <v>1737</v>
      </c>
      <c r="K423" t="str">
        <f>IF(ISBLANK('Q 5'!C103),"",IF('Q 5'!C103="&lt;please select&gt;","",'Q 5'!C103))</f>
        <v/>
      </c>
    </row>
    <row r="424" spans="1:11" x14ac:dyDescent="0.3">
      <c r="A424" t="s">
        <v>1846</v>
      </c>
      <c r="B424" t="s">
        <v>1849</v>
      </c>
      <c r="C424">
        <v>36</v>
      </c>
      <c r="D424" t="s">
        <v>1447</v>
      </c>
      <c r="E424" t="s">
        <v>1850</v>
      </c>
      <c r="F424" t="s">
        <v>1737</v>
      </c>
      <c r="K424" t="str">
        <f>IF(ISBLANK('Q 5'!C104),"",IF('Q 5'!C104="&lt;please select&gt;","",'Q 5'!C104))</f>
        <v/>
      </c>
    </row>
    <row r="425" spans="1:11" x14ac:dyDescent="0.3">
      <c r="A425" t="s">
        <v>1846</v>
      </c>
      <c r="B425" t="s">
        <v>1849</v>
      </c>
      <c r="C425">
        <v>37</v>
      </c>
      <c r="D425" t="s">
        <v>1447</v>
      </c>
      <c r="E425" t="s">
        <v>1850</v>
      </c>
      <c r="F425" t="s">
        <v>1737</v>
      </c>
      <c r="K425" t="str">
        <f>IF(ISBLANK('Q 5'!C105),"",IF('Q 5'!C105="&lt;please select&gt;","",'Q 5'!C105))</f>
        <v/>
      </c>
    </row>
    <row r="426" spans="1:11" x14ac:dyDescent="0.3">
      <c r="A426" t="s">
        <v>1846</v>
      </c>
      <c r="B426" t="s">
        <v>1849</v>
      </c>
      <c r="C426">
        <v>38</v>
      </c>
      <c r="D426" t="s">
        <v>1447</v>
      </c>
      <c r="E426" t="s">
        <v>1850</v>
      </c>
      <c r="F426" t="s">
        <v>1737</v>
      </c>
      <c r="K426" t="str">
        <f>IF(ISBLANK('Q 5'!C106),"",IF('Q 5'!C106="&lt;please select&gt;","",'Q 5'!C106))</f>
        <v/>
      </c>
    </row>
    <row r="427" spans="1:11" x14ac:dyDescent="0.3">
      <c r="A427" t="s">
        <v>1846</v>
      </c>
      <c r="B427" t="s">
        <v>1849</v>
      </c>
      <c r="C427">
        <v>39</v>
      </c>
      <c r="D427" t="s">
        <v>1447</v>
      </c>
      <c r="E427" t="s">
        <v>1850</v>
      </c>
      <c r="F427" t="s">
        <v>1737</v>
      </c>
      <c r="K427" t="str">
        <f>IF(ISBLANK('Q 5'!C107),"",IF('Q 5'!C107="&lt;please select&gt;","",'Q 5'!C107))</f>
        <v/>
      </c>
    </row>
    <row r="428" spans="1:11" x14ac:dyDescent="0.3">
      <c r="A428" t="s">
        <v>1846</v>
      </c>
      <c r="B428" t="s">
        <v>1849</v>
      </c>
      <c r="C428">
        <v>40</v>
      </c>
      <c r="D428" t="s">
        <v>1447</v>
      </c>
      <c r="E428" t="s">
        <v>1850</v>
      </c>
      <c r="F428" t="s">
        <v>1737</v>
      </c>
      <c r="K428" t="str">
        <f>IF(ISBLANK('Q 5'!C108),"",IF('Q 5'!C108="&lt;please select&gt;","",'Q 5'!C108))</f>
        <v/>
      </c>
    </row>
    <row r="429" spans="1:11" x14ac:dyDescent="0.3">
      <c r="A429" t="s">
        <v>1846</v>
      </c>
      <c r="B429" t="s">
        <v>1849</v>
      </c>
      <c r="C429">
        <v>41</v>
      </c>
      <c r="D429" t="s">
        <v>1447</v>
      </c>
      <c r="E429" t="s">
        <v>1850</v>
      </c>
      <c r="F429" t="s">
        <v>1737</v>
      </c>
      <c r="K429" t="str">
        <f>IF(ISBLANK('Q 5'!C109),"",IF('Q 5'!C109="&lt;please select&gt;","",'Q 5'!C109))</f>
        <v/>
      </c>
    </row>
    <row r="430" spans="1:11" x14ac:dyDescent="0.3">
      <c r="A430" t="s">
        <v>1846</v>
      </c>
      <c r="B430" t="s">
        <v>1849</v>
      </c>
      <c r="C430">
        <v>42</v>
      </c>
      <c r="D430" t="s">
        <v>1447</v>
      </c>
      <c r="E430" t="s">
        <v>1850</v>
      </c>
      <c r="F430" t="s">
        <v>1737</v>
      </c>
      <c r="K430" t="str">
        <f>IF(ISBLANK('Q 5'!C110),"",IF('Q 5'!C110="&lt;please select&gt;","",'Q 5'!C110))</f>
        <v/>
      </c>
    </row>
    <row r="431" spans="1:11" x14ac:dyDescent="0.3">
      <c r="A431" t="s">
        <v>1846</v>
      </c>
      <c r="B431" t="s">
        <v>1849</v>
      </c>
      <c r="C431">
        <v>43</v>
      </c>
      <c r="D431" t="s">
        <v>1447</v>
      </c>
      <c r="E431" t="s">
        <v>1850</v>
      </c>
      <c r="F431" t="s">
        <v>1737</v>
      </c>
      <c r="K431" t="str">
        <f>IF(ISBLANK('Q 5'!C111),"",IF('Q 5'!C111="&lt;please select&gt;","",'Q 5'!C111))</f>
        <v/>
      </c>
    </row>
    <row r="432" spans="1:11" x14ac:dyDescent="0.3">
      <c r="A432" t="s">
        <v>1846</v>
      </c>
      <c r="B432" t="s">
        <v>1849</v>
      </c>
      <c r="C432">
        <v>44</v>
      </c>
      <c r="D432" t="s">
        <v>1447</v>
      </c>
      <c r="E432" t="s">
        <v>1850</v>
      </c>
      <c r="F432" t="s">
        <v>1737</v>
      </c>
      <c r="K432" t="str">
        <f>IF(ISBLANK('Q 5'!C112),"",IF('Q 5'!C112="&lt;please select&gt;","",'Q 5'!C112))</f>
        <v/>
      </c>
    </row>
    <row r="433" spans="1:11" x14ac:dyDescent="0.3">
      <c r="A433" t="s">
        <v>1846</v>
      </c>
      <c r="B433" t="s">
        <v>1849</v>
      </c>
      <c r="C433">
        <v>45</v>
      </c>
      <c r="D433" t="s">
        <v>1447</v>
      </c>
      <c r="E433" t="s">
        <v>1850</v>
      </c>
      <c r="F433" t="s">
        <v>1737</v>
      </c>
      <c r="K433" t="str">
        <f>IF(ISBLANK('Q 5'!C113),"",IF('Q 5'!C113="&lt;please select&gt;","",'Q 5'!C113))</f>
        <v/>
      </c>
    </row>
    <row r="434" spans="1:11" x14ac:dyDescent="0.3">
      <c r="A434" t="s">
        <v>1846</v>
      </c>
      <c r="B434" t="s">
        <v>1849</v>
      </c>
      <c r="C434">
        <v>46</v>
      </c>
      <c r="D434" t="s">
        <v>1447</v>
      </c>
      <c r="E434" t="s">
        <v>1850</v>
      </c>
      <c r="F434" t="s">
        <v>1737</v>
      </c>
      <c r="K434" t="str">
        <f>IF(ISBLANK('Q 5'!C114),"",IF('Q 5'!C114="&lt;please select&gt;","",'Q 5'!C114))</f>
        <v/>
      </c>
    </row>
    <row r="435" spans="1:11" x14ac:dyDescent="0.3">
      <c r="A435" t="s">
        <v>1846</v>
      </c>
      <c r="B435" t="s">
        <v>1849</v>
      </c>
      <c r="C435">
        <v>47</v>
      </c>
      <c r="D435" t="s">
        <v>1447</v>
      </c>
      <c r="E435" t="s">
        <v>1850</v>
      </c>
      <c r="F435" t="s">
        <v>1737</v>
      </c>
      <c r="K435" t="str">
        <f>IF(ISBLANK('Q 5'!C115),"",IF('Q 5'!C115="&lt;please select&gt;","",'Q 5'!C115))</f>
        <v/>
      </c>
    </row>
    <row r="436" spans="1:11" x14ac:dyDescent="0.3">
      <c r="A436" t="s">
        <v>1846</v>
      </c>
      <c r="B436" t="s">
        <v>1849</v>
      </c>
      <c r="C436">
        <v>48</v>
      </c>
      <c r="D436" t="s">
        <v>1447</v>
      </c>
      <c r="E436" t="s">
        <v>1850</v>
      </c>
      <c r="F436" t="s">
        <v>1737</v>
      </c>
      <c r="K436" t="str">
        <f>IF(ISBLANK('Q 5'!C116),"",IF('Q 5'!C116="&lt;please select&gt;","",'Q 5'!C116))</f>
        <v/>
      </c>
    </row>
    <row r="437" spans="1:11" x14ac:dyDescent="0.3">
      <c r="A437" t="s">
        <v>1846</v>
      </c>
      <c r="B437" t="s">
        <v>1849</v>
      </c>
      <c r="C437">
        <v>49</v>
      </c>
      <c r="D437" t="s">
        <v>1447</v>
      </c>
      <c r="E437" t="s">
        <v>1850</v>
      </c>
      <c r="F437" t="s">
        <v>1737</v>
      </c>
      <c r="K437" t="str">
        <f>IF(ISBLANK('Q 5'!C117),"",IF('Q 5'!C117="&lt;please select&gt;","",'Q 5'!C117))</f>
        <v/>
      </c>
    </row>
    <row r="438" spans="1:11" x14ac:dyDescent="0.3">
      <c r="A438" t="s">
        <v>1846</v>
      </c>
      <c r="B438" t="s">
        <v>1849</v>
      </c>
      <c r="C438">
        <v>50</v>
      </c>
      <c r="D438" t="s">
        <v>1447</v>
      </c>
      <c r="E438" t="s">
        <v>1850</v>
      </c>
      <c r="F438" t="s">
        <v>1737</v>
      </c>
      <c r="K438" t="str">
        <f>IF(ISBLANK('Q 5'!C118),"",IF('Q 5'!C118="&lt;please select&gt;","",'Q 5'!C118))</f>
        <v/>
      </c>
    </row>
    <row r="439" spans="1:11" x14ac:dyDescent="0.3">
      <c r="A439" t="s">
        <v>1846</v>
      </c>
      <c r="B439" t="s">
        <v>1849</v>
      </c>
      <c r="C439">
        <v>51</v>
      </c>
      <c r="D439" t="s">
        <v>1447</v>
      </c>
      <c r="E439" t="s">
        <v>1850</v>
      </c>
      <c r="F439" t="s">
        <v>1737</v>
      </c>
      <c r="K439" t="str">
        <f>IF(ISBLANK('Q 5'!C119),"",IF('Q 5'!C119="&lt;please select&gt;","",'Q 5'!C119))</f>
        <v/>
      </c>
    </row>
    <row r="440" spans="1:11" x14ac:dyDescent="0.3">
      <c r="A440" t="s">
        <v>1846</v>
      </c>
      <c r="B440" t="s">
        <v>1849</v>
      </c>
      <c r="C440">
        <v>52</v>
      </c>
      <c r="D440" t="s">
        <v>1447</v>
      </c>
      <c r="E440" t="s">
        <v>1850</v>
      </c>
      <c r="F440" t="s">
        <v>1737</v>
      </c>
      <c r="K440" t="str">
        <f>IF(ISBLANK('Q 5'!C120),"",IF('Q 5'!C120="&lt;please select&gt;","",'Q 5'!C120))</f>
        <v/>
      </c>
    </row>
    <row r="441" spans="1:11" x14ac:dyDescent="0.3">
      <c r="A441" t="s">
        <v>1846</v>
      </c>
      <c r="B441" t="s">
        <v>1849</v>
      </c>
      <c r="C441">
        <v>53</v>
      </c>
      <c r="D441" t="s">
        <v>1447</v>
      </c>
      <c r="E441" t="s">
        <v>1850</v>
      </c>
      <c r="F441" t="s">
        <v>1737</v>
      </c>
      <c r="K441" t="str">
        <f>IF(ISBLANK('Q 5'!C121),"",IF('Q 5'!C121="&lt;please select&gt;","",'Q 5'!C121))</f>
        <v/>
      </c>
    </row>
    <row r="442" spans="1:11" x14ac:dyDescent="0.3">
      <c r="A442" t="s">
        <v>1846</v>
      </c>
      <c r="B442" t="s">
        <v>1849</v>
      </c>
      <c r="C442">
        <v>54</v>
      </c>
      <c r="D442" t="s">
        <v>1447</v>
      </c>
      <c r="E442" t="s">
        <v>1850</v>
      </c>
      <c r="F442" t="s">
        <v>1737</v>
      </c>
      <c r="K442" t="str">
        <f>IF(ISBLANK('Q 5'!C122),"",IF('Q 5'!C122="&lt;please select&gt;","",'Q 5'!C122))</f>
        <v/>
      </c>
    </row>
    <row r="443" spans="1:11" x14ac:dyDescent="0.3">
      <c r="A443" t="s">
        <v>1846</v>
      </c>
      <c r="B443" t="s">
        <v>1849</v>
      </c>
      <c r="C443">
        <v>55</v>
      </c>
      <c r="D443" t="s">
        <v>1447</v>
      </c>
      <c r="E443" t="s">
        <v>1850</v>
      </c>
      <c r="F443" t="s">
        <v>1737</v>
      </c>
      <c r="K443" t="str">
        <f>IF(ISBLANK('Q 5'!C123),"",IF('Q 5'!C123="&lt;please select&gt;","",'Q 5'!C123))</f>
        <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
      </c>
    </row>
    <row r="520" spans="1:11" x14ac:dyDescent="0.3">
      <c r="A520" t="s">
        <v>1846</v>
      </c>
      <c r="B520" t="s">
        <v>1849</v>
      </c>
      <c r="C520">
        <v>2</v>
      </c>
      <c r="D520" t="s">
        <v>1447</v>
      </c>
      <c r="E520" t="s">
        <v>1851</v>
      </c>
      <c r="F520" t="s">
        <v>1737</v>
      </c>
      <c r="K520" t="str">
        <f>IF(ISBLANK('Q 5'!E70),"",IF('Q 5'!E70="&lt;please select&gt;","",'Q 5'!E70))</f>
        <v/>
      </c>
    </row>
    <row r="521" spans="1:11" x14ac:dyDescent="0.3">
      <c r="A521" t="s">
        <v>1846</v>
      </c>
      <c r="B521" t="s">
        <v>1849</v>
      </c>
      <c r="C521">
        <v>3</v>
      </c>
      <c r="D521" t="s">
        <v>1447</v>
      </c>
      <c r="E521" t="s">
        <v>1851</v>
      </c>
      <c r="F521" t="s">
        <v>1737</v>
      </c>
      <c r="K521" t="str">
        <f>IF(ISBLANK('Q 5'!E71),"",IF('Q 5'!E71="&lt;please select&gt;","",'Q 5'!E71))</f>
        <v/>
      </c>
    </row>
    <row r="522" spans="1:11" x14ac:dyDescent="0.3">
      <c r="A522" t="s">
        <v>1846</v>
      </c>
      <c r="B522" t="s">
        <v>1849</v>
      </c>
      <c r="C522">
        <v>4</v>
      </c>
      <c r="D522" t="s">
        <v>1447</v>
      </c>
      <c r="E522" t="s">
        <v>1851</v>
      </c>
      <c r="F522" t="s">
        <v>1737</v>
      </c>
      <c r="K522" t="str">
        <f>IF(ISBLANK('Q 5'!E72),"",IF('Q 5'!E72="&lt;please select&gt;","",'Q 5'!E72))</f>
        <v>2A1 - Process - Cement Production</v>
      </c>
    </row>
    <row r="523" spans="1:11" x14ac:dyDescent="0.3">
      <c r="A523" t="s">
        <v>1846</v>
      </c>
      <c r="B523" t="s">
        <v>1849</v>
      </c>
      <c r="C523">
        <v>5</v>
      </c>
      <c r="D523" t="s">
        <v>1447</v>
      </c>
      <c r="E523" t="s">
        <v>1851</v>
      </c>
      <c r="F523" t="s">
        <v>1737</v>
      </c>
      <c r="K523" t="str">
        <f>IF(ISBLANK('Q 5'!E73),"",IF('Q 5'!E73="&lt;please select&gt;","",'Q 5'!E73))</f>
        <v>2A3 - Process - Glass production</v>
      </c>
    </row>
    <row r="524" spans="1:11" x14ac:dyDescent="0.3">
      <c r="A524" t="s">
        <v>1846</v>
      </c>
      <c r="B524" t="s">
        <v>1849</v>
      </c>
      <c r="C524">
        <v>6</v>
      </c>
      <c r="D524" t="s">
        <v>1447</v>
      </c>
      <c r="E524" t="s">
        <v>1851</v>
      </c>
      <c r="F524" t="s">
        <v>1737</v>
      </c>
      <c r="K524" t="str">
        <f>IF(ISBLANK('Q 5'!E74),"",IF('Q 5'!E74="&lt;please select&gt;","",'Q 5'!E74))</f>
        <v>2A4 - Process - Other Process Uses of Carbonates</v>
      </c>
    </row>
    <row r="525" spans="1:11" x14ac:dyDescent="0.3">
      <c r="A525" t="s">
        <v>1846</v>
      </c>
      <c r="B525" t="s">
        <v>1849</v>
      </c>
      <c r="C525">
        <v>7</v>
      </c>
      <c r="D525" t="s">
        <v>1447</v>
      </c>
      <c r="E525" t="s">
        <v>1851</v>
      </c>
      <c r="F525" t="s">
        <v>1737</v>
      </c>
      <c r="K525" t="str">
        <f>IF(ISBLANK('Q 5'!E75),"",IF('Q 5'!E75="&lt;please select&gt;","",'Q 5'!E75))</f>
        <v/>
      </c>
    </row>
    <row r="526" spans="1:11" x14ac:dyDescent="0.3">
      <c r="A526" t="s">
        <v>1846</v>
      </c>
      <c r="B526" t="s">
        <v>1849</v>
      </c>
      <c r="C526">
        <v>8</v>
      </c>
      <c r="D526" t="s">
        <v>1447</v>
      </c>
      <c r="E526" t="s">
        <v>1851</v>
      </c>
      <c r="F526" t="s">
        <v>1737</v>
      </c>
      <c r="K526" t="str">
        <f>IF(ISBLANK('Q 5'!E76),"",IF('Q 5'!E76="&lt;please select&gt;","",'Q 5'!E76))</f>
        <v/>
      </c>
    </row>
    <row r="527" spans="1:11" x14ac:dyDescent="0.3">
      <c r="A527" t="s">
        <v>1846</v>
      </c>
      <c r="B527" t="s">
        <v>1849</v>
      </c>
      <c r="C527">
        <v>9</v>
      </c>
      <c r="D527" t="s">
        <v>1447</v>
      </c>
      <c r="E527" t="s">
        <v>1851</v>
      </c>
      <c r="F527" t="s">
        <v>1737</v>
      </c>
      <c r="K527" t="str">
        <f>IF(ISBLANK('Q 5'!E77),"",IF('Q 5'!E77="&lt;please select&gt;","",'Q 5'!E77))</f>
        <v/>
      </c>
    </row>
    <row r="528" spans="1:11" x14ac:dyDescent="0.3">
      <c r="A528" t="s">
        <v>1846</v>
      </c>
      <c r="B528" t="s">
        <v>1849</v>
      </c>
      <c r="C528">
        <v>10</v>
      </c>
      <c r="D528" t="s">
        <v>1447</v>
      </c>
      <c r="E528" t="s">
        <v>1851</v>
      </c>
      <c r="F528" t="s">
        <v>1737</v>
      </c>
      <c r="K528" t="str">
        <f>IF(ISBLANK('Q 5'!E78),"",IF('Q 5'!E78="&lt;please select&gt;","",'Q 5'!E78))</f>
        <v/>
      </c>
    </row>
    <row r="529" spans="1:11" x14ac:dyDescent="0.3">
      <c r="A529" t="s">
        <v>1846</v>
      </c>
      <c r="B529" t="s">
        <v>1849</v>
      </c>
      <c r="C529">
        <v>11</v>
      </c>
      <c r="D529" t="s">
        <v>1447</v>
      </c>
      <c r="E529" t="s">
        <v>1851</v>
      </c>
      <c r="F529" t="s">
        <v>1737</v>
      </c>
      <c r="K529" t="str">
        <f>IF(ISBLANK('Q 5'!E79),"",IF('Q 5'!E79="&lt;please select&gt;","",'Q 5'!E79))</f>
        <v/>
      </c>
    </row>
    <row r="530" spans="1:11" x14ac:dyDescent="0.3">
      <c r="A530" t="s">
        <v>1846</v>
      </c>
      <c r="B530" t="s">
        <v>1849</v>
      </c>
      <c r="C530">
        <v>12</v>
      </c>
      <c r="D530" t="s">
        <v>1447</v>
      </c>
      <c r="E530" t="s">
        <v>1851</v>
      </c>
      <c r="F530" t="s">
        <v>1737</v>
      </c>
      <c r="K530" t="str">
        <f>IF(ISBLANK('Q 5'!E80),"",IF('Q 5'!E80="&lt;please select&gt;","",'Q 5'!E80))</f>
        <v/>
      </c>
    </row>
    <row r="531" spans="1:11" x14ac:dyDescent="0.3">
      <c r="A531" t="s">
        <v>1846</v>
      </c>
      <c r="B531" t="s">
        <v>1849</v>
      </c>
      <c r="C531">
        <v>13</v>
      </c>
      <c r="D531" t="s">
        <v>1447</v>
      </c>
      <c r="E531" t="s">
        <v>1851</v>
      </c>
      <c r="F531" t="s">
        <v>1737</v>
      </c>
      <c r="K531" t="str">
        <f>IF(ISBLANK('Q 5'!E81),"",IF('Q 5'!E81="&lt;please select&gt;","",'Q 5'!E81))</f>
        <v/>
      </c>
    </row>
    <row r="532" spans="1:11" x14ac:dyDescent="0.3">
      <c r="A532" t="s">
        <v>1846</v>
      </c>
      <c r="B532" t="s">
        <v>1849</v>
      </c>
      <c r="C532">
        <v>14</v>
      </c>
      <c r="D532" t="s">
        <v>1447</v>
      </c>
      <c r="E532" t="s">
        <v>1851</v>
      </c>
      <c r="F532" t="s">
        <v>1737</v>
      </c>
      <c r="K532" t="str">
        <f>IF(ISBLANK('Q 5'!E82),"",IF('Q 5'!E82="&lt;please select&gt;","",'Q 5'!E82))</f>
        <v/>
      </c>
    </row>
    <row r="533" spans="1:11" x14ac:dyDescent="0.3">
      <c r="A533" t="s">
        <v>1846</v>
      </c>
      <c r="B533" t="s">
        <v>1849</v>
      </c>
      <c r="C533">
        <v>15</v>
      </c>
      <c r="D533" t="s">
        <v>1447</v>
      </c>
      <c r="E533" t="s">
        <v>1851</v>
      </c>
      <c r="F533" t="s">
        <v>1737</v>
      </c>
      <c r="K533" t="str">
        <f>IF(ISBLANK('Q 5'!E83),"",IF('Q 5'!E83="&lt;please select&gt;","",'Q 5'!E83))</f>
        <v/>
      </c>
    </row>
    <row r="534" spans="1:11" x14ac:dyDescent="0.3">
      <c r="A534" t="s">
        <v>1846</v>
      </c>
      <c r="B534" t="s">
        <v>1849</v>
      </c>
      <c r="C534">
        <v>16</v>
      </c>
      <c r="D534" t="s">
        <v>1447</v>
      </c>
      <c r="E534" t="s">
        <v>1851</v>
      </c>
      <c r="F534" t="s">
        <v>1737</v>
      </c>
      <c r="K534" t="str">
        <f>IF(ISBLANK('Q 5'!E84),"",IF('Q 5'!E84="&lt;please select&gt;","",'Q 5'!E84))</f>
        <v/>
      </c>
    </row>
    <row r="535" spans="1:11" x14ac:dyDescent="0.3">
      <c r="A535" t="s">
        <v>1846</v>
      </c>
      <c r="B535" t="s">
        <v>1849</v>
      </c>
      <c r="C535">
        <v>17</v>
      </c>
      <c r="D535" t="s">
        <v>1447</v>
      </c>
      <c r="E535" t="s">
        <v>1851</v>
      </c>
      <c r="F535" t="s">
        <v>1737</v>
      </c>
      <c r="K535" t="str">
        <f>IF(ISBLANK('Q 5'!E85),"",IF('Q 5'!E85="&lt;please select&gt;","",'Q 5'!E85))</f>
        <v/>
      </c>
    </row>
    <row r="536" spans="1:11" x14ac:dyDescent="0.3">
      <c r="A536" t="s">
        <v>1846</v>
      </c>
      <c r="B536" t="s">
        <v>1849</v>
      </c>
      <c r="C536">
        <v>18</v>
      </c>
      <c r="D536" t="s">
        <v>1447</v>
      </c>
      <c r="E536" t="s">
        <v>1851</v>
      </c>
      <c r="F536" t="s">
        <v>1737</v>
      </c>
      <c r="K536" t="str">
        <f>IF(ISBLANK('Q 5'!E86),"",IF('Q 5'!E86="&lt;please select&gt;","",'Q 5'!E86))</f>
        <v/>
      </c>
    </row>
    <row r="537" spans="1:11" x14ac:dyDescent="0.3">
      <c r="A537" t="s">
        <v>1846</v>
      </c>
      <c r="B537" t="s">
        <v>1849</v>
      </c>
      <c r="C537">
        <v>19</v>
      </c>
      <c r="D537" t="s">
        <v>1447</v>
      </c>
      <c r="E537" t="s">
        <v>1851</v>
      </c>
      <c r="F537" t="s">
        <v>1737</v>
      </c>
      <c r="K537" t="str">
        <f>IF(ISBLANK('Q 5'!E87),"",IF('Q 5'!E87="&lt;please select&gt;","",'Q 5'!E87))</f>
        <v/>
      </c>
    </row>
    <row r="538" spans="1:11" x14ac:dyDescent="0.3">
      <c r="A538" t="s">
        <v>1846</v>
      </c>
      <c r="B538" t="s">
        <v>1849</v>
      </c>
      <c r="C538">
        <v>20</v>
      </c>
      <c r="D538" t="s">
        <v>1447</v>
      </c>
      <c r="E538" t="s">
        <v>1851</v>
      </c>
      <c r="F538" t="s">
        <v>1737</v>
      </c>
      <c r="K538" t="str">
        <f>IF(ISBLANK('Q 5'!E88),"",IF('Q 5'!E88="&lt;please select&gt;","",'Q 5'!E88))</f>
        <v/>
      </c>
    </row>
    <row r="539" spans="1:11" x14ac:dyDescent="0.3">
      <c r="A539" t="s">
        <v>1846</v>
      </c>
      <c r="B539" t="s">
        <v>1849</v>
      </c>
      <c r="C539">
        <v>21</v>
      </c>
      <c r="D539" t="s">
        <v>1447</v>
      </c>
      <c r="E539" t="s">
        <v>1851</v>
      </c>
      <c r="F539" t="s">
        <v>1737</v>
      </c>
      <c r="K539" t="str">
        <f>IF(ISBLANK('Q 5'!E89),"",IF('Q 5'!E89="&lt;please select&gt;","",'Q 5'!E89))</f>
        <v/>
      </c>
    </row>
    <row r="540" spans="1:11" x14ac:dyDescent="0.3">
      <c r="A540" t="s">
        <v>1846</v>
      </c>
      <c r="B540" t="s">
        <v>1849</v>
      </c>
      <c r="C540">
        <v>22</v>
      </c>
      <c r="D540" t="s">
        <v>1447</v>
      </c>
      <c r="E540" t="s">
        <v>1851</v>
      </c>
      <c r="F540" t="s">
        <v>1737</v>
      </c>
      <c r="K540" t="str">
        <f>IF(ISBLANK('Q 5'!E90),"",IF('Q 5'!E90="&lt;please select&gt;","",'Q 5'!E90))</f>
        <v/>
      </c>
    </row>
    <row r="541" spans="1:11" x14ac:dyDescent="0.3">
      <c r="A541" t="s">
        <v>1846</v>
      </c>
      <c r="B541" t="s">
        <v>1849</v>
      </c>
      <c r="C541">
        <v>23</v>
      </c>
      <c r="D541" t="s">
        <v>1447</v>
      </c>
      <c r="E541" t="s">
        <v>1851</v>
      </c>
      <c r="F541" t="s">
        <v>1737</v>
      </c>
      <c r="K541" t="str">
        <f>IF(ISBLANK('Q 5'!E91),"",IF('Q 5'!E91="&lt;please select&gt;","",'Q 5'!E91))</f>
        <v/>
      </c>
    </row>
    <row r="542" spans="1:11" x14ac:dyDescent="0.3">
      <c r="A542" t="s">
        <v>1846</v>
      </c>
      <c r="B542" t="s">
        <v>1849</v>
      </c>
      <c r="C542">
        <v>24</v>
      </c>
      <c r="D542" t="s">
        <v>1447</v>
      </c>
      <c r="E542" t="s">
        <v>1851</v>
      </c>
      <c r="F542" t="s">
        <v>1737</v>
      </c>
      <c r="K542" t="str">
        <f>IF(ISBLANK('Q 5'!E92),"",IF('Q 5'!E92="&lt;please select&gt;","",'Q 5'!E92))</f>
        <v/>
      </c>
    </row>
    <row r="543" spans="1:11" x14ac:dyDescent="0.3">
      <c r="A543" t="s">
        <v>1846</v>
      </c>
      <c r="B543" t="s">
        <v>1849</v>
      </c>
      <c r="C543">
        <v>25</v>
      </c>
      <c r="D543" t="s">
        <v>1447</v>
      </c>
      <c r="E543" t="s">
        <v>1851</v>
      </c>
      <c r="F543" t="s">
        <v>1737</v>
      </c>
      <c r="K543" t="str">
        <f>IF(ISBLANK('Q 5'!E93),"",IF('Q 5'!E93="&lt;please select&gt;","",'Q 5'!E93))</f>
        <v/>
      </c>
    </row>
    <row r="544" spans="1:11" x14ac:dyDescent="0.3">
      <c r="A544" t="s">
        <v>1846</v>
      </c>
      <c r="B544" t="s">
        <v>1849</v>
      </c>
      <c r="C544">
        <v>26</v>
      </c>
      <c r="D544" t="s">
        <v>1447</v>
      </c>
      <c r="E544" t="s">
        <v>1851</v>
      </c>
      <c r="F544" t="s">
        <v>1737</v>
      </c>
      <c r="K544" t="str">
        <f>IF(ISBLANK('Q 5'!E94),"",IF('Q 5'!E94="&lt;please select&gt;","",'Q 5'!E94))</f>
        <v/>
      </c>
    </row>
    <row r="545" spans="1:11" x14ac:dyDescent="0.3">
      <c r="A545" t="s">
        <v>1846</v>
      </c>
      <c r="B545" t="s">
        <v>1849</v>
      </c>
      <c r="C545">
        <v>27</v>
      </c>
      <c r="D545" t="s">
        <v>1447</v>
      </c>
      <c r="E545" t="s">
        <v>1851</v>
      </c>
      <c r="F545" t="s">
        <v>1737</v>
      </c>
      <c r="K545" t="str">
        <f>IF(ISBLANK('Q 5'!E95),"",IF('Q 5'!E95="&lt;please select&gt;","",'Q 5'!E95))</f>
        <v/>
      </c>
    </row>
    <row r="546" spans="1:11" x14ac:dyDescent="0.3">
      <c r="A546" t="s">
        <v>1846</v>
      </c>
      <c r="B546" t="s">
        <v>1849</v>
      </c>
      <c r="C546">
        <v>28</v>
      </c>
      <c r="D546" t="s">
        <v>1447</v>
      </c>
      <c r="E546" t="s">
        <v>1851</v>
      </c>
      <c r="F546" t="s">
        <v>1737</v>
      </c>
      <c r="K546" t="str">
        <f>IF(ISBLANK('Q 5'!E96),"",IF('Q 5'!E96="&lt;please select&gt;","",'Q 5'!E96))</f>
        <v/>
      </c>
    </row>
    <row r="547" spans="1:11" x14ac:dyDescent="0.3">
      <c r="A547" t="s">
        <v>1846</v>
      </c>
      <c r="B547" t="s">
        <v>1849</v>
      </c>
      <c r="C547">
        <v>29</v>
      </c>
      <c r="D547" t="s">
        <v>1447</v>
      </c>
      <c r="E547" t="s">
        <v>1851</v>
      </c>
      <c r="F547" t="s">
        <v>1737</v>
      </c>
      <c r="K547" t="str">
        <f>IF(ISBLANK('Q 5'!E97),"",IF('Q 5'!E97="&lt;please select&gt;","",'Q 5'!E97))</f>
        <v/>
      </c>
    </row>
    <row r="548" spans="1:11" x14ac:dyDescent="0.3">
      <c r="A548" t="s">
        <v>1846</v>
      </c>
      <c r="B548" t="s">
        <v>1849</v>
      </c>
      <c r="C548">
        <v>30</v>
      </c>
      <c r="D548" t="s">
        <v>1447</v>
      </c>
      <c r="E548" t="s">
        <v>1851</v>
      </c>
      <c r="F548" t="s">
        <v>1737</v>
      </c>
      <c r="K548" t="str">
        <f>IF(ISBLANK('Q 5'!E98),"",IF('Q 5'!E98="&lt;please select&gt;","",'Q 5'!E98))</f>
        <v/>
      </c>
    </row>
    <row r="549" spans="1:11" x14ac:dyDescent="0.3">
      <c r="A549" t="s">
        <v>1846</v>
      </c>
      <c r="B549" t="s">
        <v>1849</v>
      </c>
      <c r="C549">
        <v>31</v>
      </c>
      <c r="D549" t="s">
        <v>1447</v>
      </c>
      <c r="E549" t="s">
        <v>1851</v>
      </c>
      <c r="F549" t="s">
        <v>1737</v>
      </c>
      <c r="K549" t="str">
        <f>IF(ISBLANK('Q 5'!E99),"",IF('Q 5'!E99="&lt;please select&gt;","",'Q 5'!E99))</f>
        <v/>
      </c>
    </row>
    <row r="550" spans="1:11" x14ac:dyDescent="0.3">
      <c r="A550" t="s">
        <v>1846</v>
      </c>
      <c r="B550" t="s">
        <v>1849</v>
      </c>
      <c r="C550">
        <v>32</v>
      </c>
      <c r="D550" t="s">
        <v>1447</v>
      </c>
      <c r="E550" t="s">
        <v>1851</v>
      </c>
      <c r="F550" t="s">
        <v>1737</v>
      </c>
      <c r="K550" t="str">
        <f>IF(ISBLANK('Q 5'!E100),"",IF('Q 5'!E100="&lt;please select&gt;","",'Q 5'!E100))</f>
        <v/>
      </c>
    </row>
    <row r="551" spans="1:11" x14ac:dyDescent="0.3">
      <c r="A551" t="s">
        <v>1846</v>
      </c>
      <c r="B551" t="s">
        <v>1849</v>
      </c>
      <c r="C551">
        <v>33</v>
      </c>
      <c r="D551" t="s">
        <v>1447</v>
      </c>
      <c r="E551" t="s">
        <v>1851</v>
      </c>
      <c r="F551" t="s">
        <v>1737</v>
      </c>
      <c r="K551" t="str">
        <f>IF(ISBLANK('Q 5'!E101),"",IF('Q 5'!E101="&lt;please select&gt;","",'Q 5'!E101))</f>
        <v/>
      </c>
    </row>
    <row r="552" spans="1:11" x14ac:dyDescent="0.3">
      <c r="A552" t="s">
        <v>1846</v>
      </c>
      <c r="B552" t="s">
        <v>1849</v>
      </c>
      <c r="C552">
        <v>34</v>
      </c>
      <c r="D552" t="s">
        <v>1447</v>
      </c>
      <c r="E552" t="s">
        <v>1851</v>
      </c>
      <c r="F552" t="s">
        <v>1737</v>
      </c>
      <c r="K552" t="str">
        <f>IF(ISBLANK('Q 5'!E102),"",IF('Q 5'!E102="&lt;please select&gt;","",'Q 5'!E102))</f>
        <v/>
      </c>
    </row>
    <row r="553" spans="1:11" x14ac:dyDescent="0.3">
      <c r="A553" t="s">
        <v>1846</v>
      </c>
      <c r="B553" t="s">
        <v>1849</v>
      </c>
      <c r="C553">
        <v>35</v>
      </c>
      <c r="D553" t="s">
        <v>1447</v>
      </c>
      <c r="E553" t="s">
        <v>1851</v>
      </c>
      <c r="F553" t="s">
        <v>1737</v>
      </c>
      <c r="K553" t="str">
        <f>IF(ISBLANK('Q 5'!E103),"",IF('Q 5'!E103="&lt;please select&gt;","",'Q 5'!E103))</f>
        <v/>
      </c>
    </row>
    <row r="554" spans="1:11" x14ac:dyDescent="0.3">
      <c r="A554" t="s">
        <v>1846</v>
      </c>
      <c r="B554" t="s">
        <v>1849</v>
      </c>
      <c r="C554">
        <v>36</v>
      </c>
      <c r="D554" t="s">
        <v>1447</v>
      </c>
      <c r="E554" t="s">
        <v>1851</v>
      </c>
      <c r="F554" t="s">
        <v>1737</v>
      </c>
      <c r="K554" t="str">
        <f>IF(ISBLANK('Q 5'!E104),"",IF('Q 5'!E104="&lt;please select&gt;","",'Q 5'!E104))</f>
        <v/>
      </c>
    </row>
    <row r="555" spans="1:11" x14ac:dyDescent="0.3">
      <c r="A555" t="s">
        <v>1846</v>
      </c>
      <c r="B555" t="s">
        <v>1849</v>
      </c>
      <c r="C555">
        <v>37</v>
      </c>
      <c r="D555" t="s">
        <v>1447</v>
      </c>
      <c r="E555" t="s">
        <v>1851</v>
      </c>
      <c r="F555" t="s">
        <v>1737</v>
      </c>
      <c r="K555" t="str">
        <f>IF(ISBLANK('Q 5'!E105),"",IF('Q 5'!E105="&lt;please select&gt;","",'Q 5'!E105))</f>
        <v/>
      </c>
    </row>
    <row r="556" spans="1:11" x14ac:dyDescent="0.3">
      <c r="A556" t="s">
        <v>1846</v>
      </c>
      <c r="B556" t="s">
        <v>1849</v>
      </c>
      <c r="C556">
        <v>38</v>
      </c>
      <c r="D556" t="s">
        <v>1447</v>
      </c>
      <c r="E556" t="s">
        <v>1851</v>
      </c>
      <c r="F556" t="s">
        <v>1737</v>
      </c>
      <c r="K556" t="str">
        <f>IF(ISBLANK('Q 5'!E106),"",IF('Q 5'!E106="&lt;please select&gt;","",'Q 5'!E106))</f>
        <v/>
      </c>
    </row>
    <row r="557" spans="1:11" x14ac:dyDescent="0.3">
      <c r="A557" t="s">
        <v>1846</v>
      </c>
      <c r="B557" t="s">
        <v>1849</v>
      </c>
      <c r="C557">
        <v>39</v>
      </c>
      <c r="D557" t="s">
        <v>1447</v>
      </c>
      <c r="E557" t="s">
        <v>1851</v>
      </c>
      <c r="F557" t="s">
        <v>1737</v>
      </c>
      <c r="K557" t="str">
        <f>IF(ISBLANK('Q 5'!E107),"",IF('Q 5'!E107="&lt;please select&gt;","",'Q 5'!E107))</f>
        <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
      </c>
    </row>
    <row r="560" spans="1:11" x14ac:dyDescent="0.3">
      <c r="A560" t="s">
        <v>1846</v>
      </c>
      <c r="B560" t="s">
        <v>1849</v>
      </c>
      <c r="C560">
        <v>42</v>
      </c>
      <c r="D560" t="s">
        <v>1447</v>
      </c>
      <c r="E560" t="s">
        <v>1851</v>
      </c>
      <c r="F560" t="s">
        <v>1737</v>
      </c>
      <c r="K560" t="str">
        <f>IF(ISBLANK('Q 5'!E110),"",IF('Q 5'!E110="&lt;please select&gt;","",'Q 5'!E110))</f>
        <v/>
      </c>
    </row>
    <row r="561" spans="1:11" x14ac:dyDescent="0.3">
      <c r="A561" t="s">
        <v>1846</v>
      </c>
      <c r="B561" t="s">
        <v>1849</v>
      </c>
      <c r="C561">
        <v>43</v>
      </c>
      <c r="D561" t="s">
        <v>1447</v>
      </c>
      <c r="E561" t="s">
        <v>1851</v>
      </c>
      <c r="F561" t="s">
        <v>1737</v>
      </c>
      <c r="K561" t="str">
        <f>IF(ISBLANK('Q 5'!E111),"",IF('Q 5'!E111="&lt;please select&gt;","",'Q 5'!E111))</f>
        <v/>
      </c>
    </row>
    <row r="562" spans="1:11" x14ac:dyDescent="0.3">
      <c r="A562" t="s">
        <v>1846</v>
      </c>
      <c r="B562" t="s">
        <v>1849</v>
      </c>
      <c r="C562">
        <v>44</v>
      </c>
      <c r="D562" t="s">
        <v>1447</v>
      </c>
      <c r="E562" t="s">
        <v>1851</v>
      </c>
      <c r="F562" t="s">
        <v>1737</v>
      </c>
      <c r="K562" t="str">
        <f>IF(ISBLANK('Q 5'!E112),"",IF('Q 5'!E112="&lt;please select&gt;","",'Q 5'!E112))</f>
        <v/>
      </c>
    </row>
    <row r="563" spans="1:11" x14ac:dyDescent="0.3">
      <c r="A563" t="s">
        <v>1846</v>
      </c>
      <c r="B563" t="s">
        <v>1849</v>
      </c>
      <c r="C563">
        <v>45</v>
      </c>
      <c r="D563" t="s">
        <v>1447</v>
      </c>
      <c r="E563" t="s">
        <v>1851</v>
      </c>
      <c r="F563" t="s">
        <v>1737</v>
      </c>
      <c r="K563" t="str">
        <f>IF(ISBLANK('Q 5'!E113),"",IF('Q 5'!E113="&lt;please select&gt;","",'Q 5'!E113))</f>
        <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
      </c>
    </row>
    <row r="568" spans="1:11" x14ac:dyDescent="0.3">
      <c r="A568" t="s">
        <v>1846</v>
      </c>
      <c r="B568" t="s">
        <v>1849</v>
      </c>
      <c r="C568">
        <v>50</v>
      </c>
      <c r="D568" t="s">
        <v>1447</v>
      </c>
      <c r="E568" t="s">
        <v>1851</v>
      </c>
      <c r="F568" t="s">
        <v>1737</v>
      </c>
      <c r="K568" t="str">
        <f>IF(ISBLANK('Q 5'!E118),"",IF('Q 5'!E118="&lt;please select&gt;","",'Q 5'!E118))</f>
        <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
      </c>
    </row>
    <row r="575" spans="1:11" x14ac:dyDescent="0.3">
      <c r="A575" t="s">
        <v>1846</v>
      </c>
      <c r="B575" t="s">
        <v>1849</v>
      </c>
      <c r="C575">
        <v>57</v>
      </c>
      <c r="D575" t="s">
        <v>1447</v>
      </c>
      <c r="E575" t="s">
        <v>1851</v>
      </c>
      <c r="F575" t="s">
        <v>1737</v>
      </c>
      <c r="K575" t="str">
        <f>IF(ISBLANK('Q 5'!E125),"",IF('Q 5'!E125="&lt;please select&gt;","",'Q 5'!E125))</f>
        <v/>
      </c>
    </row>
    <row r="576" spans="1:11" x14ac:dyDescent="0.3">
      <c r="A576" t="s">
        <v>1846</v>
      </c>
      <c r="B576" t="s">
        <v>1849</v>
      </c>
      <c r="C576">
        <v>58</v>
      </c>
      <c r="D576" t="s">
        <v>1447</v>
      </c>
      <c r="E576" t="s">
        <v>1851</v>
      </c>
      <c r="F576" t="s">
        <v>1737</v>
      </c>
      <c r="K576" t="str">
        <f>IF(ISBLANK('Q 5'!E126),"",IF('Q 5'!E126="&lt;please select&gt;","",'Q 5'!E126))</f>
        <v/>
      </c>
    </row>
    <row r="577" spans="1:11" x14ac:dyDescent="0.3">
      <c r="A577" t="s">
        <v>1846</v>
      </c>
      <c r="B577" t="s">
        <v>1849</v>
      </c>
      <c r="C577">
        <v>59</v>
      </c>
      <c r="D577" t="s">
        <v>1447</v>
      </c>
      <c r="E577" t="s">
        <v>1851</v>
      </c>
      <c r="F577" t="s">
        <v>1737</v>
      </c>
      <c r="K577" t="str">
        <f>IF(ISBLANK('Q 5'!E127),"",IF('Q 5'!E127="&lt;please select&gt;","",'Q 5'!E127))</f>
        <v/>
      </c>
    </row>
    <row r="578" spans="1:11" x14ac:dyDescent="0.3">
      <c r="A578" t="s">
        <v>1846</v>
      </c>
      <c r="B578" t="s">
        <v>1849</v>
      </c>
      <c r="C578">
        <v>60</v>
      </c>
      <c r="D578" t="s">
        <v>1447</v>
      </c>
      <c r="E578" t="s">
        <v>1851</v>
      </c>
      <c r="F578" t="s">
        <v>1737</v>
      </c>
      <c r="K578" t="str">
        <f>IF(ISBLANK('Q 5'!E128),"",IF('Q 5'!E128="&lt;please select&gt;","",'Q 5'!E128))</f>
        <v/>
      </c>
    </row>
    <row r="579" spans="1:11" x14ac:dyDescent="0.3">
      <c r="A579" t="s">
        <v>1846</v>
      </c>
      <c r="B579" t="s">
        <v>1849</v>
      </c>
      <c r="C579">
        <v>61</v>
      </c>
      <c r="D579" t="s">
        <v>1447</v>
      </c>
      <c r="E579" t="s">
        <v>1851</v>
      </c>
      <c r="F579" t="s">
        <v>1737</v>
      </c>
      <c r="K579" t="str">
        <f>IF(ISBLANK('Q 5'!E129),"",IF('Q 5'!E129="&lt;please select&gt;","",'Q 5'!E129))</f>
        <v/>
      </c>
    </row>
    <row r="580" spans="1:11" x14ac:dyDescent="0.3">
      <c r="A580" t="s">
        <v>1846</v>
      </c>
      <c r="B580" t="s">
        <v>1849</v>
      </c>
      <c r="C580">
        <v>62</v>
      </c>
      <c r="D580" t="s">
        <v>1447</v>
      </c>
      <c r="E580" t="s">
        <v>1851</v>
      </c>
      <c r="F580" t="s">
        <v>1737</v>
      </c>
      <c r="K580" t="str">
        <f>IF(ISBLANK('Q 5'!E130),"",IF('Q 5'!E130="&lt;please select&gt;","",'Q 5'!E130))</f>
        <v/>
      </c>
    </row>
    <row r="581" spans="1:11" x14ac:dyDescent="0.3">
      <c r="A581" t="s">
        <v>1846</v>
      </c>
      <c r="B581" t="s">
        <v>1849</v>
      </c>
      <c r="C581">
        <v>63</v>
      </c>
      <c r="D581" t="s">
        <v>1447</v>
      </c>
      <c r="E581" t="s">
        <v>1851</v>
      </c>
      <c r="F581" t="s">
        <v>1737</v>
      </c>
      <c r="K581" t="str">
        <f>IF(ISBLANK('Q 5'!E131),"",IF('Q 5'!E131="&lt;please select&gt;","",'Q 5'!E131))</f>
        <v/>
      </c>
    </row>
    <row r="582" spans="1:11" x14ac:dyDescent="0.3">
      <c r="A582" t="s">
        <v>1846</v>
      </c>
      <c r="B582" t="s">
        <v>1849</v>
      </c>
      <c r="C582">
        <v>64</v>
      </c>
      <c r="D582" t="s">
        <v>1447</v>
      </c>
      <c r="E582" t="s">
        <v>1851</v>
      </c>
      <c r="F582" t="s">
        <v>1737</v>
      </c>
      <c r="K582" t="str">
        <f>IF(ISBLANK('Q 5'!E132),"",IF('Q 5'!E132="&lt;please select&gt;","",'Q 5'!E132))</f>
        <v/>
      </c>
    </row>
    <row r="583" spans="1:11" x14ac:dyDescent="0.3">
      <c r="A583" t="s">
        <v>1846</v>
      </c>
      <c r="B583" t="s">
        <v>1849</v>
      </c>
      <c r="C583">
        <v>65</v>
      </c>
      <c r="D583" t="s">
        <v>1447</v>
      </c>
      <c r="E583" t="s">
        <v>1851</v>
      </c>
      <c r="F583" t="s">
        <v>1737</v>
      </c>
      <c r="K583" t="str">
        <f>IF(ISBLANK('Q 5'!E133),"",IF('Q 5'!E133="&lt;please select&gt;","",'Q 5'!E133))</f>
        <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1176886.39739981</v>
      </c>
    </row>
    <row r="650" spans="1:11" x14ac:dyDescent="0.3">
      <c r="A650" t="s">
        <v>1846</v>
      </c>
      <c r="B650" t="s">
        <v>1849</v>
      </c>
      <c r="C650">
        <v>2</v>
      </c>
      <c r="D650" t="s">
        <v>1447</v>
      </c>
      <c r="E650" t="s">
        <v>1852</v>
      </c>
      <c r="F650" t="s">
        <v>1806</v>
      </c>
      <c r="I650" t="str">
        <f>IF(ISBLANK('Q 5'!G70),"",IF('Q 5'!G70="&lt;please select&gt;","",'Q 5'!G70))</f>
        <v>302597.419502523</v>
      </c>
    </row>
    <row r="651" spans="1:11" x14ac:dyDescent="0.3">
      <c r="A651" t="s">
        <v>1846</v>
      </c>
      <c r="B651" t="s">
        <v>1849</v>
      </c>
      <c r="C651">
        <v>3</v>
      </c>
      <c r="D651" t="s">
        <v>1447</v>
      </c>
      <c r="E651" t="s">
        <v>1852</v>
      </c>
      <c r="F651" t="s">
        <v>1806</v>
      </c>
      <c r="I651" t="str">
        <f>IF(ISBLANK('Q 5'!G71),"",IF('Q 5'!G71="&lt;please select&gt;","",'Q 5'!G71))</f>
        <v>11082.1986180618</v>
      </c>
    </row>
    <row r="652" spans="1:11" x14ac:dyDescent="0.3">
      <c r="A652" t="s">
        <v>1846</v>
      </c>
      <c r="B652" t="s">
        <v>1849</v>
      </c>
      <c r="C652">
        <v>4</v>
      </c>
      <c r="D652" t="s">
        <v>1447</v>
      </c>
      <c r="E652" t="s">
        <v>1852</v>
      </c>
      <c r="F652" t="s">
        <v>1806</v>
      </c>
      <c r="I652" t="str">
        <f>IF(ISBLANK('Q 5'!G72),"",IF('Q 5'!G72="&lt;please select&gt;","",'Q 5'!G72))</f>
        <v>563882.9805</v>
      </c>
    </row>
    <row r="653" spans="1:11" x14ac:dyDescent="0.3">
      <c r="A653" t="s">
        <v>1846</v>
      </c>
      <c r="B653" t="s">
        <v>1849</v>
      </c>
      <c r="C653">
        <v>5</v>
      </c>
      <c r="D653" t="s">
        <v>1447</v>
      </c>
      <c r="E653" t="s">
        <v>1852</v>
      </c>
      <c r="F653" t="s">
        <v>1806</v>
      </c>
      <c r="I653" t="str">
        <f>IF(ISBLANK('Q 5'!G73),"",IF('Q 5'!G73="&lt;please select&gt;","",'Q 5'!G73))</f>
        <v>949.30586</v>
      </c>
    </row>
    <row r="654" spans="1:11" x14ac:dyDescent="0.3">
      <c r="A654" t="s">
        <v>1846</v>
      </c>
      <c r="B654" t="s">
        <v>1849</v>
      </c>
      <c r="C654">
        <v>6</v>
      </c>
      <c r="D654" t="s">
        <v>1447</v>
      </c>
      <c r="E654" t="s">
        <v>1852</v>
      </c>
      <c r="F654" t="s">
        <v>1806</v>
      </c>
      <c r="I654" t="str">
        <f>IF(ISBLANK('Q 5'!G74),"",IF('Q 5'!G74="&lt;please select&gt;","",'Q 5'!G74))</f>
        <v>8183.247024</v>
      </c>
    </row>
    <row r="655" spans="1:11" x14ac:dyDescent="0.3">
      <c r="A655" t="s">
        <v>1846</v>
      </c>
      <c r="B655" t="s">
        <v>1849</v>
      </c>
      <c r="C655">
        <v>7</v>
      </c>
      <c r="D655" t="s">
        <v>1447</v>
      </c>
      <c r="E655" t="s">
        <v>1852</v>
      </c>
      <c r="F655" t="s">
        <v>1806</v>
      </c>
      <c r="I655" t="str">
        <f>IF(ISBLANK('Q 5'!G75),"",IF('Q 5'!G75="&lt;please select&gt;","",'Q 5'!G75))</f>
        <v/>
      </c>
    </row>
    <row r="656" spans="1:11" x14ac:dyDescent="0.3">
      <c r="A656" t="s">
        <v>1846</v>
      </c>
      <c r="B656" t="s">
        <v>1849</v>
      </c>
      <c r="C656">
        <v>8</v>
      </c>
      <c r="D656" t="s">
        <v>1447</v>
      </c>
      <c r="E656" t="s">
        <v>1852</v>
      </c>
      <c r="F656" t="s">
        <v>1806</v>
      </c>
      <c r="I656" t="str">
        <f>IF(ISBLANK('Q 5'!G76),"",IF('Q 5'!G76="&lt;please select&gt;","",'Q 5'!G76))</f>
        <v/>
      </c>
    </row>
    <row r="657" spans="1:9" x14ac:dyDescent="0.3">
      <c r="A657" t="s">
        <v>1846</v>
      </c>
      <c r="B657" t="s">
        <v>1849</v>
      </c>
      <c r="C657">
        <v>9</v>
      </c>
      <c r="D657" t="s">
        <v>1447</v>
      </c>
      <c r="E657" t="s">
        <v>1852</v>
      </c>
      <c r="F657" t="s">
        <v>1806</v>
      </c>
      <c r="I657" t="str">
        <f>IF(ISBLANK('Q 5'!G77),"",IF('Q 5'!G77="&lt;please select&gt;","",'Q 5'!G77))</f>
        <v/>
      </c>
    </row>
    <row r="658" spans="1:9" x14ac:dyDescent="0.3">
      <c r="A658" t="s">
        <v>1846</v>
      </c>
      <c r="B658" t="s">
        <v>1849</v>
      </c>
      <c r="C658">
        <v>10</v>
      </c>
      <c r="D658" t="s">
        <v>1447</v>
      </c>
      <c r="E658" t="s">
        <v>1852</v>
      </c>
      <c r="F658" t="s">
        <v>1806</v>
      </c>
      <c r="I658" t="str">
        <f>IF(ISBLANK('Q 5'!G78),"",IF('Q 5'!G78="&lt;please select&gt;","",'Q 5'!G78))</f>
        <v/>
      </c>
    </row>
    <row r="659" spans="1:9" x14ac:dyDescent="0.3">
      <c r="A659" t="s">
        <v>1846</v>
      </c>
      <c r="B659" t="s">
        <v>1849</v>
      </c>
      <c r="C659">
        <v>11</v>
      </c>
      <c r="D659" t="s">
        <v>1447</v>
      </c>
      <c r="E659" t="s">
        <v>1852</v>
      </c>
      <c r="F659" t="s">
        <v>1806</v>
      </c>
      <c r="I659" t="str">
        <f>IF(ISBLANK('Q 5'!G79),"",IF('Q 5'!G79="&lt;please select&gt;","",'Q 5'!G79))</f>
        <v/>
      </c>
    </row>
    <row r="660" spans="1:9" x14ac:dyDescent="0.3">
      <c r="A660" t="s">
        <v>1846</v>
      </c>
      <c r="B660" t="s">
        <v>1849</v>
      </c>
      <c r="C660">
        <v>12</v>
      </c>
      <c r="D660" t="s">
        <v>1447</v>
      </c>
      <c r="E660" t="s">
        <v>1852</v>
      </c>
      <c r="F660" t="s">
        <v>1806</v>
      </c>
      <c r="I660" t="str">
        <f>IF(ISBLANK('Q 5'!G80),"",IF('Q 5'!G80="&lt;please select&gt;","",'Q 5'!G80))</f>
        <v/>
      </c>
    </row>
    <row r="661" spans="1:9" x14ac:dyDescent="0.3">
      <c r="A661" t="s">
        <v>1846</v>
      </c>
      <c r="B661" t="s">
        <v>1849</v>
      </c>
      <c r="C661">
        <v>13</v>
      </c>
      <c r="D661" t="s">
        <v>1447</v>
      </c>
      <c r="E661" t="s">
        <v>1852</v>
      </c>
      <c r="F661" t="s">
        <v>1806</v>
      </c>
      <c r="I661" t="str">
        <f>IF(ISBLANK('Q 5'!G81),"",IF('Q 5'!G81="&lt;please select&gt;","",'Q 5'!G81))</f>
        <v/>
      </c>
    </row>
    <row r="662" spans="1:9" x14ac:dyDescent="0.3">
      <c r="A662" t="s">
        <v>1846</v>
      </c>
      <c r="B662" t="s">
        <v>1849</v>
      </c>
      <c r="C662">
        <v>14</v>
      </c>
      <c r="D662" t="s">
        <v>1447</v>
      </c>
      <c r="E662" t="s">
        <v>1852</v>
      </c>
      <c r="F662" t="s">
        <v>1806</v>
      </c>
      <c r="I662" t="str">
        <f>IF(ISBLANK('Q 5'!G82),"",IF('Q 5'!G82="&lt;please select&gt;","",'Q 5'!G82))</f>
        <v/>
      </c>
    </row>
    <row r="663" spans="1:9" x14ac:dyDescent="0.3">
      <c r="A663" t="s">
        <v>1846</v>
      </c>
      <c r="B663" t="s">
        <v>1849</v>
      </c>
      <c r="C663">
        <v>15</v>
      </c>
      <c r="D663" t="s">
        <v>1447</v>
      </c>
      <c r="E663" t="s">
        <v>1852</v>
      </c>
      <c r="F663" t="s">
        <v>1806</v>
      </c>
      <c r="I663" t="str">
        <f>IF(ISBLANK('Q 5'!G83),"",IF('Q 5'!G83="&lt;please select&gt;","",'Q 5'!G83))</f>
        <v/>
      </c>
    </row>
    <row r="664" spans="1:9" x14ac:dyDescent="0.3">
      <c r="A664" t="s">
        <v>1846</v>
      </c>
      <c r="B664" t="s">
        <v>1849</v>
      </c>
      <c r="C664">
        <v>16</v>
      </c>
      <c r="D664" t="s">
        <v>1447</v>
      </c>
      <c r="E664" t="s">
        <v>1852</v>
      </c>
      <c r="F664" t="s">
        <v>1806</v>
      </c>
      <c r="I664" t="str">
        <f>IF(ISBLANK('Q 5'!G84),"",IF('Q 5'!G84="&lt;please select&gt;","",'Q 5'!G84))</f>
        <v/>
      </c>
    </row>
    <row r="665" spans="1:9" x14ac:dyDescent="0.3">
      <c r="A665" t="s">
        <v>1846</v>
      </c>
      <c r="B665" t="s">
        <v>1849</v>
      </c>
      <c r="C665">
        <v>17</v>
      </c>
      <c r="D665" t="s">
        <v>1447</v>
      </c>
      <c r="E665" t="s">
        <v>1852</v>
      </c>
      <c r="F665" t="s">
        <v>1806</v>
      </c>
      <c r="I665" t="str">
        <f>IF(ISBLANK('Q 5'!G85),"",IF('Q 5'!G85="&lt;please select&gt;","",'Q 5'!G85))</f>
        <v/>
      </c>
    </row>
    <row r="666" spans="1:9" x14ac:dyDescent="0.3">
      <c r="A666" t="s">
        <v>1846</v>
      </c>
      <c r="B666" t="s">
        <v>1849</v>
      </c>
      <c r="C666">
        <v>18</v>
      </c>
      <c r="D666" t="s">
        <v>1447</v>
      </c>
      <c r="E666" t="s">
        <v>1852</v>
      </c>
      <c r="F666" t="s">
        <v>1806</v>
      </c>
      <c r="I666" t="str">
        <f>IF(ISBLANK('Q 5'!G86),"",IF('Q 5'!G86="&lt;please select&gt;","",'Q 5'!G86))</f>
        <v/>
      </c>
    </row>
    <row r="667" spans="1:9" x14ac:dyDescent="0.3">
      <c r="A667" t="s">
        <v>1846</v>
      </c>
      <c r="B667" t="s">
        <v>1849</v>
      </c>
      <c r="C667">
        <v>19</v>
      </c>
      <c r="D667" t="s">
        <v>1447</v>
      </c>
      <c r="E667" t="s">
        <v>1852</v>
      </c>
      <c r="F667" t="s">
        <v>1806</v>
      </c>
      <c r="I667" t="str">
        <f>IF(ISBLANK('Q 5'!G87),"",IF('Q 5'!G87="&lt;please select&gt;","",'Q 5'!G87))</f>
        <v/>
      </c>
    </row>
    <row r="668" spans="1:9" x14ac:dyDescent="0.3">
      <c r="A668" t="s">
        <v>1846</v>
      </c>
      <c r="B668" t="s">
        <v>1849</v>
      </c>
      <c r="C668">
        <v>20</v>
      </c>
      <c r="D668" t="s">
        <v>1447</v>
      </c>
      <c r="E668" t="s">
        <v>1852</v>
      </c>
      <c r="F668" t="s">
        <v>1806</v>
      </c>
      <c r="I668" t="str">
        <f>IF(ISBLANK('Q 5'!G88),"",IF('Q 5'!G88="&lt;please select&gt;","",'Q 5'!G88))</f>
        <v/>
      </c>
    </row>
    <row r="669" spans="1:9" x14ac:dyDescent="0.3">
      <c r="A669" t="s">
        <v>1846</v>
      </c>
      <c r="B669" t="s">
        <v>1849</v>
      </c>
      <c r="C669">
        <v>21</v>
      </c>
      <c r="D669" t="s">
        <v>1447</v>
      </c>
      <c r="E669" t="s">
        <v>1852</v>
      </c>
      <c r="F669" t="s">
        <v>1806</v>
      </c>
      <c r="I669" t="str">
        <f>IF(ISBLANK('Q 5'!G89),"",IF('Q 5'!G89="&lt;please select&gt;","",'Q 5'!G89))</f>
        <v/>
      </c>
    </row>
    <row r="670" spans="1:9" x14ac:dyDescent="0.3">
      <c r="A670" t="s">
        <v>1846</v>
      </c>
      <c r="B670" t="s">
        <v>1849</v>
      </c>
      <c r="C670">
        <v>22</v>
      </c>
      <c r="D670" t="s">
        <v>1447</v>
      </c>
      <c r="E670" t="s">
        <v>1852</v>
      </c>
      <c r="F670" t="s">
        <v>1806</v>
      </c>
      <c r="I670" t="str">
        <f>IF(ISBLANK('Q 5'!G90),"",IF('Q 5'!G90="&lt;please select&gt;","",'Q 5'!G90))</f>
        <v/>
      </c>
    </row>
    <row r="671" spans="1:9" x14ac:dyDescent="0.3">
      <c r="A671" t="s">
        <v>1846</v>
      </c>
      <c r="B671" t="s">
        <v>1849</v>
      </c>
      <c r="C671">
        <v>23</v>
      </c>
      <c r="D671" t="s">
        <v>1447</v>
      </c>
      <c r="E671" t="s">
        <v>1852</v>
      </c>
      <c r="F671" t="s">
        <v>1806</v>
      </c>
      <c r="I671" t="str">
        <f>IF(ISBLANK('Q 5'!G91),"",IF('Q 5'!G91="&lt;please select&gt;","",'Q 5'!G91))</f>
        <v/>
      </c>
    </row>
    <row r="672" spans="1:9" x14ac:dyDescent="0.3">
      <c r="A672" t="s">
        <v>1846</v>
      </c>
      <c r="B672" t="s">
        <v>1849</v>
      </c>
      <c r="C672">
        <v>24</v>
      </c>
      <c r="D672" t="s">
        <v>1447</v>
      </c>
      <c r="E672" t="s">
        <v>1852</v>
      </c>
      <c r="F672" t="s">
        <v>1806</v>
      </c>
      <c r="I672" t="str">
        <f>IF(ISBLANK('Q 5'!G92),"",IF('Q 5'!G92="&lt;please select&gt;","",'Q 5'!G92))</f>
        <v/>
      </c>
    </row>
    <row r="673" spans="1:9" x14ac:dyDescent="0.3">
      <c r="A673" t="s">
        <v>1846</v>
      </c>
      <c r="B673" t="s">
        <v>1849</v>
      </c>
      <c r="C673">
        <v>25</v>
      </c>
      <c r="D673" t="s">
        <v>1447</v>
      </c>
      <c r="E673" t="s">
        <v>1852</v>
      </c>
      <c r="F673" t="s">
        <v>1806</v>
      </c>
      <c r="I673" t="str">
        <f>IF(ISBLANK('Q 5'!G93),"",IF('Q 5'!G93="&lt;please select&gt;","",'Q 5'!G93))</f>
        <v/>
      </c>
    </row>
    <row r="674" spans="1:9" x14ac:dyDescent="0.3">
      <c r="A674" t="s">
        <v>1846</v>
      </c>
      <c r="B674" t="s">
        <v>1849</v>
      </c>
      <c r="C674">
        <v>26</v>
      </c>
      <c r="D674" t="s">
        <v>1447</v>
      </c>
      <c r="E674" t="s">
        <v>1852</v>
      </c>
      <c r="F674" t="s">
        <v>1806</v>
      </c>
      <c r="I674" t="str">
        <f>IF(ISBLANK('Q 5'!G94),"",IF('Q 5'!G94="&lt;please select&gt;","",'Q 5'!G94))</f>
        <v/>
      </c>
    </row>
    <row r="675" spans="1:9" x14ac:dyDescent="0.3">
      <c r="A675" t="s">
        <v>1846</v>
      </c>
      <c r="B675" t="s">
        <v>1849</v>
      </c>
      <c r="C675">
        <v>27</v>
      </c>
      <c r="D675" t="s">
        <v>1447</v>
      </c>
      <c r="E675" t="s">
        <v>1852</v>
      </c>
      <c r="F675" t="s">
        <v>1806</v>
      </c>
      <c r="I675" t="str">
        <f>IF(ISBLANK('Q 5'!G95),"",IF('Q 5'!G95="&lt;please select&gt;","",'Q 5'!G95))</f>
        <v/>
      </c>
    </row>
    <row r="676" spans="1:9" x14ac:dyDescent="0.3">
      <c r="A676" t="s">
        <v>1846</v>
      </c>
      <c r="B676" t="s">
        <v>1849</v>
      </c>
      <c r="C676">
        <v>28</v>
      </c>
      <c r="D676" t="s">
        <v>1447</v>
      </c>
      <c r="E676" t="s">
        <v>1852</v>
      </c>
      <c r="F676" t="s">
        <v>1806</v>
      </c>
      <c r="I676" t="str">
        <f>IF(ISBLANK('Q 5'!G96),"",IF('Q 5'!G96="&lt;please select&gt;","",'Q 5'!G96))</f>
        <v/>
      </c>
    </row>
    <row r="677" spans="1:9" x14ac:dyDescent="0.3">
      <c r="A677" t="s">
        <v>1846</v>
      </c>
      <c r="B677" t="s">
        <v>1849</v>
      </c>
      <c r="C677">
        <v>29</v>
      </c>
      <c r="D677" t="s">
        <v>1447</v>
      </c>
      <c r="E677" t="s">
        <v>1852</v>
      </c>
      <c r="F677" t="s">
        <v>1806</v>
      </c>
      <c r="I677" t="str">
        <f>IF(ISBLANK('Q 5'!G97),"",IF('Q 5'!G97="&lt;please select&gt;","",'Q 5'!G97))</f>
        <v/>
      </c>
    </row>
    <row r="678" spans="1:9" x14ac:dyDescent="0.3">
      <c r="A678" t="s">
        <v>1846</v>
      </c>
      <c r="B678" t="s">
        <v>1849</v>
      </c>
      <c r="C678">
        <v>30</v>
      </c>
      <c r="D678" t="s">
        <v>1447</v>
      </c>
      <c r="E678" t="s">
        <v>1852</v>
      </c>
      <c r="F678" t="s">
        <v>1806</v>
      </c>
      <c r="I678" t="str">
        <f>IF(ISBLANK('Q 5'!G98),"",IF('Q 5'!G98="&lt;please select&gt;","",'Q 5'!G98))</f>
        <v/>
      </c>
    </row>
    <row r="679" spans="1:9" x14ac:dyDescent="0.3">
      <c r="A679" t="s">
        <v>1846</v>
      </c>
      <c r="B679" t="s">
        <v>1849</v>
      </c>
      <c r="C679">
        <v>31</v>
      </c>
      <c r="D679" t="s">
        <v>1447</v>
      </c>
      <c r="E679" t="s">
        <v>1852</v>
      </c>
      <c r="F679" t="s">
        <v>1806</v>
      </c>
      <c r="I679" t="str">
        <f>IF(ISBLANK('Q 5'!G99),"",IF('Q 5'!G99="&lt;please select&gt;","",'Q 5'!G99))</f>
        <v/>
      </c>
    </row>
    <row r="680" spans="1:9" x14ac:dyDescent="0.3">
      <c r="A680" t="s">
        <v>1846</v>
      </c>
      <c r="B680" t="s">
        <v>1849</v>
      </c>
      <c r="C680">
        <v>32</v>
      </c>
      <c r="D680" t="s">
        <v>1447</v>
      </c>
      <c r="E680" t="s">
        <v>1852</v>
      </c>
      <c r="F680" t="s">
        <v>1806</v>
      </c>
      <c r="I680" t="str">
        <f>IF(ISBLANK('Q 5'!G100),"",IF('Q 5'!G100="&lt;please select&gt;","",'Q 5'!G100))</f>
        <v/>
      </c>
    </row>
    <row r="681" spans="1:9" x14ac:dyDescent="0.3">
      <c r="A681" t="s">
        <v>1846</v>
      </c>
      <c r="B681" t="s">
        <v>1849</v>
      </c>
      <c r="C681">
        <v>33</v>
      </c>
      <c r="D681" t="s">
        <v>1447</v>
      </c>
      <c r="E681" t="s">
        <v>1852</v>
      </c>
      <c r="F681" t="s">
        <v>1806</v>
      </c>
      <c r="I681" t="str">
        <f>IF(ISBLANK('Q 5'!G101),"",IF('Q 5'!G101="&lt;please select&gt;","",'Q 5'!G101))</f>
        <v/>
      </c>
    </row>
    <row r="682" spans="1:9" x14ac:dyDescent="0.3">
      <c r="A682" t="s">
        <v>1846</v>
      </c>
      <c r="B682" t="s">
        <v>1849</v>
      </c>
      <c r="C682">
        <v>34</v>
      </c>
      <c r="D682" t="s">
        <v>1447</v>
      </c>
      <c r="E682" t="s">
        <v>1852</v>
      </c>
      <c r="F682" t="s">
        <v>1806</v>
      </c>
      <c r="I682" t="str">
        <f>IF(ISBLANK('Q 5'!G102),"",IF('Q 5'!G102="&lt;please select&gt;","",'Q 5'!G102))</f>
        <v/>
      </c>
    </row>
    <row r="683" spans="1:9" x14ac:dyDescent="0.3">
      <c r="A683" t="s">
        <v>1846</v>
      </c>
      <c r="B683" t="s">
        <v>1849</v>
      </c>
      <c r="C683">
        <v>35</v>
      </c>
      <c r="D683" t="s">
        <v>1447</v>
      </c>
      <c r="E683" t="s">
        <v>1852</v>
      </c>
      <c r="F683" t="s">
        <v>1806</v>
      </c>
      <c r="I683" t="str">
        <f>IF(ISBLANK('Q 5'!G103),"",IF('Q 5'!G103="&lt;please select&gt;","",'Q 5'!G103))</f>
        <v/>
      </c>
    </row>
    <row r="684" spans="1:9" x14ac:dyDescent="0.3">
      <c r="A684" t="s">
        <v>1846</v>
      </c>
      <c r="B684" t="s">
        <v>1849</v>
      </c>
      <c r="C684">
        <v>36</v>
      </c>
      <c r="D684" t="s">
        <v>1447</v>
      </c>
      <c r="E684" t="s">
        <v>1852</v>
      </c>
      <c r="F684" t="s">
        <v>1806</v>
      </c>
      <c r="I684" t="str">
        <f>IF(ISBLANK('Q 5'!G104),"",IF('Q 5'!G104="&lt;please select&gt;","",'Q 5'!G104))</f>
        <v/>
      </c>
    </row>
    <row r="685" spans="1:9" x14ac:dyDescent="0.3">
      <c r="A685" t="s">
        <v>1846</v>
      </c>
      <c r="B685" t="s">
        <v>1849</v>
      </c>
      <c r="C685">
        <v>37</v>
      </c>
      <c r="D685" t="s">
        <v>1447</v>
      </c>
      <c r="E685" t="s">
        <v>1852</v>
      </c>
      <c r="F685" t="s">
        <v>1806</v>
      </c>
      <c r="I685" t="str">
        <f>IF(ISBLANK('Q 5'!G105),"",IF('Q 5'!G105="&lt;please select&gt;","",'Q 5'!G105))</f>
        <v/>
      </c>
    </row>
    <row r="686" spans="1:9" x14ac:dyDescent="0.3">
      <c r="A686" t="s">
        <v>1846</v>
      </c>
      <c r="B686" t="s">
        <v>1849</v>
      </c>
      <c r="C686">
        <v>38</v>
      </c>
      <c r="D686" t="s">
        <v>1447</v>
      </c>
      <c r="E686" t="s">
        <v>1852</v>
      </c>
      <c r="F686" t="s">
        <v>1806</v>
      </c>
      <c r="I686" t="str">
        <f>IF(ISBLANK('Q 5'!G106),"",IF('Q 5'!G106="&lt;please select&gt;","",'Q 5'!G106))</f>
        <v/>
      </c>
    </row>
    <row r="687" spans="1:9" x14ac:dyDescent="0.3">
      <c r="A687" t="s">
        <v>1846</v>
      </c>
      <c r="B687" t="s">
        <v>1849</v>
      </c>
      <c r="C687">
        <v>39</v>
      </c>
      <c r="D687" t="s">
        <v>1447</v>
      </c>
      <c r="E687" t="s">
        <v>1852</v>
      </c>
      <c r="F687" t="s">
        <v>1806</v>
      </c>
      <c r="I687" t="str">
        <f>IF(ISBLANK('Q 5'!G107),"",IF('Q 5'!G107="&lt;please select&gt;","",'Q 5'!G107))</f>
        <v/>
      </c>
    </row>
    <row r="688" spans="1:9" x14ac:dyDescent="0.3">
      <c r="A688" t="s">
        <v>1846</v>
      </c>
      <c r="B688" t="s">
        <v>1849</v>
      </c>
      <c r="C688">
        <v>40</v>
      </c>
      <c r="D688" t="s">
        <v>1447</v>
      </c>
      <c r="E688" t="s">
        <v>1852</v>
      </c>
      <c r="F688" t="s">
        <v>1806</v>
      </c>
      <c r="I688" t="str">
        <f>IF(ISBLANK('Q 5'!G108),"",IF('Q 5'!G108="&lt;please select&gt;","",'Q 5'!G108))</f>
        <v/>
      </c>
    </row>
    <row r="689" spans="1:9" x14ac:dyDescent="0.3">
      <c r="A689" t="s">
        <v>1846</v>
      </c>
      <c r="B689" t="s">
        <v>1849</v>
      </c>
      <c r="C689">
        <v>41</v>
      </c>
      <c r="D689" t="s">
        <v>1447</v>
      </c>
      <c r="E689" t="s">
        <v>1852</v>
      </c>
      <c r="F689" t="s">
        <v>1806</v>
      </c>
      <c r="I689" t="str">
        <f>IF(ISBLANK('Q 5'!G109),"",IF('Q 5'!G109="&lt;please select&gt;","",'Q 5'!G109))</f>
        <v/>
      </c>
    </row>
    <row r="690" spans="1:9" x14ac:dyDescent="0.3">
      <c r="A690" t="s">
        <v>1846</v>
      </c>
      <c r="B690" t="s">
        <v>1849</v>
      </c>
      <c r="C690">
        <v>42</v>
      </c>
      <c r="D690" t="s">
        <v>1447</v>
      </c>
      <c r="E690" t="s">
        <v>1852</v>
      </c>
      <c r="F690" t="s">
        <v>1806</v>
      </c>
      <c r="I690" t="str">
        <f>IF(ISBLANK('Q 5'!G110),"",IF('Q 5'!G110="&lt;please select&gt;","",'Q 5'!G110))</f>
        <v/>
      </c>
    </row>
    <row r="691" spans="1:9" x14ac:dyDescent="0.3">
      <c r="A691" t="s">
        <v>1846</v>
      </c>
      <c r="B691" t="s">
        <v>1849</v>
      </c>
      <c r="C691">
        <v>43</v>
      </c>
      <c r="D691" t="s">
        <v>1447</v>
      </c>
      <c r="E691" t="s">
        <v>1852</v>
      </c>
      <c r="F691" t="s">
        <v>1806</v>
      </c>
      <c r="I691" t="str">
        <f>IF(ISBLANK('Q 5'!G111),"",IF('Q 5'!G111="&lt;please select&gt;","",'Q 5'!G111))</f>
        <v/>
      </c>
    </row>
    <row r="692" spans="1:9" x14ac:dyDescent="0.3">
      <c r="A692" t="s">
        <v>1846</v>
      </c>
      <c r="B692" t="s">
        <v>1849</v>
      </c>
      <c r="C692">
        <v>44</v>
      </c>
      <c r="D692" t="s">
        <v>1447</v>
      </c>
      <c r="E692" t="s">
        <v>1852</v>
      </c>
      <c r="F692" t="s">
        <v>1806</v>
      </c>
      <c r="I692" t="str">
        <f>IF(ISBLANK('Q 5'!G112),"",IF('Q 5'!G112="&lt;please select&gt;","",'Q 5'!G112))</f>
        <v/>
      </c>
    </row>
    <row r="693" spans="1:9" x14ac:dyDescent="0.3">
      <c r="A693" t="s">
        <v>1846</v>
      </c>
      <c r="B693" t="s">
        <v>1849</v>
      </c>
      <c r="C693">
        <v>45</v>
      </c>
      <c r="D693" t="s">
        <v>1447</v>
      </c>
      <c r="E693" t="s">
        <v>1852</v>
      </c>
      <c r="F693" t="s">
        <v>1806</v>
      </c>
      <c r="I693" t="str">
        <f>IF(ISBLANK('Q 5'!G113),"",IF('Q 5'!G113="&lt;please select&gt;","",'Q 5'!G113))</f>
        <v/>
      </c>
    </row>
    <row r="694" spans="1:9" x14ac:dyDescent="0.3">
      <c r="A694" t="s">
        <v>1846</v>
      </c>
      <c r="B694" t="s">
        <v>1849</v>
      </c>
      <c r="C694">
        <v>46</v>
      </c>
      <c r="D694" t="s">
        <v>1447</v>
      </c>
      <c r="E694" t="s">
        <v>1852</v>
      </c>
      <c r="F694" t="s">
        <v>1806</v>
      </c>
      <c r="I694" t="str">
        <f>IF(ISBLANK('Q 5'!G114),"",IF('Q 5'!G114="&lt;please select&gt;","",'Q 5'!G114))</f>
        <v/>
      </c>
    </row>
    <row r="695" spans="1:9" x14ac:dyDescent="0.3">
      <c r="A695" t="s">
        <v>1846</v>
      </c>
      <c r="B695" t="s">
        <v>1849</v>
      </c>
      <c r="C695">
        <v>47</v>
      </c>
      <c r="D695" t="s">
        <v>1447</v>
      </c>
      <c r="E695" t="s">
        <v>1852</v>
      </c>
      <c r="F695" t="s">
        <v>1806</v>
      </c>
      <c r="I695" t="str">
        <f>IF(ISBLANK('Q 5'!G115),"",IF('Q 5'!G115="&lt;please select&gt;","",'Q 5'!G115))</f>
        <v/>
      </c>
    </row>
    <row r="696" spans="1:9" x14ac:dyDescent="0.3">
      <c r="A696" t="s">
        <v>1846</v>
      </c>
      <c r="B696" t="s">
        <v>1849</v>
      </c>
      <c r="C696">
        <v>48</v>
      </c>
      <c r="D696" t="s">
        <v>1447</v>
      </c>
      <c r="E696" t="s">
        <v>1852</v>
      </c>
      <c r="F696" t="s">
        <v>1806</v>
      </c>
      <c r="I696" t="str">
        <f>IF(ISBLANK('Q 5'!G116),"",IF('Q 5'!G116="&lt;please select&gt;","",'Q 5'!G116))</f>
        <v/>
      </c>
    </row>
    <row r="697" spans="1:9" x14ac:dyDescent="0.3">
      <c r="A697" t="s">
        <v>1846</v>
      </c>
      <c r="B697" t="s">
        <v>1849</v>
      </c>
      <c r="C697">
        <v>49</v>
      </c>
      <c r="D697" t="s">
        <v>1447</v>
      </c>
      <c r="E697" t="s">
        <v>1852</v>
      </c>
      <c r="F697" t="s">
        <v>1806</v>
      </c>
      <c r="I697" t="str">
        <f>IF(ISBLANK('Q 5'!G117),"",IF('Q 5'!G117="&lt;please select&gt;","",'Q 5'!G117))</f>
        <v/>
      </c>
    </row>
    <row r="698" spans="1:9" x14ac:dyDescent="0.3">
      <c r="A698" t="s">
        <v>1846</v>
      </c>
      <c r="B698" t="s">
        <v>1849</v>
      </c>
      <c r="C698">
        <v>50</v>
      </c>
      <c r="D698" t="s">
        <v>1447</v>
      </c>
      <c r="E698" t="s">
        <v>1852</v>
      </c>
      <c r="F698" t="s">
        <v>1806</v>
      </c>
      <c r="I698" t="str">
        <f>IF(ISBLANK('Q 5'!G118),"",IF('Q 5'!G118="&lt;please select&gt;","",'Q 5'!G118))</f>
        <v/>
      </c>
    </row>
    <row r="699" spans="1:9" x14ac:dyDescent="0.3">
      <c r="A699" t="s">
        <v>1846</v>
      </c>
      <c r="B699" t="s">
        <v>1849</v>
      </c>
      <c r="C699">
        <v>51</v>
      </c>
      <c r="D699" t="s">
        <v>1447</v>
      </c>
      <c r="E699" t="s">
        <v>1852</v>
      </c>
      <c r="F699" t="s">
        <v>1806</v>
      </c>
      <c r="I699" t="str">
        <f>IF(ISBLANK('Q 5'!G119),"",IF('Q 5'!G119="&lt;please select&gt;","",'Q 5'!G119))</f>
        <v/>
      </c>
    </row>
    <row r="700" spans="1:9" x14ac:dyDescent="0.3">
      <c r="A700" t="s">
        <v>1846</v>
      </c>
      <c r="B700" t="s">
        <v>1849</v>
      </c>
      <c r="C700">
        <v>52</v>
      </c>
      <c r="D700" t="s">
        <v>1447</v>
      </c>
      <c r="E700" t="s">
        <v>1852</v>
      </c>
      <c r="F700" t="s">
        <v>1806</v>
      </c>
      <c r="I700" t="str">
        <f>IF(ISBLANK('Q 5'!G120),"",IF('Q 5'!G120="&lt;please select&gt;","",'Q 5'!G120))</f>
        <v/>
      </c>
    </row>
    <row r="701" spans="1:9" x14ac:dyDescent="0.3">
      <c r="A701" t="s">
        <v>1846</v>
      </c>
      <c r="B701" t="s">
        <v>1849</v>
      </c>
      <c r="C701">
        <v>53</v>
      </c>
      <c r="D701" t="s">
        <v>1447</v>
      </c>
      <c r="E701" t="s">
        <v>1852</v>
      </c>
      <c r="F701" t="s">
        <v>1806</v>
      </c>
      <c r="I701" t="str">
        <f>IF(ISBLANK('Q 5'!G121),"",IF('Q 5'!G121="&lt;please select&gt;","",'Q 5'!G121))</f>
        <v/>
      </c>
    </row>
    <row r="702" spans="1:9" x14ac:dyDescent="0.3">
      <c r="A702" t="s">
        <v>1846</v>
      </c>
      <c r="B702" t="s">
        <v>1849</v>
      </c>
      <c r="C702">
        <v>54</v>
      </c>
      <c r="D702" t="s">
        <v>1447</v>
      </c>
      <c r="E702" t="s">
        <v>1852</v>
      </c>
      <c r="F702" t="s">
        <v>1806</v>
      </c>
      <c r="I702" t="str">
        <f>IF(ISBLANK('Q 5'!G122),"",IF('Q 5'!G122="&lt;please select&gt;","",'Q 5'!G122))</f>
        <v/>
      </c>
    </row>
    <row r="703" spans="1:9" x14ac:dyDescent="0.3">
      <c r="A703" t="s">
        <v>1846</v>
      </c>
      <c r="B703" t="s">
        <v>1849</v>
      </c>
      <c r="C703">
        <v>55</v>
      </c>
      <c r="D703" t="s">
        <v>1447</v>
      </c>
      <c r="E703" t="s">
        <v>1852</v>
      </c>
      <c r="F703" t="s">
        <v>1806</v>
      </c>
      <c r="I703" t="str">
        <f>IF(ISBLANK('Q 5'!G123),"",IF('Q 5'!G123="&lt;please select&gt;","",'Q 5'!G123))</f>
        <v/>
      </c>
    </row>
    <row r="704" spans="1:9" x14ac:dyDescent="0.3">
      <c r="A704" t="s">
        <v>1846</v>
      </c>
      <c r="B704" t="s">
        <v>1849</v>
      </c>
      <c r="C704">
        <v>56</v>
      </c>
      <c r="D704" t="s">
        <v>1447</v>
      </c>
      <c r="E704" t="s">
        <v>1852</v>
      </c>
      <c r="F704" t="s">
        <v>1806</v>
      </c>
      <c r="I704" t="str">
        <f>IF(ISBLANK('Q 5'!G124),"",IF('Q 5'!G124="&lt;please select&gt;","",'Q 5'!G124))</f>
        <v/>
      </c>
    </row>
    <row r="705" spans="1:9" x14ac:dyDescent="0.3">
      <c r="A705" t="s">
        <v>1846</v>
      </c>
      <c r="B705" t="s">
        <v>1849</v>
      </c>
      <c r="C705">
        <v>57</v>
      </c>
      <c r="D705" t="s">
        <v>1447</v>
      </c>
      <c r="E705" t="s">
        <v>1852</v>
      </c>
      <c r="F705" t="s">
        <v>1806</v>
      </c>
      <c r="I705" t="str">
        <f>IF(ISBLANK('Q 5'!G125),"",IF('Q 5'!G125="&lt;please select&gt;","",'Q 5'!G125))</f>
        <v/>
      </c>
    </row>
    <row r="706" spans="1:9" x14ac:dyDescent="0.3">
      <c r="A706" t="s">
        <v>1846</v>
      </c>
      <c r="B706" t="s">
        <v>1849</v>
      </c>
      <c r="C706">
        <v>58</v>
      </c>
      <c r="D706" t="s">
        <v>1447</v>
      </c>
      <c r="E706" t="s">
        <v>1852</v>
      </c>
      <c r="F706" t="s">
        <v>1806</v>
      </c>
      <c r="I706" t="str">
        <f>IF(ISBLANK('Q 5'!G126),"",IF('Q 5'!G126="&lt;please select&gt;","",'Q 5'!G126))</f>
        <v/>
      </c>
    </row>
    <row r="707" spans="1:9" x14ac:dyDescent="0.3">
      <c r="A707" t="s">
        <v>1846</v>
      </c>
      <c r="B707" t="s">
        <v>1849</v>
      </c>
      <c r="C707">
        <v>59</v>
      </c>
      <c r="D707" t="s">
        <v>1447</v>
      </c>
      <c r="E707" t="s">
        <v>1852</v>
      </c>
      <c r="F707" t="s">
        <v>1806</v>
      </c>
      <c r="I707" t="str">
        <f>IF(ISBLANK('Q 5'!G127),"",IF('Q 5'!G127="&lt;please select&gt;","",'Q 5'!G127))</f>
        <v/>
      </c>
    </row>
    <row r="708" spans="1:9" x14ac:dyDescent="0.3">
      <c r="A708" t="s">
        <v>1846</v>
      </c>
      <c r="B708" t="s">
        <v>1849</v>
      </c>
      <c r="C708">
        <v>60</v>
      </c>
      <c r="D708" t="s">
        <v>1447</v>
      </c>
      <c r="E708" t="s">
        <v>1852</v>
      </c>
      <c r="F708" t="s">
        <v>1806</v>
      </c>
      <c r="I708" t="str">
        <f>IF(ISBLANK('Q 5'!G128),"",IF('Q 5'!G128="&lt;please select&gt;","",'Q 5'!G128))</f>
        <v/>
      </c>
    </row>
    <row r="709" spans="1:9" x14ac:dyDescent="0.3">
      <c r="A709" t="s">
        <v>1846</v>
      </c>
      <c r="B709" t="s">
        <v>1849</v>
      </c>
      <c r="C709">
        <v>61</v>
      </c>
      <c r="D709" t="s">
        <v>1447</v>
      </c>
      <c r="E709" t="s">
        <v>1852</v>
      </c>
      <c r="F709" t="s">
        <v>1806</v>
      </c>
      <c r="I709" t="str">
        <f>IF(ISBLANK('Q 5'!G129),"",IF('Q 5'!G129="&lt;please select&gt;","",'Q 5'!G129))</f>
        <v/>
      </c>
    </row>
    <row r="710" spans="1:9" x14ac:dyDescent="0.3">
      <c r="A710" t="s">
        <v>1846</v>
      </c>
      <c r="B710" t="s">
        <v>1849</v>
      </c>
      <c r="C710">
        <v>62</v>
      </c>
      <c r="D710" t="s">
        <v>1447</v>
      </c>
      <c r="E710" t="s">
        <v>1852</v>
      </c>
      <c r="F710" t="s">
        <v>1806</v>
      </c>
      <c r="I710" t="str">
        <f>IF(ISBLANK('Q 5'!G130),"",IF('Q 5'!G130="&lt;please select&gt;","",'Q 5'!G130))</f>
        <v/>
      </c>
    </row>
    <row r="711" spans="1:9" x14ac:dyDescent="0.3">
      <c r="A711" t="s">
        <v>1846</v>
      </c>
      <c r="B711" t="s">
        <v>1849</v>
      </c>
      <c r="C711">
        <v>63</v>
      </c>
      <c r="D711" t="s">
        <v>1447</v>
      </c>
      <c r="E711" t="s">
        <v>1852</v>
      </c>
      <c r="F711" t="s">
        <v>1806</v>
      </c>
      <c r="I711" t="str">
        <f>IF(ISBLANK('Q 5'!G131),"",IF('Q 5'!G131="&lt;please select&gt;","",'Q 5'!G131))</f>
        <v/>
      </c>
    </row>
    <row r="712" spans="1:9" x14ac:dyDescent="0.3">
      <c r="A712" t="s">
        <v>1846</v>
      </c>
      <c r="B712" t="s">
        <v>1849</v>
      </c>
      <c r="C712">
        <v>64</v>
      </c>
      <c r="D712" t="s">
        <v>1447</v>
      </c>
      <c r="E712" t="s">
        <v>1852</v>
      </c>
      <c r="F712" t="s">
        <v>1806</v>
      </c>
      <c r="I712" t="str">
        <f>IF(ISBLANK('Q 5'!G132),"",IF('Q 5'!G132="&lt;please select&gt;","",'Q 5'!G132))</f>
        <v/>
      </c>
    </row>
    <row r="713" spans="1:9" x14ac:dyDescent="0.3">
      <c r="A713" t="s">
        <v>1846</v>
      </c>
      <c r="B713" t="s">
        <v>1849</v>
      </c>
      <c r="C713">
        <v>65</v>
      </c>
      <c r="D713" t="s">
        <v>1447</v>
      </c>
      <c r="E713" t="s">
        <v>1852</v>
      </c>
      <c r="F713" t="s">
        <v>1806</v>
      </c>
      <c r="I713" t="str">
        <f>IF(ISBLANK('Q 5'!G133),"",IF('Q 5'!G133="&lt;please select&gt;","",'Q 5'!G133))</f>
        <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1176886.39739981</v>
      </c>
    </row>
    <row r="780" spans="1:9" x14ac:dyDescent="0.3">
      <c r="A780" t="s">
        <v>1846</v>
      </c>
      <c r="B780" t="s">
        <v>1849</v>
      </c>
      <c r="C780">
        <v>2</v>
      </c>
      <c r="D780" t="s">
        <v>1447</v>
      </c>
      <c r="E780" t="s">
        <v>1853</v>
      </c>
      <c r="F780" t="s">
        <v>1806</v>
      </c>
      <c r="I780" t="str">
        <f>IF(ISBLANK('Q 5'!H70),"",IF('Q 5'!H70="&lt;please select&gt;","",'Q 5'!H70))</f>
        <v>302597.419502523</v>
      </c>
    </row>
    <row r="781" spans="1:9" x14ac:dyDescent="0.3">
      <c r="A781" t="s">
        <v>1846</v>
      </c>
      <c r="B781" t="s">
        <v>1849</v>
      </c>
      <c r="C781">
        <v>3</v>
      </c>
      <c r="D781" t="s">
        <v>1447</v>
      </c>
      <c r="E781" t="s">
        <v>1853</v>
      </c>
      <c r="F781" t="s">
        <v>1806</v>
      </c>
      <c r="I781" t="str">
        <f>IF(ISBLANK('Q 5'!H71),"",IF('Q 5'!H71="&lt;please select&gt;","",'Q 5'!H71))</f>
        <v>11082.1986180618</v>
      </c>
    </row>
    <row r="782" spans="1:9" x14ac:dyDescent="0.3">
      <c r="A782" t="s">
        <v>1846</v>
      </c>
      <c r="B782" t="s">
        <v>1849</v>
      </c>
      <c r="C782">
        <v>4</v>
      </c>
      <c r="D782" t="s">
        <v>1447</v>
      </c>
      <c r="E782" t="s">
        <v>1853</v>
      </c>
      <c r="F782" t="s">
        <v>1806</v>
      </c>
      <c r="I782" t="str">
        <f>IF(ISBLANK('Q 5'!H72),"",IF('Q 5'!H72="&lt;please select&gt;","",'Q 5'!H72))</f>
        <v/>
      </c>
    </row>
    <row r="783" spans="1:9" x14ac:dyDescent="0.3">
      <c r="A783" t="s">
        <v>1846</v>
      </c>
      <c r="B783" t="s">
        <v>1849</v>
      </c>
      <c r="C783">
        <v>5</v>
      </c>
      <c r="D783" t="s">
        <v>1447</v>
      </c>
      <c r="E783" t="s">
        <v>1853</v>
      </c>
      <c r="F783" t="s">
        <v>1806</v>
      </c>
      <c r="I783" t="str">
        <f>IF(ISBLANK('Q 5'!H73),"",IF('Q 5'!H73="&lt;please select&gt;","",'Q 5'!H73))</f>
        <v/>
      </c>
    </row>
    <row r="784" spans="1:9" x14ac:dyDescent="0.3">
      <c r="A784" t="s">
        <v>1846</v>
      </c>
      <c r="B784" t="s">
        <v>1849</v>
      </c>
      <c r="C784">
        <v>6</v>
      </c>
      <c r="D784" t="s">
        <v>1447</v>
      </c>
      <c r="E784" t="s">
        <v>1853</v>
      </c>
      <c r="F784" t="s">
        <v>1806</v>
      </c>
      <c r="I784" t="str">
        <f>IF(ISBLANK('Q 5'!H74),"",IF('Q 5'!H74="&lt;please select&gt;","",'Q 5'!H74))</f>
        <v/>
      </c>
    </row>
    <row r="785" spans="1:9" x14ac:dyDescent="0.3">
      <c r="A785" t="s">
        <v>1846</v>
      </c>
      <c r="B785" t="s">
        <v>1849</v>
      </c>
      <c r="C785">
        <v>7</v>
      </c>
      <c r="D785" t="s">
        <v>1447</v>
      </c>
      <c r="E785" t="s">
        <v>1853</v>
      </c>
      <c r="F785" t="s">
        <v>1806</v>
      </c>
      <c r="I785" t="str">
        <f>IF(ISBLANK('Q 5'!H75),"",IF('Q 5'!H75="&lt;please select&gt;","",'Q 5'!H75))</f>
        <v/>
      </c>
    </row>
    <row r="786" spans="1:9" x14ac:dyDescent="0.3">
      <c r="A786" t="s">
        <v>1846</v>
      </c>
      <c r="B786" t="s">
        <v>1849</v>
      </c>
      <c r="C786">
        <v>8</v>
      </c>
      <c r="D786" t="s">
        <v>1447</v>
      </c>
      <c r="E786" t="s">
        <v>1853</v>
      </c>
      <c r="F786" t="s">
        <v>1806</v>
      </c>
      <c r="I786" t="str">
        <f>IF(ISBLANK('Q 5'!H76),"",IF('Q 5'!H76="&lt;please select&gt;","",'Q 5'!H76))</f>
        <v/>
      </c>
    </row>
    <row r="787" spans="1:9" x14ac:dyDescent="0.3">
      <c r="A787" t="s">
        <v>1846</v>
      </c>
      <c r="B787" t="s">
        <v>1849</v>
      </c>
      <c r="C787">
        <v>9</v>
      </c>
      <c r="D787" t="s">
        <v>1447</v>
      </c>
      <c r="E787" t="s">
        <v>1853</v>
      </c>
      <c r="F787" t="s">
        <v>1806</v>
      </c>
      <c r="I787" t="str">
        <f>IF(ISBLANK('Q 5'!H77),"",IF('Q 5'!H77="&lt;please select&gt;","",'Q 5'!H77))</f>
        <v/>
      </c>
    </row>
    <row r="788" spans="1:9" x14ac:dyDescent="0.3">
      <c r="A788" t="s">
        <v>1846</v>
      </c>
      <c r="B788" t="s">
        <v>1849</v>
      </c>
      <c r="C788">
        <v>10</v>
      </c>
      <c r="D788" t="s">
        <v>1447</v>
      </c>
      <c r="E788" t="s">
        <v>1853</v>
      </c>
      <c r="F788" t="s">
        <v>1806</v>
      </c>
      <c r="I788" t="str">
        <f>IF(ISBLANK('Q 5'!H78),"",IF('Q 5'!H78="&lt;please select&gt;","",'Q 5'!H78))</f>
        <v/>
      </c>
    </row>
    <row r="789" spans="1:9" x14ac:dyDescent="0.3">
      <c r="A789" t="s">
        <v>1846</v>
      </c>
      <c r="B789" t="s">
        <v>1849</v>
      </c>
      <c r="C789">
        <v>11</v>
      </c>
      <c r="D789" t="s">
        <v>1447</v>
      </c>
      <c r="E789" t="s">
        <v>1853</v>
      </c>
      <c r="F789" t="s">
        <v>1806</v>
      </c>
      <c r="I789" t="str">
        <f>IF(ISBLANK('Q 5'!H79),"",IF('Q 5'!H79="&lt;please select&gt;","",'Q 5'!H79))</f>
        <v/>
      </c>
    </row>
    <row r="790" spans="1:9" x14ac:dyDescent="0.3">
      <c r="A790" t="s">
        <v>1846</v>
      </c>
      <c r="B790" t="s">
        <v>1849</v>
      </c>
      <c r="C790">
        <v>12</v>
      </c>
      <c r="D790" t="s">
        <v>1447</v>
      </c>
      <c r="E790" t="s">
        <v>1853</v>
      </c>
      <c r="F790" t="s">
        <v>1806</v>
      </c>
      <c r="I790" t="str">
        <f>IF(ISBLANK('Q 5'!H80),"",IF('Q 5'!H80="&lt;please select&gt;","",'Q 5'!H80))</f>
        <v/>
      </c>
    </row>
    <row r="791" spans="1:9" x14ac:dyDescent="0.3">
      <c r="A791" t="s">
        <v>1846</v>
      </c>
      <c r="B791" t="s">
        <v>1849</v>
      </c>
      <c r="C791">
        <v>13</v>
      </c>
      <c r="D791" t="s">
        <v>1447</v>
      </c>
      <c r="E791" t="s">
        <v>1853</v>
      </c>
      <c r="F791" t="s">
        <v>1806</v>
      </c>
      <c r="I791" t="str">
        <f>IF(ISBLANK('Q 5'!H81),"",IF('Q 5'!H81="&lt;please select&gt;","",'Q 5'!H81))</f>
        <v/>
      </c>
    </row>
    <row r="792" spans="1:9" x14ac:dyDescent="0.3">
      <c r="A792" t="s">
        <v>1846</v>
      </c>
      <c r="B792" t="s">
        <v>1849</v>
      </c>
      <c r="C792">
        <v>14</v>
      </c>
      <c r="D792" t="s">
        <v>1447</v>
      </c>
      <c r="E792" t="s">
        <v>1853</v>
      </c>
      <c r="F792" t="s">
        <v>1806</v>
      </c>
      <c r="I792" t="str">
        <f>IF(ISBLANK('Q 5'!H82),"",IF('Q 5'!H82="&lt;please select&gt;","",'Q 5'!H82))</f>
        <v/>
      </c>
    </row>
    <row r="793" spans="1:9" x14ac:dyDescent="0.3">
      <c r="A793" t="s">
        <v>1846</v>
      </c>
      <c r="B793" t="s">
        <v>1849</v>
      </c>
      <c r="C793">
        <v>15</v>
      </c>
      <c r="D793" t="s">
        <v>1447</v>
      </c>
      <c r="E793" t="s">
        <v>1853</v>
      </c>
      <c r="F793" t="s">
        <v>1806</v>
      </c>
      <c r="I793" t="str">
        <f>IF(ISBLANK('Q 5'!H83),"",IF('Q 5'!H83="&lt;please select&gt;","",'Q 5'!H83))</f>
        <v/>
      </c>
    </row>
    <row r="794" spans="1:9" x14ac:dyDescent="0.3">
      <c r="A794" t="s">
        <v>1846</v>
      </c>
      <c r="B794" t="s">
        <v>1849</v>
      </c>
      <c r="C794">
        <v>16</v>
      </c>
      <c r="D794" t="s">
        <v>1447</v>
      </c>
      <c r="E794" t="s">
        <v>1853</v>
      </c>
      <c r="F794" t="s">
        <v>1806</v>
      </c>
      <c r="I794" t="str">
        <f>IF(ISBLANK('Q 5'!H84),"",IF('Q 5'!H84="&lt;please select&gt;","",'Q 5'!H84))</f>
        <v/>
      </c>
    </row>
    <row r="795" spans="1:9" x14ac:dyDescent="0.3">
      <c r="A795" t="s">
        <v>1846</v>
      </c>
      <c r="B795" t="s">
        <v>1849</v>
      </c>
      <c r="C795">
        <v>17</v>
      </c>
      <c r="D795" t="s">
        <v>1447</v>
      </c>
      <c r="E795" t="s">
        <v>1853</v>
      </c>
      <c r="F795" t="s">
        <v>1806</v>
      </c>
      <c r="I795" t="str">
        <f>IF(ISBLANK('Q 5'!H85),"",IF('Q 5'!H85="&lt;please select&gt;","",'Q 5'!H85))</f>
        <v/>
      </c>
    </row>
    <row r="796" spans="1:9" x14ac:dyDescent="0.3">
      <c r="A796" t="s">
        <v>1846</v>
      </c>
      <c r="B796" t="s">
        <v>1849</v>
      </c>
      <c r="C796">
        <v>18</v>
      </c>
      <c r="D796" t="s">
        <v>1447</v>
      </c>
      <c r="E796" t="s">
        <v>1853</v>
      </c>
      <c r="F796" t="s">
        <v>1806</v>
      </c>
      <c r="I796" t="str">
        <f>IF(ISBLANK('Q 5'!H86),"",IF('Q 5'!H86="&lt;please select&gt;","",'Q 5'!H86))</f>
        <v/>
      </c>
    </row>
    <row r="797" spans="1:9" x14ac:dyDescent="0.3">
      <c r="A797" t="s">
        <v>1846</v>
      </c>
      <c r="B797" t="s">
        <v>1849</v>
      </c>
      <c r="C797">
        <v>19</v>
      </c>
      <c r="D797" t="s">
        <v>1447</v>
      </c>
      <c r="E797" t="s">
        <v>1853</v>
      </c>
      <c r="F797" t="s">
        <v>1806</v>
      </c>
      <c r="I797" t="str">
        <f>IF(ISBLANK('Q 5'!H87),"",IF('Q 5'!H87="&lt;please select&gt;","",'Q 5'!H87))</f>
        <v/>
      </c>
    </row>
    <row r="798" spans="1:9" x14ac:dyDescent="0.3">
      <c r="A798" t="s">
        <v>1846</v>
      </c>
      <c r="B798" t="s">
        <v>1849</v>
      </c>
      <c r="C798">
        <v>20</v>
      </c>
      <c r="D798" t="s">
        <v>1447</v>
      </c>
      <c r="E798" t="s">
        <v>1853</v>
      </c>
      <c r="F798" t="s">
        <v>1806</v>
      </c>
      <c r="I798" t="str">
        <f>IF(ISBLANK('Q 5'!H88),"",IF('Q 5'!H88="&lt;please select&gt;","",'Q 5'!H88))</f>
        <v/>
      </c>
    </row>
    <row r="799" spans="1:9" x14ac:dyDescent="0.3">
      <c r="A799" t="s">
        <v>1846</v>
      </c>
      <c r="B799" t="s">
        <v>1849</v>
      </c>
      <c r="C799">
        <v>21</v>
      </c>
      <c r="D799" t="s">
        <v>1447</v>
      </c>
      <c r="E799" t="s">
        <v>1853</v>
      </c>
      <c r="F799" t="s">
        <v>1806</v>
      </c>
      <c r="I799" t="str">
        <f>IF(ISBLANK('Q 5'!H89),"",IF('Q 5'!H89="&lt;please select&gt;","",'Q 5'!H89))</f>
        <v/>
      </c>
    </row>
    <row r="800" spans="1:9" x14ac:dyDescent="0.3">
      <c r="A800" t="s">
        <v>1846</v>
      </c>
      <c r="B800" t="s">
        <v>1849</v>
      </c>
      <c r="C800">
        <v>22</v>
      </c>
      <c r="D800" t="s">
        <v>1447</v>
      </c>
      <c r="E800" t="s">
        <v>1853</v>
      </c>
      <c r="F800" t="s">
        <v>1806</v>
      </c>
      <c r="I800" t="str">
        <f>IF(ISBLANK('Q 5'!H90),"",IF('Q 5'!H90="&lt;please select&gt;","",'Q 5'!H90))</f>
        <v/>
      </c>
    </row>
    <row r="801" spans="1:9" x14ac:dyDescent="0.3">
      <c r="A801" t="s">
        <v>1846</v>
      </c>
      <c r="B801" t="s">
        <v>1849</v>
      </c>
      <c r="C801">
        <v>23</v>
      </c>
      <c r="D801" t="s">
        <v>1447</v>
      </c>
      <c r="E801" t="s">
        <v>1853</v>
      </c>
      <c r="F801" t="s">
        <v>1806</v>
      </c>
      <c r="I801" t="str">
        <f>IF(ISBLANK('Q 5'!H91),"",IF('Q 5'!H91="&lt;please select&gt;","",'Q 5'!H91))</f>
        <v/>
      </c>
    </row>
    <row r="802" spans="1:9" x14ac:dyDescent="0.3">
      <c r="A802" t="s">
        <v>1846</v>
      </c>
      <c r="B802" t="s">
        <v>1849</v>
      </c>
      <c r="C802">
        <v>24</v>
      </c>
      <c r="D802" t="s">
        <v>1447</v>
      </c>
      <c r="E802" t="s">
        <v>1853</v>
      </c>
      <c r="F802" t="s">
        <v>1806</v>
      </c>
      <c r="I802" t="str">
        <f>IF(ISBLANK('Q 5'!H92),"",IF('Q 5'!H92="&lt;please select&gt;","",'Q 5'!H92))</f>
        <v/>
      </c>
    </row>
    <row r="803" spans="1:9" x14ac:dyDescent="0.3">
      <c r="A803" t="s">
        <v>1846</v>
      </c>
      <c r="B803" t="s">
        <v>1849</v>
      </c>
      <c r="C803">
        <v>25</v>
      </c>
      <c r="D803" t="s">
        <v>1447</v>
      </c>
      <c r="E803" t="s">
        <v>1853</v>
      </c>
      <c r="F803" t="s">
        <v>1806</v>
      </c>
      <c r="I803" t="str">
        <f>IF(ISBLANK('Q 5'!H93),"",IF('Q 5'!H93="&lt;please select&gt;","",'Q 5'!H93))</f>
        <v/>
      </c>
    </row>
    <row r="804" spans="1:9" x14ac:dyDescent="0.3">
      <c r="A804" t="s">
        <v>1846</v>
      </c>
      <c r="B804" t="s">
        <v>1849</v>
      </c>
      <c r="C804">
        <v>26</v>
      </c>
      <c r="D804" t="s">
        <v>1447</v>
      </c>
      <c r="E804" t="s">
        <v>1853</v>
      </c>
      <c r="F804" t="s">
        <v>1806</v>
      </c>
      <c r="I804" t="str">
        <f>IF(ISBLANK('Q 5'!H94),"",IF('Q 5'!H94="&lt;please select&gt;","",'Q 5'!H94))</f>
        <v/>
      </c>
    </row>
    <row r="805" spans="1:9" x14ac:dyDescent="0.3">
      <c r="A805" t="s">
        <v>1846</v>
      </c>
      <c r="B805" t="s">
        <v>1849</v>
      </c>
      <c r="C805">
        <v>27</v>
      </c>
      <c r="D805" t="s">
        <v>1447</v>
      </c>
      <c r="E805" t="s">
        <v>1853</v>
      </c>
      <c r="F805" t="s">
        <v>1806</v>
      </c>
      <c r="I805" t="str">
        <f>IF(ISBLANK('Q 5'!H95),"",IF('Q 5'!H95="&lt;please select&gt;","",'Q 5'!H95))</f>
        <v/>
      </c>
    </row>
    <row r="806" spans="1:9" x14ac:dyDescent="0.3">
      <c r="A806" t="s">
        <v>1846</v>
      </c>
      <c r="B806" t="s">
        <v>1849</v>
      </c>
      <c r="C806">
        <v>28</v>
      </c>
      <c r="D806" t="s">
        <v>1447</v>
      </c>
      <c r="E806" t="s">
        <v>1853</v>
      </c>
      <c r="F806" t="s">
        <v>1806</v>
      </c>
      <c r="I806" t="str">
        <f>IF(ISBLANK('Q 5'!H96),"",IF('Q 5'!H96="&lt;please select&gt;","",'Q 5'!H96))</f>
        <v/>
      </c>
    </row>
    <row r="807" spans="1:9" x14ac:dyDescent="0.3">
      <c r="A807" t="s">
        <v>1846</v>
      </c>
      <c r="B807" t="s">
        <v>1849</v>
      </c>
      <c r="C807">
        <v>29</v>
      </c>
      <c r="D807" t="s">
        <v>1447</v>
      </c>
      <c r="E807" t="s">
        <v>1853</v>
      </c>
      <c r="F807" t="s">
        <v>1806</v>
      </c>
      <c r="I807" t="str">
        <f>IF(ISBLANK('Q 5'!H97),"",IF('Q 5'!H97="&lt;please select&gt;","",'Q 5'!H97))</f>
        <v/>
      </c>
    </row>
    <row r="808" spans="1:9" x14ac:dyDescent="0.3">
      <c r="A808" t="s">
        <v>1846</v>
      </c>
      <c r="B808" t="s">
        <v>1849</v>
      </c>
      <c r="C808">
        <v>30</v>
      </c>
      <c r="D808" t="s">
        <v>1447</v>
      </c>
      <c r="E808" t="s">
        <v>1853</v>
      </c>
      <c r="F808" t="s">
        <v>1806</v>
      </c>
      <c r="I808" t="str">
        <f>IF(ISBLANK('Q 5'!H98),"",IF('Q 5'!H98="&lt;please select&gt;","",'Q 5'!H98))</f>
        <v/>
      </c>
    </row>
    <row r="809" spans="1:9" x14ac:dyDescent="0.3">
      <c r="A809" t="s">
        <v>1846</v>
      </c>
      <c r="B809" t="s">
        <v>1849</v>
      </c>
      <c r="C809">
        <v>31</v>
      </c>
      <c r="D809" t="s">
        <v>1447</v>
      </c>
      <c r="E809" t="s">
        <v>1853</v>
      </c>
      <c r="F809" t="s">
        <v>1806</v>
      </c>
      <c r="I809" t="str">
        <f>IF(ISBLANK('Q 5'!H99),"",IF('Q 5'!H99="&lt;please select&gt;","",'Q 5'!H99))</f>
        <v/>
      </c>
    </row>
    <row r="810" spans="1:9" x14ac:dyDescent="0.3">
      <c r="A810" t="s">
        <v>1846</v>
      </c>
      <c r="B810" t="s">
        <v>1849</v>
      </c>
      <c r="C810">
        <v>32</v>
      </c>
      <c r="D810" t="s">
        <v>1447</v>
      </c>
      <c r="E810" t="s">
        <v>1853</v>
      </c>
      <c r="F810" t="s">
        <v>1806</v>
      </c>
      <c r="I810" t="str">
        <f>IF(ISBLANK('Q 5'!H100),"",IF('Q 5'!H100="&lt;please select&gt;","",'Q 5'!H100))</f>
        <v/>
      </c>
    </row>
    <row r="811" spans="1:9" x14ac:dyDescent="0.3">
      <c r="A811" t="s">
        <v>1846</v>
      </c>
      <c r="B811" t="s">
        <v>1849</v>
      </c>
      <c r="C811">
        <v>33</v>
      </c>
      <c r="D811" t="s">
        <v>1447</v>
      </c>
      <c r="E811" t="s">
        <v>1853</v>
      </c>
      <c r="F811" t="s">
        <v>1806</v>
      </c>
      <c r="I811" t="str">
        <f>IF(ISBLANK('Q 5'!H101),"",IF('Q 5'!H101="&lt;please select&gt;","",'Q 5'!H101))</f>
        <v/>
      </c>
    </row>
    <row r="812" spans="1:9" x14ac:dyDescent="0.3">
      <c r="A812" t="s">
        <v>1846</v>
      </c>
      <c r="B812" t="s">
        <v>1849</v>
      </c>
      <c r="C812">
        <v>34</v>
      </c>
      <c r="D812" t="s">
        <v>1447</v>
      </c>
      <c r="E812" t="s">
        <v>1853</v>
      </c>
      <c r="F812" t="s">
        <v>1806</v>
      </c>
      <c r="I812" t="str">
        <f>IF(ISBLANK('Q 5'!H102),"",IF('Q 5'!H102="&lt;please select&gt;","",'Q 5'!H102))</f>
        <v/>
      </c>
    </row>
    <row r="813" spans="1:9" x14ac:dyDescent="0.3">
      <c r="A813" t="s">
        <v>1846</v>
      </c>
      <c r="B813" t="s">
        <v>1849</v>
      </c>
      <c r="C813">
        <v>35</v>
      </c>
      <c r="D813" t="s">
        <v>1447</v>
      </c>
      <c r="E813" t="s">
        <v>1853</v>
      </c>
      <c r="F813" t="s">
        <v>1806</v>
      </c>
      <c r="I813" t="str">
        <f>IF(ISBLANK('Q 5'!H103),"",IF('Q 5'!H103="&lt;please select&gt;","",'Q 5'!H103))</f>
        <v/>
      </c>
    </row>
    <row r="814" spans="1:9" x14ac:dyDescent="0.3">
      <c r="A814" t="s">
        <v>1846</v>
      </c>
      <c r="B814" t="s">
        <v>1849</v>
      </c>
      <c r="C814">
        <v>36</v>
      </c>
      <c r="D814" t="s">
        <v>1447</v>
      </c>
      <c r="E814" t="s">
        <v>1853</v>
      </c>
      <c r="F814" t="s">
        <v>1806</v>
      </c>
      <c r="I814" t="str">
        <f>IF(ISBLANK('Q 5'!H104),"",IF('Q 5'!H104="&lt;please select&gt;","",'Q 5'!H104))</f>
        <v/>
      </c>
    </row>
    <row r="815" spans="1:9" x14ac:dyDescent="0.3">
      <c r="A815" t="s">
        <v>1846</v>
      </c>
      <c r="B815" t="s">
        <v>1849</v>
      </c>
      <c r="C815">
        <v>37</v>
      </c>
      <c r="D815" t="s">
        <v>1447</v>
      </c>
      <c r="E815" t="s">
        <v>1853</v>
      </c>
      <c r="F815" t="s">
        <v>1806</v>
      </c>
      <c r="I815" t="str">
        <f>IF(ISBLANK('Q 5'!H105),"",IF('Q 5'!H105="&lt;please select&gt;","",'Q 5'!H105))</f>
        <v/>
      </c>
    </row>
    <row r="816" spans="1:9" x14ac:dyDescent="0.3">
      <c r="A816" t="s">
        <v>1846</v>
      </c>
      <c r="B816" t="s">
        <v>1849</v>
      </c>
      <c r="C816">
        <v>38</v>
      </c>
      <c r="D816" t="s">
        <v>1447</v>
      </c>
      <c r="E816" t="s">
        <v>1853</v>
      </c>
      <c r="F816" t="s">
        <v>1806</v>
      </c>
      <c r="I816" t="str">
        <f>IF(ISBLANK('Q 5'!H106),"",IF('Q 5'!H106="&lt;please select&gt;","",'Q 5'!H106))</f>
        <v/>
      </c>
    </row>
    <row r="817" spans="1:9" x14ac:dyDescent="0.3">
      <c r="A817" t="s">
        <v>1846</v>
      </c>
      <c r="B817" t="s">
        <v>1849</v>
      </c>
      <c r="C817">
        <v>39</v>
      </c>
      <c r="D817" t="s">
        <v>1447</v>
      </c>
      <c r="E817" t="s">
        <v>1853</v>
      </c>
      <c r="F817" t="s">
        <v>1806</v>
      </c>
      <c r="I817" t="str">
        <f>IF(ISBLANK('Q 5'!H107),"",IF('Q 5'!H107="&lt;please select&gt;","",'Q 5'!H107))</f>
        <v/>
      </c>
    </row>
    <row r="818" spans="1:9" x14ac:dyDescent="0.3">
      <c r="A818" t="s">
        <v>1846</v>
      </c>
      <c r="B818" t="s">
        <v>1849</v>
      </c>
      <c r="C818">
        <v>40</v>
      </c>
      <c r="D818" t="s">
        <v>1447</v>
      </c>
      <c r="E818" t="s">
        <v>1853</v>
      </c>
      <c r="F818" t="s">
        <v>1806</v>
      </c>
      <c r="I818" t="str">
        <f>IF(ISBLANK('Q 5'!H108),"",IF('Q 5'!H108="&lt;please select&gt;","",'Q 5'!H108))</f>
        <v/>
      </c>
    </row>
    <row r="819" spans="1:9" x14ac:dyDescent="0.3">
      <c r="A819" t="s">
        <v>1846</v>
      </c>
      <c r="B819" t="s">
        <v>1849</v>
      </c>
      <c r="C819">
        <v>41</v>
      </c>
      <c r="D819" t="s">
        <v>1447</v>
      </c>
      <c r="E819" t="s">
        <v>1853</v>
      </c>
      <c r="F819" t="s">
        <v>1806</v>
      </c>
      <c r="I819" t="str">
        <f>IF(ISBLANK('Q 5'!H109),"",IF('Q 5'!H109="&lt;please select&gt;","",'Q 5'!H109))</f>
        <v/>
      </c>
    </row>
    <row r="820" spans="1:9" x14ac:dyDescent="0.3">
      <c r="A820" t="s">
        <v>1846</v>
      </c>
      <c r="B820" t="s">
        <v>1849</v>
      </c>
      <c r="C820">
        <v>42</v>
      </c>
      <c r="D820" t="s">
        <v>1447</v>
      </c>
      <c r="E820" t="s">
        <v>1853</v>
      </c>
      <c r="F820" t="s">
        <v>1806</v>
      </c>
      <c r="I820" t="str">
        <f>IF(ISBLANK('Q 5'!H110),"",IF('Q 5'!H110="&lt;please select&gt;","",'Q 5'!H110))</f>
        <v/>
      </c>
    </row>
    <row r="821" spans="1:9" x14ac:dyDescent="0.3">
      <c r="A821" t="s">
        <v>1846</v>
      </c>
      <c r="B821" t="s">
        <v>1849</v>
      </c>
      <c r="C821">
        <v>43</v>
      </c>
      <c r="D821" t="s">
        <v>1447</v>
      </c>
      <c r="E821" t="s">
        <v>1853</v>
      </c>
      <c r="F821" t="s">
        <v>1806</v>
      </c>
      <c r="I821" t="str">
        <f>IF(ISBLANK('Q 5'!H111),"",IF('Q 5'!H111="&lt;please select&gt;","",'Q 5'!H111))</f>
        <v/>
      </c>
    </row>
    <row r="822" spans="1:9" x14ac:dyDescent="0.3">
      <c r="A822" t="s">
        <v>1846</v>
      </c>
      <c r="B822" t="s">
        <v>1849</v>
      </c>
      <c r="C822">
        <v>44</v>
      </c>
      <c r="D822" t="s">
        <v>1447</v>
      </c>
      <c r="E822" t="s">
        <v>1853</v>
      </c>
      <c r="F822" t="s">
        <v>1806</v>
      </c>
      <c r="I822" t="str">
        <f>IF(ISBLANK('Q 5'!H112),"",IF('Q 5'!H112="&lt;please select&gt;","",'Q 5'!H112))</f>
        <v/>
      </c>
    </row>
    <row r="823" spans="1:9" x14ac:dyDescent="0.3">
      <c r="A823" t="s">
        <v>1846</v>
      </c>
      <c r="B823" t="s">
        <v>1849</v>
      </c>
      <c r="C823">
        <v>45</v>
      </c>
      <c r="D823" t="s">
        <v>1447</v>
      </c>
      <c r="E823" t="s">
        <v>1853</v>
      </c>
      <c r="F823" t="s">
        <v>1806</v>
      </c>
      <c r="I823" t="str">
        <f>IF(ISBLANK('Q 5'!H113),"",IF('Q 5'!H113="&lt;please select&gt;","",'Q 5'!H113))</f>
        <v/>
      </c>
    </row>
    <row r="824" spans="1:9" x14ac:dyDescent="0.3">
      <c r="A824" t="s">
        <v>1846</v>
      </c>
      <c r="B824" t="s">
        <v>1849</v>
      </c>
      <c r="C824">
        <v>46</v>
      </c>
      <c r="D824" t="s">
        <v>1447</v>
      </c>
      <c r="E824" t="s">
        <v>1853</v>
      </c>
      <c r="F824" t="s">
        <v>1806</v>
      </c>
      <c r="I824" t="str">
        <f>IF(ISBLANK('Q 5'!H114),"",IF('Q 5'!H114="&lt;please select&gt;","",'Q 5'!H114))</f>
        <v/>
      </c>
    </row>
    <row r="825" spans="1:9" x14ac:dyDescent="0.3">
      <c r="A825" t="s">
        <v>1846</v>
      </c>
      <c r="B825" t="s">
        <v>1849</v>
      </c>
      <c r="C825">
        <v>47</v>
      </c>
      <c r="D825" t="s">
        <v>1447</v>
      </c>
      <c r="E825" t="s">
        <v>1853</v>
      </c>
      <c r="F825" t="s">
        <v>1806</v>
      </c>
      <c r="I825" t="str">
        <f>IF(ISBLANK('Q 5'!H115),"",IF('Q 5'!H115="&lt;please select&gt;","",'Q 5'!H115))</f>
        <v/>
      </c>
    </row>
    <row r="826" spans="1:9" x14ac:dyDescent="0.3">
      <c r="A826" t="s">
        <v>1846</v>
      </c>
      <c r="B826" t="s">
        <v>1849</v>
      </c>
      <c r="C826">
        <v>48</v>
      </c>
      <c r="D826" t="s">
        <v>1447</v>
      </c>
      <c r="E826" t="s">
        <v>1853</v>
      </c>
      <c r="F826" t="s">
        <v>1806</v>
      </c>
      <c r="I826" t="str">
        <f>IF(ISBLANK('Q 5'!H116),"",IF('Q 5'!H116="&lt;please select&gt;","",'Q 5'!H116))</f>
        <v/>
      </c>
    </row>
    <row r="827" spans="1:9" x14ac:dyDescent="0.3">
      <c r="A827" t="s">
        <v>1846</v>
      </c>
      <c r="B827" t="s">
        <v>1849</v>
      </c>
      <c r="C827">
        <v>49</v>
      </c>
      <c r="D827" t="s">
        <v>1447</v>
      </c>
      <c r="E827" t="s">
        <v>1853</v>
      </c>
      <c r="F827" t="s">
        <v>1806</v>
      </c>
      <c r="I827" t="str">
        <f>IF(ISBLANK('Q 5'!H117),"",IF('Q 5'!H117="&lt;please select&gt;","",'Q 5'!H117))</f>
        <v/>
      </c>
    </row>
    <row r="828" spans="1:9" x14ac:dyDescent="0.3">
      <c r="A828" t="s">
        <v>1846</v>
      </c>
      <c r="B828" t="s">
        <v>1849</v>
      </c>
      <c r="C828">
        <v>50</v>
      </c>
      <c r="D828" t="s">
        <v>1447</v>
      </c>
      <c r="E828" t="s">
        <v>1853</v>
      </c>
      <c r="F828" t="s">
        <v>1806</v>
      </c>
      <c r="I828" t="str">
        <f>IF(ISBLANK('Q 5'!H118),"",IF('Q 5'!H118="&lt;please select&gt;","",'Q 5'!H118))</f>
        <v/>
      </c>
    </row>
    <row r="829" spans="1:9" x14ac:dyDescent="0.3">
      <c r="A829" t="s">
        <v>1846</v>
      </c>
      <c r="B829" t="s">
        <v>1849</v>
      </c>
      <c r="C829">
        <v>51</v>
      </c>
      <c r="D829" t="s">
        <v>1447</v>
      </c>
      <c r="E829" t="s">
        <v>1853</v>
      </c>
      <c r="F829" t="s">
        <v>1806</v>
      </c>
      <c r="I829" t="str">
        <f>IF(ISBLANK('Q 5'!H119),"",IF('Q 5'!H119="&lt;please select&gt;","",'Q 5'!H119))</f>
        <v/>
      </c>
    </row>
    <row r="830" spans="1:9" x14ac:dyDescent="0.3">
      <c r="A830" t="s">
        <v>1846</v>
      </c>
      <c r="B830" t="s">
        <v>1849</v>
      </c>
      <c r="C830">
        <v>52</v>
      </c>
      <c r="D830" t="s">
        <v>1447</v>
      </c>
      <c r="E830" t="s">
        <v>1853</v>
      </c>
      <c r="F830" t="s">
        <v>1806</v>
      </c>
      <c r="I830" t="str">
        <f>IF(ISBLANK('Q 5'!H120),"",IF('Q 5'!H120="&lt;please select&gt;","",'Q 5'!H120))</f>
        <v/>
      </c>
    </row>
    <row r="831" spans="1:9" x14ac:dyDescent="0.3">
      <c r="A831" t="s">
        <v>1846</v>
      </c>
      <c r="B831" t="s">
        <v>1849</v>
      </c>
      <c r="C831">
        <v>53</v>
      </c>
      <c r="D831" t="s">
        <v>1447</v>
      </c>
      <c r="E831" t="s">
        <v>1853</v>
      </c>
      <c r="F831" t="s">
        <v>1806</v>
      </c>
      <c r="I831" t="str">
        <f>IF(ISBLANK('Q 5'!H121),"",IF('Q 5'!H121="&lt;please select&gt;","",'Q 5'!H121))</f>
        <v/>
      </c>
    </row>
    <row r="832" spans="1:9" x14ac:dyDescent="0.3">
      <c r="A832" t="s">
        <v>1846</v>
      </c>
      <c r="B832" t="s">
        <v>1849</v>
      </c>
      <c r="C832">
        <v>54</v>
      </c>
      <c r="D832" t="s">
        <v>1447</v>
      </c>
      <c r="E832" t="s">
        <v>1853</v>
      </c>
      <c r="F832" t="s">
        <v>1806</v>
      </c>
      <c r="I832" t="str">
        <f>IF(ISBLANK('Q 5'!H122),"",IF('Q 5'!H122="&lt;please select&gt;","",'Q 5'!H122))</f>
        <v/>
      </c>
    </row>
    <row r="833" spans="1:9" x14ac:dyDescent="0.3">
      <c r="A833" t="s">
        <v>1846</v>
      </c>
      <c r="B833" t="s">
        <v>1849</v>
      </c>
      <c r="C833">
        <v>55</v>
      </c>
      <c r="D833" t="s">
        <v>1447</v>
      </c>
      <c r="E833" t="s">
        <v>1853</v>
      </c>
      <c r="F833" t="s">
        <v>1806</v>
      </c>
      <c r="I833" t="str">
        <f>IF(ISBLANK('Q 5'!H123),"",IF('Q 5'!H123="&lt;please select&gt;","",'Q 5'!H123))</f>
        <v/>
      </c>
    </row>
    <row r="834" spans="1:9" x14ac:dyDescent="0.3">
      <c r="A834" t="s">
        <v>1846</v>
      </c>
      <c r="B834" t="s">
        <v>1849</v>
      </c>
      <c r="C834">
        <v>56</v>
      </c>
      <c r="D834" t="s">
        <v>1447</v>
      </c>
      <c r="E834" t="s">
        <v>1853</v>
      </c>
      <c r="F834" t="s">
        <v>1806</v>
      </c>
      <c r="I834" t="str">
        <f>IF(ISBLANK('Q 5'!H124),"",IF('Q 5'!H124="&lt;please select&gt;","",'Q 5'!H124))</f>
        <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
      </c>
    </row>
    <row r="838" spans="1:9" x14ac:dyDescent="0.3">
      <c r="A838" t="s">
        <v>1846</v>
      </c>
      <c r="B838" t="s">
        <v>1849</v>
      </c>
      <c r="C838">
        <v>60</v>
      </c>
      <c r="D838" t="s">
        <v>1447</v>
      </c>
      <c r="E838" t="s">
        <v>1853</v>
      </c>
      <c r="F838" t="s">
        <v>1806</v>
      </c>
      <c r="I838" t="str">
        <f>IF(ISBLANK('Q 5'!H128),"",IF('Q 5'!H128="&lt;please select&gt;","",'Q 5'!H128))</f>
        <v/>
      </c>
    </row>
    <row r="839" spans="1:9" x14ac:dyDescent="0.3">
      <c r="A839" t="s">
        <v>1846</v>
      </c>
      <c r="B839" t="s">
        <v>1849</v>
      </c>
      <c r="C839">
        <v>61</v>
      </c>
      <c r="D839" t="s">
        <v>1447</v>
      </c>
      <c r="E839" t="s">
        <v>1853</v>
      </c>
      <c r="F839" t="s">
        <v>1806</v>
      </c>
      <c r="I839" t="str">
        <f>IF(ISBLANK('Q 5'!H129),"",IF('Q 5'!H129="&lt;please select&gt;","",'Q 5'!H129))</f>
        <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
      </c>
    </row>
    <row r="910" spans="1:9" x14ac:dyDescent="0.3">
      <c r="A910" t="s">
        <v>1846</v>
      </c>
      <c r="B910" t="s">
        <v>1849</v>
      </c>
      <c r="C910">
        <v>2</v>
      </c>
      <c r="D910" t="s">
        <v>1447</v>
      </c>
      <c r="E910" t="s">
        <v>1854</v>
      </c>
      <c r="F910" t="s">
        <v>1806</v>
      </c>
      <c r="I910" t="str">
        <f>IF(ISBLANK('Q 5'!I70),"",IF('Q 5'!I70="&lt;please select&gt;","",'Q 5'!I70))</f>
        <v/>
      </c>
    </row>
    <row r="911" spans="1:9" x14ac:dyDescent="0.3">
      <c r="A911" t="s">
        <v>1846</v>
      </c>
      <c r="B911" t="s">
        <v>1849</v>
      </c>
      <c r="C911">
        <v>3</v>
      </c>
      <c r="D911" t="s">
        <v>1447</v>
      </c>
      <c r="E911" t="s">
        <v>1854</v>
      </c>
      <c r="F911" t="s">
        <v>1806</v>
      </c>
      <c r="I911" t="str">
        <f>IF(ISBLANK('Q 5'!I71),"",IF('Q 5'!I71="&lt;please select&gt;","",'Q 5'!I71))</f>
        <v/>
      </c>
    </row>
    <row r="912" spans="1:9" x14ac:dyDescent="0.3">
      <c r="A912" t="s">
        <v>1846</v>
      </c>
      <c r="B912" t="s">
        <v>1849</v>
      </c>
      <c r="C912">
        <v>4</v>
      </c>
      <c r="D912" t="s">
        <v>1447</v>
      </c>
      <c r="E912" t="s">
        <v>1854</v>
      </c>
      <c r="F912" t="s">
        <v>1806</v>
      </c>
      <c r="I912" t="str">
        <f>IF(ISBLANK('Q 5'!I72),"",IF('Q 5'!I72="&lt;please select&gt;","",'Q 5'!I72))</f>
        <v>563882.9805</v>
      </c>
    </row>
    <row r="913" spans="1:9" x14ac:dyDescent="0.3">
      <c r="A913" t="s">
        <v>1846</v>
      </c>
      <c r="B913" t="s">
        <v>1849</v>
      </c>
      <c r="C913">
        <v>5</v>
      </c>
      <c r="D913" t="s">
        <v>1447</v>
      </c>
      <c r="E913" t="s">
        <v>1854</v>
      </c>
      <c r="F913" t="s">
        <v>1806</v>
      </c>
      <c r="I913" t="str">
        <f>IF(ISBLANK('Q 5'!I73),"",IF('Q 5'!I73="&lt;please select&gt;","",'Q 5'!I73))</f>
        <v>949.30586</v>
      </c>
    </row>
    <row r="914" spans="1:9" x14ac:dyDescent="0.3">
      <c r="A914" t="s">
        <v>1846</v>
      </c>
      <c r="B914" t="s">
        <v>1849</v>
      </c>
      <c r="C914">
        <v>6</v>
      </c>
      <c r="D914" t="s">
        <v>1447</v>
      </c>
      <c r="E914" t="s">
        <v>1854</v>
      </c>
      <c r="F914" t="s">
        <v>1806</v>
      </c>
      <c r="I914" t="str">
        <f>IF(ISBLANK('Q 5'!I74),"",IF('Q 5'!I74="&lt;please select&gt;","",'Q 5'!I74))</f>
        <v>8183.247024</v>
      </c>
    </row>
    <row r="915" spans="1:9" x14ac:dyDescent="0.3">
      <c r="A915" t="s">
        <v>1846</v>
      </c>
      <c r="B915" t="s">
        <v>1849</v>
      </c>
      <c r="C915">
        <v>7</v>
      </c>
      <c r="D915" t="s">
        <v>1447</v>
      </c>
      <c r="E915" t="s">
        <v>1854</v>
      </c>
      <c r="F915" t="s">
        <v>1806</v>
      </c>
      <c r="I915" t="str">
        <f>IF(ISBLANK('Q 5'!I75),"",IF('Q 5'!I75="&lt;please select&gt;","",'Q 5'!I75))</f>
        <v/>
      </c>
    </row>
    <row r="916" spans="1:9" x14ac:dyDescent="0.3">
      <c r="A916" t="s">
        <v>1846</v>
      </c>
      <c r="B916" t="s">
        <v>1849</v>
      </c>
      <c r="C916">
        <v>8</v>
      </c>
      <c r="D916" t="s">
        <v>1447</v>
      </c>
      <c r="E916" t="s">
        <v>1854</v>
      </c>
      <c r="F916" t="s">
        <v>1806</v>
      </c>
      <c r="I916" t="str">
        <f>IF(ISBLANK('Q 5'!I76),"",IF('Q 5'!I76="&lt;please select&gt;","",'Q 5'!I76))</f>
        <v/>
      </c>
    </row>
    <row r="917" spans="1:9" x14ac:dyDescent="0.3">
      <c r="A917" t="s">
        <v>1846</v>
      </c>
      <c r="B917" t="s">
        <v>1849</v>
      </c>
      <c r="C917">
        <v>9</v>
      </c>
      <c r="D917" t="s">
        <v>1447</v>
      </c>
      <c r="E917" t="s">
        <v>1854</v>
      </c>
      <c r="F917" t="s">
        <v>1806</v>
      </c>
      <c r="I917" t="str">
        <f>IF(ISBLANK('Q 5'!I77),"",IF('Q 5'!I77="&lt;please select&gt;","",'Q 5'!I77))</f>
        <v/>
      </c>
    </row>
    <row r="918" spans="1:9" x14ac:dyDescent="0.3">
      <c r="A918" t="s">
        <v>1846</v>
      </c>
      <c r="B918" t="s">
        <v>1849</v>
      </c>
      <c r="C918">
        <v>10</v>
      </c>
      <c r="D918" t="s">
        <v>1447</v>
      </c>
      <c r="E918" t="s">
        <v>1854</v>
      </c>
      <c r="F918" t="s">
        <v>1806</v>
      </c>
      <c r="I918" t="str">
        <f>IF(ISBLANK('Q 5'!I78),"",IF('Q 5'!I78="&lt;please select&gt;","",'Q 5'!I78))</f>
        <v/>
      </c>
    </row>
    <row r="919" spans="1:9" x14ac:dyDescent="0.3">
      <c r="A919" t="s">
        <v>1846</v>
      </c>
      <c r="B919" t="s">
        <v>1849</v>
      </c>
      <c r="C919">
        <v>11</v>
      </c>
      <c r="D919" t="s">
        <v>1447</v>
      </c>
      <c r="E919" t="s">
        <v>1854</v>
      </c>
      <c r="F919" t="s">
        <v>1806</v>
      </c>
      <c r="I919" t="str">
        <f>IF(ISBLANK('Q 5'!I79),"",IF('Q 5'!I79="&lt;please select&gt;","",'Q 5'!I79))</f>
        <v/>
      </c>
    </row>
    <row r="920" spans="1:9" x14ac:dyDescent="0.3">
      <c r="A920" t="s">
        <v>1846</v>
      </c>
      <c r="B920" t="s">
        <v>1849</v>
      </c>
      <c r="C920">
        <v>12</v>
      </c>
      <c r="D920" t="s">
        <v>1447</v>
      </c>
      <c r="E920" t="s">
        <v>1854</v>
      </c>
      <c r="F920" t="s">
        <v>1806</v>
      </c>
      <c r="I920" t="str">
        <f>IF(ISBLANK('Q 5'!I80),"",IF('Q 5'!I80="&lt;please select&gt;","",'Q 5'!I80))</f>
        <v/>
      </c>
    </row>
    <row r="921" spans="1:9" x14ac:dyDescent="0.3">
      <c r="A921" t="s">
        <v>1846</v>
      </c>
      <c r="B921" t="s">
        <v>1849</v>
      </c>
      <c r="C921">
        <v>13</v>
      </c>
      <c r="D921" t="s">
        <v>1447</v>
      </c>
      <c r="E921" t="s">
        <v>1854</v>
      </c>
      <c r="F921" t="s">
        <v>1806</v>
      </c>
      <c r="I921" t="str">
        <f>IF(ISBLANK('Q 5'!I81),"",IF('Q 5'!I81="&lt;please select&gt;","",'Q 5'!I81))</f>
        <v/>
      </c>
    </row>
    <row r="922" spans="1:9" x14ac:dyDescent="0.3">
      <c r="A922" t="s">
        <v>1846</v>
      </c>
      <c r="B922" t="s">
        <v>1849</v>
      </c>
      <c r="C922">
        <v>14</v>
      </c>
      <c r="D922" t="s">
        <v>1447</v>
      </c>
      <c r="E922" t="s">
        <v>1854</v>
      </c>
      <c r="F922" t="s">
        <v>1806</v>
      </c>
      <c r="I922" t="str">
        <f>IF(ISBLANK('Q 5'!I82),"",IF('Q 5'!I82="&lt;please select&gt;","",'Q 5'!I82))</f>
        <v/>
      </c>
    </row>
    <row r="923" spans="1:9" x14ac:dyDescent="0.3">
      <c r="A923" t="s">
        <v>1846</v>
      </c>
      <c r="B923" t="s">
        <v>1849</v>
      </c>
      <c r="C923">
        <v>15</v>
      </c>
      <c r="D923" t="s">
        <v>1447</v>
      </c>
      <c r="E923" t="s">
        <v>1854</v>
      </c>
      <c r="F923" t="s">
        <v>1806</v>
      </c>
      <c r="I923" t="str">
        <f>IF(ISBLANK('Q 5'!I83),"",IF('Q 5'!I83="&lt;please select&gt;","",'Q 5'!I83))</f>
        <v/>
      </c>
    </row>
    <row r="924" spans="1:9" x14ac:dyDescent="0.3">
      <c r="A924" t="s">
        <v>1846</v>
      </c>
      <c r="B924" t="s">
        <v>1849</v>
      </c>
      <c r="C924">
        <v>16</v>
      </c>
      <c r="D924" t="s">
        <v>1447</v>
      </c>
      <c r="E924" t="s">
        <v>1854</v>
      </c>
      <c r="F924" t="s">
        <v>1806</v>
      </c>
      <c r="I924" t="str">
        <f>IF(ISBLANK('Q 5'!I84),"",IF('Q 5'!I84="&lt;please select&gt;","",'Q 5'!I84))</f>
        <v/>
      </c>
    </row>
    <row r="925" spans="1:9" x14ac:dyDescent="0.3">
      <c r="A925" t="s">
        <v>1846</v>
      </c>
      <c r="B925" t="s">
        <v>1849</v>
      </c>
      <c r="C925">
        <v>17</v>
      </c>
      <c r="D925" t="s">
        <v>1447</v>
      </c>
      <c r="E925" t="s">
        <v>1854</v>
      </c>
      <c r="F925" t="s">
        <v>1806</v>
      </c>
      <c r="I925" t="str">
        <f>IF(ISBLANK('Q 5'!I85),"",IF('Q 5'!I85="&lt;please select&gt;","",'Q 5'!I85))</f>
        <v/>
      </c>
    </row>
    <row r="926" spans="1:9" x14ac:dyDescent="0.3">
      <c r="A926" t="s">
        <v>1846</v>
      </c>
      <c r="B926" t="s">
        <v>1849</v>
      </c>
      <c r="C926">
        <v>18</v>
      </c>
      <c r="D926" t="s">
        <v>1447</v>
      </c>
      <c r="E926" t="s">
        <v>1854</v>
      </c>
      <c r="F926" t="s">
        <v>1806</v>
      </c>
      <c r="I926" t="str">
        <f>IF(ISBLANK('Q 5'!I86),"",IF('Q 5'!I86="&lt;please select&gt;","",'Q 5'!I86))</f>
        <v/>
      </c>
    </row>
    <row r="927" spans="1:9" x14ac:dyDescent="0.3">
      <c r="A927" t="s">
        <v>1846</v>
      </c>
      <c r="B927" t="s">
        <v>1849</v>
      </c>
      <c r="C927">
        <v>19</v>
      </c>
      <c r="D927" t="s">
        <v>1447</v>
      </c>
      <c r="E927" t="s">
        <v>1854</v>
      </c>
      <c r="F927" t="s">
        <v>1806</v>
      </c>
      <c r="I927" t="str">
        <f>IF(ISBLANK('Q 5'!I87),"",IF('Q 5'!I87="&lt;please select&gt;","",'Q 5'!I87))</f>
        <v/>
      </c>
    </row>
    <row r="928" spans="1:9" x14ac:dyDescent="0.3">
      <c r="A928" t="s">
        <v>1846</v>
      </c>
      <c r="B928" t="s">
        <v>1849</v>
      </c>
      <c r="C928">
        <v>20</v>
      </c>
      <c r="D928" t="s">
        <v>1447</v>
      </c>
      <c r="E928" t="s">
        <v>1854</v>
      </c>
      <c r="F928" t="s">
        <v>1806</v>
      </c>
      <c r="I928" t="str">
        <f>IF(ISBLANK('Q 5'!I88),"",IF('Q 5'!I88="&lt;please select&gt;","",'Q 5'!I88))</f>
        <v/>
      </c>
    </row>
    <row r="929" spans="1:9" x14ac:dyDescent="0.3">
      <c r="A929" t="s">
        <v>1846</v>
      </c>
      <c r="B929" t="s">
        <v>1849</v>
      </c>
      <c r="C929">
        <v>21</v>
      </c>
      <c r="D929" t="s">
        <v>1447</v>
      </c>
      <c r="E929" t="s">
        <v>1854</v>
      </c>
      <c r="F929" t="s">
        <v>1806</v>
      </c>
      <c r="I929" t="str">
        <f>IF(ISBLANK('Q 5'!I89),"",IF('Q 5'!I89="&lt;please select&gt;","",'Q 5'!I89))</f>
        <v/>
      </c>
    </row>
    <row r="930" spans="1:9" x14ac:dyDescent="0.3">
      <c r="A930" t="s">
        <v>1846</v>
      </c>
      <c r="B930" t="s">
        <v>1849</v>
      </c>
      <c r="C930">
        <v>22</v>
      </c>
      <c r="D930" t="s">
        <v>1447</v>
      </c>
      <c r="E930" t="s">
        <v>1854</v>
      </c>
      <c r="F930" t="s">
        <v>1806</v>
      </c>
      <c r="I930" t="str">
        <f>IF(ISBLANK('Q 5'!I90),"",IF('Q 5'!I90="&lt;please select&gt;","",'Q 5'!I90))</f>
        <v/>
      </c>
    </row>
    <row r="931" spans="1:9" x14ac:dyDescent="0.3">
      <c r="A931" t="s">
        <v>1846</v>
      </c>
      <c r="B931" t="s">
        <v>1849</v>
      </c>
      <c r="C931">
        <v>23</v>
      </c>
      <c r="D931" t="s">
        <v>1447</v>
      </c>
      <c r="E931" t="s">
        <v>1854</v>
      </c>
      <c r="F931" t="s">
        <v>1806</v>
      </c>
      <c r="I931" t="str">
        <f>IF(ISBLANK('Q 5'!I91),"",IF('Q 5'!I91="&lt;please select&gt;","",'Q 5'!I91))</f>
        <v/>
      </c>
    </row>
    <row r="932" spans="1:9" x14ac:dyDescent="0.3">
      <c r="A932" t="s">
        <v>1846</v>
      </c>
      <c r="B932" t="s">
        <v>1849</v>
      </c>
      <c r="C932">
        <v>24</v>
      </c>
      <c r="D932" t="s">
        <v>1447</v>
      </c>
      <c r="E932" t="s">
        <v>1854</v>
      </c>
      <c r="F932" t="s">
        <v>1806</v>
      </c>
      <c r="I932" t="str">
        <f>IF(ISBLANK('Q 5'!I92),"",IF('Q 5'!I92="&lt;please select&gt;","",'Q 5'!I92))</f>
        <v/>
      </c>
    </row>
    <row r="933" spans="1:9" x14ac:dyDescent="0.3">
      <c r="A933" t="s">
        <v>1846</v>
      </c>
      <c r="B933" t="s">
        <v>1849</v>
      </c>
      <c r="C933">
        <v>25</v>
      </c>
      <c r="D933" t="s">
        <v>1447</v>
      </c>
      <c r="E933" t="s">
        <v>1854</v>
      </c>
      <c r="F933" t="s">
        <v>1806</v>
      </c>
      <c r="I933" t="str">
        <f>IF(ISBLANK('Q 5'!I93),"",IF('Q 5'!I93="&lt;please select&gt;","",'Q 5'!I93))</f>
        <v/>
      </c>
    </row>
    <row r="934" spans="1:9" x14ac:dyDescent="0.3">
      <c r="A934" t="s">
        <v>1846</v>
      </c>
      <c r="B934" t="s">
        <v>1849</v>
      </c>
      <c r="C934">
        <v>26</v>
      </c>
      <c r="D934" t="s">
        <v>1447</v>
      </c>
      <c r="E934" t="s">
        <v>1854</v>
      </c>
      <c r="F934" t="s">
        <v>1806</v>
      </c>
      <c r="I934" t="str">
        <f>IF(ISBLANK('Q 5'!I94),"",IF('Q 5'!I94="&lt;please select&gt;","",'Q 5'!I94))</f>
        <v/>
      </c>
    </row>
    <row r="935" spans="1:9" x14ac:dyDescent="0.3">
      <c r="A935" t="s">
        <v>1846</v>
      </c>
      <c r="B935" t="s">
        <v>1849</v>
      </c>
      <c r="C935">
        <v>27</v>
      </c>
      <c r="D935" t="s">
        <v>1447</v>
      </c>
      <c r="E935" t="s">
        <v>1854</v>
      </c>
      <c r="F935" t="s">
        <v>1806</v>
      </c>
      <c r="I935" t="str">
        <f>IF(ISBLANK('Q 5'!I95),"",IF('Q 5'!I95="&lt;please select&gt;","",'Q 5'!I95))</f>
        <v/>
      </c>
    </row>
    <row r="936" spans="1:9" x14ac:dyDescent="0.3">
      <c r="A936" t="s">
        <v>1846</v>
      </c>
      <c r="B936" t="s">
        <v>1849</v>
      </c>
      <c r="C936">
        <v>28</v>
      </c>
      <c r="D936" t="s">
        <v>1447</v>
      </c>
      <c r="E936" t="s">
        <v>1854</v>
      </c>
      <c r="F936" t="s">
        <v>1806</v>
      </c>
      <c r="I936" t="str">
        <f>IF(ISBLANK('Q 5'!I96),"",IF('Q 5'!I96="&lt;please select&gt;","",'Q 5'!I96))</f>
        <v/>
      </c>
    </row>
    <row r="937" spans="1:9" x14ac:dyDescent="0.3">
      <c r="A937" t="s">
        <v>1846</v>
      </c>
      <c r="B937" t="s">
        <v>1849</v>
      </c>
      <c r="C937">
        <v>29</v>
      </c>
      <c r="D937" t="s">
        <v>1447</v>
      </c>
      <c r="E937" t="s">
        <v>1854</v>
      </c>
      <c r="F937" t="s">
        <v>1806</v>
      </c>
      <c r="I937" t="str">
        <f>IF(ISBLANK('Q 5'!I97),"",IF('Q 5'!I97="&lt;please select&gt;","",'Q 5'!I97))</f>
        <v/>
      </c>
    </row>
    <row r="938" spans="1:9" x14ac:dyDescent="0.3">
      <c r="A938" t="s">
        <v>1846</v>
      </c>
      <c r="B938" t="s">
        <v>1849</v>
      </c>
      <c r="C938">
        <v>30</v>
      </c>
      <c r="D938" t="s">
        <v>1447</v>
      </c>
      <c r="E938" t="s">
        <v>1854</v>
      </c>
      <c r="F938" t="s">
        <v>1806</v>
      </c>
      <c r="I938" t="str">
        <f>IF(ISBLANK('Q 5'!I98),"",IF('Q 5'!I98="&lt;please select&gt;","",'Q 5'!I98))</f>
        <v/>
      </c>
    </row>
    <row r="939" spans="1:9" x14ac:dyDescent="0.3">
      <c r="A939" t="s">
        <v>1846</v>
      </c>
      <c r="B939" t="s">
        <v>1849</v>
      </c>
      <c r="C939">
        <v>31</v>
      </c>
      <c r="D939" t="s">
        <v>1447</v>
      </c>
      <c r="E939" t="s">
        <v>1854</v>
      </c>
      <c r="F939" t="s">
        <v>1806</v>
      </c>
      <c r="I939" t="str">
        <f>IF(ISBLANK('Q 5'!I99),"",IF('Q 5'!I99="&lt;please select&gt;","",'Q 5'!I99))</f>
        <v/>
      </c>
    </row>
    <row r="940" spans="1:9" x14ac:dyDescent="0.3">
      <c r="A940" t="s">
        <v>1846</v>
      </c>
      <c r="B940" t="s">
        <v>1849</v>
      </c>
      <c r="C940">
        <v>32</v>
      </c>
      <c r="D940" t="s">
        <v>1447</v>
      </c>
      <c r="E940" t="s">
        <v>1854</v>
      </c>
      <c r="F940" t="s">
        <v>1806</v>
      </c>
      <c r="I940" t="str">
        <f>IF(ISBLANK('Q 5'!I100),"",IF('Q 5'!I100="&lt;please select&gt;","",'Q 5'!I100))</f>
        <v/>
      </c>
    </row>
    <row r="941" spans="1:9" x14ac:dyDescent="0.3">
      <c r="A941" t="s">
        <v>1846</v>
      </c>
      <c r="B941" t="s">
        <v>1849</v>
      </c>
      <c r="C941">
        <v>33</v>
      </c>
      <c r="D941" t="s">
        <v>1447</v>
      </c>
      <c r="E941" t="s">
        <v>1854</v>
      </c>
      <c r="F941" t="s">
        <v>1806</v>
      </c>
      <c r="I941" t="str">
        <f>IF(ISBLANK('Q 5'!I101),"",IF('Q 5'!I101="&lt;please select&gt;","",'Q 5'!I101))</f>
        <v/>
      </c>
    </row>
    <row r="942" spans="1:9" x14ac:dyDescent="0.3">
      <c r="A942" t="s">
        <v>1846</v>
      </c>
      <c r="B942" t="s">
        <v>1849</v>
      </c>
      <c r="C942">
        <v>34</v>
      </c>
      <c r="D942" t="s">
        <v>1447</v>
      </c>
      <c r="E942" t="s">
        <v>1854</v>
      </c>
      <c r="F942" t="s">
        <v>1806</v>
      </c>
      <c r="I942" t="str">
        <f>IF(ISBLANK('Q 5'!I102),"",IF('Q 5'!I102="&lt;please select&gt;","",'Q 5'!I102))</f>
        <v/>
      </c>
    </row>
    <row r="943" spans="1:9" x14ac:dyDescent="0.3">
      <c r="A943" t="s">
        <v>1846</v>
      </c>
      <c r="B943" t="s">
        <v>1849</v>
      </c>
      <c r="C943">
        <v>35</v>
      </c>
      <c r="D943" t="s">
        <v>1447</v>
      </c>
      <c r="E943" t="s">
        <v>1854</v>
      </c>
      <c r="F943" t="s">
        <v>1806</v>
      </c>
      <c r="I943" t="str">
        <f>IF(ISBLANK('Q 5'!I103),"",IF('Q 5'!I103="&lt;please select&gt;","",'Q 5'!I103))</f>
        <v/>
      </c>
    </row>
    <row r="944" spans="1:9" x14ac:dyDescent="0.3">
      <c r="A944" t="s">
        <v>1846</v>
      </c>
      <c r="B944" t="s">
        <v>1849</v>
      </c>
      <c r="C944">
        <v>36</v>
      </c>
      <c r="D944" t="s">
        <v>1447</v>
      </c>
      <c r="E944" t="s">
        <v>1854</v>
      </c>
      <c r="F944" t="s">
        <v>1806</v>
      </c>
      <c r="I944" t="str">
        <f>IF(ISBLANK('Q 5'!I104),"",IF('Q 5'!I104="&lt;please select&gt;","",'Q 5'!I104))</f>
        <v/>
      </c>
    </row>
    <row r="945" spans="1:9" x14ac:dyDescent="0.3">
      <c r="A945" t="s">
        <v>1846</v>
      </c>
      <c r="B945" t="s">
        <v>1849</v>
      </c>
      <c r="C945">
        <v>37</v>
      </c>
      <c r="D945" t="s">
        <v>1447</v>
      </c>
      <c r="E945" t="s">
        <v>1854</v>
      </c>
      <c r="F945" t="s">
        <v>1806</v>
      </c>
      <c r="I945" t="str">
        <f>IF(ISBLANK('Q 5'!I105),"",IF('Q 5'!I105="&lt;please select&gt;","",'Q 5'!I105))</f>
        <v/>
      </c>
    </row>
    <row r="946" spans="1:9" x14ac:dyDescent="0.3">
      <c r="A946" t="s">
        <v>1846</v>
      </c>
      <c r="B946" t="s">
        <v>1849</v>
      </c>
      <c r="C946">
        <v>38</v>
      </c>
      <c r="D946" t="s">
        <v>1447</v>
      </c>
      <c r="E946" t="s">
        <v>1854</v>
      </c>
      <c r="F946" t="s">
        <v>1806</v>
      </c>
      <c r="I946" t="str">
        <f>IF(ISBLANK('Q 5'!I106),"",IF('Q 5'!I106="&lt;please select&gt;","",'Q 5'!I106))</f>
        <v/>
      </c>
    </row>
    <row r="947" spans="1:9" x14ac:dyDescent="0.3">
      <c r="A947" t="s">
        <v>1846</v>
      </c>
      <c r="B947" t="s">
        <v>1849</v>
      </c>
      <c r="C947">
        <v>39</v>
      </c>
      <c r="D947" t="s">
        <v>1447</v>
      </c>
      <c r="E947" t="s">
        <v>1854</v>
      </c>
      <c r="F947" t="s">
        <v>1806</v>
      </c>
      <c r="I947" t="str">
        <f>IF(ISBLANK('Q 5'!I107),"",IF('Q 5'!I107="&lt;please select&gt;","",'Q 5'!I107))</f>
        <v/>
      </c>
    </row>
    <row r="948" spans="1:9" x14ac:dyDescent="0.3">
      <c r="A948" t="s">
        <v>1846</v>
      </c>
      <c r="B948" t="s">
        <v>1849</v>
      </c>
      <c r="C948">
        <v>40</v>
      </c>
      <c r="D948" t="s">
        <v>1447</v>
      </c>
      <c r="E948" t="s">
        <v>1854</v>
      </c>
      <c r="F948" t="s">
        <v>1806</v>
      </c>
      <c r="I948" t="str">
        <f>IF(ISBLANK('Q 5'!I108),"",IF('Q 5'!I108="&lt;please select&gt;","",'Q 5'!I108))</f>
        <v/>
      </c>
    </row>
    <row r="949" spans="1:9" x14ac:dyDescent="0.3">
      <c r="A949" t="s">
        <v>1846</v>
      </c>
      <c r="B949" t="s">
        <v>1849</v>
      </c>
      <c r="C949">
        <v>41</v>
      </c>
      <c r="D949" t="s">
        <v>1447</v>
      </c>
      <c r="E949" t="s">
        <v>1854</v>
      </c>
      <c r="F949" t="s">
        <v>1806</v>
      </c>
      <c r="I949" t="str">
        <f>IF(ISBLANK('Q 5'!I109),"",IF('Q 5'!I109="&lt;please select&gt;","",'Q 5'!I109))</f>
        <v/>
      </c>
    </row>
    <row r="950" spans="1:9" x14ac:dyDescent="0.3">
      <c r="A950" t="s">
        <v>1846</v>
      </c>
      <c r="B950" t="s">
        <v>1849</v>
      </c>
      <c r="C950">
        <v>42</v>
      </c>
      <c r="D950" t="s">
        <v>1447</v>
      </c>
      <c r="E950" t="s">
        <v>1854</v>
      </c>
      <c r="F950" t="s">
        <v>1806</v>
      </c>
      <c r="I950" t="str">
        <f>IF(ISBLANK('Q 5'!I110),"",IF('Q 5'!I110="&lt;please select&gt;","",'Q 5'!I110))</f>
        <v/>
      </c>
    </row>
    <row r="951" spans="1:9" x14ac:dyDescent="0.3">
      <c r="A951" t="s">
        <v>1846</v>
      </c>
      <c r="B951" t="s">
        <v>1849</v>
      </c>
      <c r="C951">
        <v>43</v>
      </c>
      <c r="D951" t="s">
        <v>1447</v>
      </c>
      <c r="E951" t="s">
        <v>1854</v>
      </c>
      <c r="F951" t="s">
        <v>1806</v>
      </c>
      <c r="I951" t="str">
        <f>IF(ISBLANK('Q 5'!I111),"",IF('Q 5'!I111="&lt;please select&gt;","",'Q 5'!I111))</f>
        <v/>
      </c>
    </row>
    <row r="952" spans="1:9" x14ac:dyDescent="0.3">
      <c r="A952" t="s">
        <v>1846</v>
      </c>
      <c r="B952" t="s">
        <v>1849</v>
      </c>
      <c r="C952">
        <v>44</v>
      </c>
      <c r="D952" t="s">
        <v>1447</v>
      </c>
      <c r="E952" t="s">
        <v>1854</v>
      </c>
      <c r="F952" t="s">
        <v>1806</v>
      </c>
      <c r="I952" t="str">
        <f>IF(ISBLANK('Q 5'!I112),"",IF('Q 5'!I112="&lt;please select&gt;","",'Q 5'!I112))</f>
        <v/>
      </c>
    </row>
    <row r="953" spans="1:9" x14ac:dyDescent="0.3">
      <c r="A953" t="s">
        <v>1846</v>
      </c>
      <c r="B953" t="s">
        <v>1849</v>
      </c>
      <c r="C953">
        <v>45</v>
      </c>
      <c r="D953" t="s">
        <v>1447</v>
      </c>
      <c r="E953" t="s">
        <v>1854</v>
      </c>
      <c r="F953" t="s">
        <v>1806</v>
      </c>
      <c r="I953" t="str">
        <f>IF(ISBLANK('Q 5'!I113),"",IF('Q 5'!I113="&lt;please select&gt;","",'Q 5'!I113))</f>
        <v/>
      </c>
    </row>
    <row r="954" spans="1:9" x14ac:dyDescent="0.3">
      <c r="A954" t="s">
        <v>1846</v>
      </c>
      <c r="B954" t="s">
        <v>1849</v>
      </c>
      <c r="C954">
        <v>46</v>
      </c>
      <c r="D954" t="s">
        <v>1447</v>
      </c>
      <c r="E954" t="s">
        <v>1854</v>
      </c>
      <c r="F954" t="s">
        <v>1806</v>
      </c>
      <c r="I954" t="str">
        <f>IF(ISBLANK('Q 5'!I114),"",IF('Q 5'!I114="&lt;please select&gt;","",'Q 5'!I114))</f>
        <v/>
      </c>
    </row>
    <row r="955" spans="1:9" x14ac:dyDescent="0.3">
      <c r="A955" t="s">
        <v>1846</v>
      </c>
      <c r="B955" t="s">
        <v>1849</v>
      </c>
      <c r="C955">
        <v>47</v>
      </c>
      <c r="D955" t="s">
        <v>1447</v>
      </c>
      <c r="E955" t="s">
        <v>1854</v>
      </c>
      <c r="F955" t="s">
        <v>1806</v>
      </c>
      <c r="I955" t="str">
        <f>IF(ISBLANK('Q 5'!I115),"",IF('Q 5'!I115="&lt;please select&gt;","",'Q 5'!I115))</f>
        <v/>
      </c>
    </row>
    <row r="956" spans="1:9" x14ac:dyDescent="0.3">
      <c r="A956" t="s">
        <v>1846</v>
      </c>
      <c r="B956" t="s">
        <v>1849</v>
      </c>
      <c r="C956">
        <v>48</v>
      </c>
      <c r="D956" t="s">
        <v>1447</v>
      </c>
      <c r="E956" t="s">
        <v>1854</v>
      </c>
      <c r="F956" t="s">
        <v>1806</v>
      </c>
      <c r="I956" t="str">
        <f>IF(ISBLANK('Q 5'!I116),"",IF('Q 5'!I116="&lt;please select&gt;","",'Q 5'!I116))</f>
        <v/>
      </c>
    </row>
    <row r="957" spans="1:9" x14ac:dyDescent="0.3">
      <c r="A957" t="s">
        <v>1846</v>
      </c>
      <c r="B957" t="s">
        <v>1849</v>
      </c>
      <c r="C957">
        <v>49</v>
      </c>
      <c r="D957" t="s">
        <v>1447</v>
      </c>
      <c r="E957" t="s">
        <v>1854</v>
      </c>
      <c r="F957" t="s">
        <v>1806</v>
      </c>
      <c r="I957" t="str">
        <f>IF(ISBLANK('Q 5'!I117),"",IF('Q 5'!I117="&lt;please select&gt;","",'Q 5'!I117))</f>
        <v/>
      </c>
    </row>
    <row r="958" spans="1:9" x14ac:dyDescent="0.3">
      <c r="A958" t="s">
        <v>1846</v>
      </c>
      <c r="B958" t="s">
        <v>1849</v>
      </c>
      <c r="C958">
        <v>50</v>
      </c>
      <c r="D958" t="s">
        <v>1447</v>
      </c>
      <c r="E958" t="s">
        <v>1854</v>
      </c>
      <c r="F958" t="s">
        <v>1806</v>
      </c>
      <c r="I958" t="str">
        <f>IF(ISBLANK('Q 5'!I118),"",IF('Q 5'!I118="&lt;please select&gt;","",'Q 5'!I118))</f>
        <v/>
      </c>
    </row>
    <row r="959" spans="1:9" x14ac:dyDescent="0.3">
      <c r="A959" t="s">
        <v>1846</v>
      </c>
      <c r="B959" t="s">
        <v>1849</v>
      </c>
      <c r="C959">
        <v>51</v>
      </c>
      <c r="D959" t="s">
        <v>1447</v>
      </c>
      <c r="E959" t="s">
        <v>1854</v>
      </c>
      <c r="F959" t="s">
        <v>1806</v>
      </c>
      <c r="I959" t="str">
        <f>IF(ISBLANK('Q 5'!I119),"",IF('Q 5'!I119="&lt;please select&gt;","",'Q 5'!I119))</f>
        <v/>
      </c>
    </row>
    <row r="960" spans="1:9" x14ac:dyDescent="0.3">
      <c r="A960" t="s">
        <v>1846</v>
      </c>
      <c r="B960" t="s">
        <v>1849</v>
      </c>
      <c r="C960">
        <v>52</v>
      </c>
      <c r="D960" t="s">
        <v>1447</v>
      </c>
      <c r="E960" t="s">
        <v>1854</v>
      </c>
      <c r="F960" t="s">
        <v>1806</v>
      </c>
      <c r="I960" t="str">
        <f>IF(ISBLANK('Q 5'!I120),"",IF('Q 5'!I120="&lt;please select&gt;","",'Q 5'!I120))</f>
        <v/>
      </c>
    </row>
    <row r="961" spans="1:9" x14ac:dyDescent="0.3">
      <c r="A961" t="s">
        <v>1846</v>
      </c>
      <c r="B961" t="s">
        <v>1849</v>
      </c>
      <c r="C961">
        <v>53</v>
      </c>
      <c r="D961" t="s">
        <v>1447</v>
      </c>
      <c r="E961" t="s">
        <v>1854</v>
      </c>
      <c r="F961" t="s">
        <v>1806</v>
      </c>
      <c r="I961" t="str">
        <f>IF(ISBLANK('Q 5'!I121),"",IF('Q 5'!I121="&lt;please select&gt;","",'Q 5'!I121))</f>
        <v/>
      </c>
    </row>
    <row r="962" spans="1:9" x14ac:dyDescent="0.3">
      <c r="A962" t="s">
        <v>1846</v>
      </c>
      <c r="B962" t="s">
        <v>1849</v>
      </c>
      <c r="C962">
        <v>54</v>
      </c>
      <c r="D962" t="s">
        <v>1447</v>
      </c>
      <c r="E962" t="s">
        <v>1854</v>
      </c>
      <c r="F962" t="s">
        <v>1806</v>
      </c>
      <c r="I962" t="str">
        <f>IF(ISBLANK('Q 5'!I122),"",IF('Q 5'!I122="&lt;please select&gt;","",'Q 5'!I122))</f>
        <v/>
      </c>
    </row>
    <row r="963" spans="1:9" x14ac:dyDescent="0.3">
      <c r="A963" t="s">
        <v>1846</v>
      </c>
      <c r="B963" t="s">
        <v>1849</v>
      </c>
      <c r="C963">
        <v>55</v>
      </c>
      <c r="D963" t="s">
        <v>1447</v>
      </c>
      <c r="E963" t="s">
        <v>1854</v>
      </c>
      <c r="F963" t="s">
        <v>1806</v>
      </c>
      <c r="I963" t="str">
        <f>IF(ISBLANK('Q 5'!I123),"",IF('Q 5'!I123="&lt;please select&gt;","",'Q 5'!I123))</f>
        <v/>
      </c>
    </row>
    <row r="964" spans="1:9" x14ac:dyDescent="0.3">
      <c r="A964" t="s">
        <v>1846</v>
      </c>
      <c r="B964" t="s">
        <v>1849</v>
      </c>
      <c r="C964">
        <v>56</v>
      </c>
      <c r="D964" t="s">
        <v>1447</v>
      </c>
      <c r="E964" t="s">
        <v>1854</v>
      </c>
      <c r="F964" t="s">
        <v>1806</v>
      </c>
      <c r="I964" t="str">
        <f>IF(ISBLANK('Q 5'!I124),"",IF('Q 5'!I124="&lt;please select&gt;","",'Q 5'!I124))</f>
        <v/>
      </c>
    </row>
    <row r="965" spans="1:9" x14ac:dyDescent="0.3">
      <c r="A965" t="s">
        <v>1846</v>
      </c>
      <c r="B965" t="s">
        <v>1849</v>
      </c>
      <c r="C965">
        <v>57</v>
      </c>
      <c r="D965" t="s">
        <v>1447</v>
      </c>
      <c r="E965" t="s">
        <v>1854</v>
      </c>
      <c r="F965" t="s">
        <v>1806</v>
      </c>
      <c r="I965" t="str">
        <f>IF(ISBLANK('Q 5'!I125),"",IF('Q 5'!I125="&lt;please select&gt;","",'Q 5'!I125))</f>
        <v/>
      </c>
    </row>
    <row r="966" spans="1:9" x14ac:dyDescent="0.3">
      <c r="A966" t="s">
        <v>1846</v>
      </c>
      <c r="B966" t="s">
        <v>1849</v>
      </c>
      <c r="C966">
        <v>58</v>
      </c>
      <c r="D966" t="s">
        <v>1447</v>
      </c>
      <c r="E966" t="s">
        <v>1854</v>
      </c>
      <c r="F966" t="s">
        <v>1806</v>
      </c>
      <c r="I966" t="str">
        <f>IF(ISBLANK('Q 5'!I126),"",IF('Q 5'!I126="&lt;please select&gt;","",'Q 5'!I126))</f>
        <v/>
      </c>
    </row>
    <row r="967" spans="1:9" x14ac:dyDescent="0.3">
      <c r="A967" t="s">
        <v>1846</v>
      </c>
      <c r="B967" t="s">
        <v>1849</v>
      </c>
      <c r="C967">
        <v>59</v>
      </c>
      <c r="D967" t="s">
        <v>1447</v>
      </c>
      <c r="E967" t="s">
        <v>1854</v>
      </c>
      <c r="F967" t="s">
        <v>1806</v>
      </c>
      <c r="I967" t="str">
        <f>IF(ISBLANK('Q 5'!I127),"",IF('Q 5'!I127="&lt;please select&gt;","",'Q 5'!I127))</f>
        <v/>
      </c>
    </row>
    <row r="968" spans="1:9" x14ac:dyDescent="0.3">
      <c r="A968" t="s">
        <v>1846</v>
      </c>
      <c r="B968" t="s">
        <v>1849</v>
      </c>
      <c r="C968">
        <v>60</v>
      </c>
      <c r="D968" t="s">
        <v>1447</v>
      </c>
      <c r="E968" t="s">
        <v>1854</v>
      </c>
      <c r="F968" t="s">
        <v>1806</v>
      </c>
      <c r="I968" t="str">
        <f>IF(ISBLANK('Q 5'!I128),"",IF('Q 5'!I128="&lt;please select&gt;","",'Q 5'!I128))</f>
        <v/>
      </c>
    </row>
    <row r="969" spans="1:9" x14ac:dyDescent="0.3">
      <c r="A969" t="s">
        <v>1846</v>
      </c>
      <c r="B969" t="s">
        <v>1849</v>
      </c>
      <c r="C969">
        <v>61</v>
      </c>
      <c r="D969" t="s">
        <v>1447</v>
      </c>
      <c r="E969" t="s">
        <v>1854</v>
      </c>
      <c r="F969" t="s">
        <v>1806</v>
      </c>
      <c r="I969" t="str">
        <f>IF(ISBLANK('Q 5'!I129),"",IF('Q 5'!I129="&lt;please select&gt;","",'Q 5'!I129))</f>
        <v/>
      </c>
    </row>
    <row r="970" spans="1:9" x14ac:dyDescent="0.3">
      <c r="A970" t="s">
        <v>1846</v>
      </c>
      <c r="B970" t="s">
        <v>1849</v>
      </c>
      <c r="C970">
        <v>62</v>
      </c>
      <c r="D970" t="s">
        <v>1447</v>
      </c>
      <c r="E970" t="s">
        <v>1854</v>
      </c>
      <c r="F970" t="s">
        <v>1806</v>
      </c>
      <c r="I970" t="str">
        <f>IF(ISBLANK('Q 5'!I130),"",IF('Q 5'!I130="&lt;please select&gt;","",'Q 5'!I130))</f>
        <v/>
      </c>
    </row>
    <row r="971" spans="1:9" x14ac:dyDescent="0.3">
      <c r="A971" t="s">
        <v>1846</v>
      </c>
      <c r="B971" t="s">
        <v>1849</v>
      </c>
      <c r="C971">
        <v>63</v>
      </c>
      <c r="D971" t="s">
        <v>1447</v>
      </c>
      <c r="E971" t="s">
        <v>1854</v>
      </c>
      <c r="F971" t="s">
        <v>1806</v>
      </c>
      <c r="I971" t="str">
        <f>IF(ISBLANK('Q 5'!I131),"",IF('Q 5'!I131="&lt;please select&gt;","",'Q 5'!I131))</f>
        <v/>
      </c>
    </row>
    <row r="972" spans="1:9" x14ac:dyDescent="0.3">
      <c r="A972" t="s">
        <v>1846</v>
      </c>
      <c r="B972" t="s">
        <v>1849</v>
      </c>
      <c r="C972">
        <v>64</v>
      </c>
      <c r="D972" t="s">
        <v>1447</v>
      </c>
      <c r="E972" t="s">
        <v>1854</v>
      </c>
      <c r="F972" t="s">
        <v>1806</v>
      </c>
      <c r="I972" t="str">
        <f>IF(ISBLANK('Q 5'!I132),"",IF('Q 5'!I132="&lt;please select&gt;","",'Q 5'!I132))</f>
        <v/>
      </c>
    </row>
    <row r="973" spans="1:9" x14ac:dyDescent="0.3">
      <c r="A973" t="s">
        <v>1846</v>
      </c>
      <c r="B973" t="s">
        <v>1849</v>
      </c>
      <c r="C973">
        <v>65</v>
      </c>
      <c r="D973" t="s">
        <v>1447</v>
      </c>
      <c r="E973" t="s">
        <v>1854</v>
      </c>
      <c r="F973" t="s">
        <v>1806</v>
      </c>
      <c r="I973" t="str">
        <f>IF(ISBLANK('Q 5'!I133),"",IF('Q 5'!I133="&lt;please select&gt;","",'Q 5'!I133))</f>
        <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
      </c>
    </row>
    <row r="1040" spans="1:11" x14ac:dyDescent="0.3">
      <c r="A1040" t="s">
        <v>1847</v>
      </c>
      <c r="B1040" t="s">
        <v>1855</v>
      </c>
      <c r="C1040">
        <v>2</v>
      </c>
      <c r="D1040" t="s">
        <v>1447</v>
      </c>
      <c r="E1040" t="s">
        <v>1856</v>
      </c>
      <c r="F1040" t="s">
        <v>1737</v>
      </c>
      <c r="K1040" t="str">
        <f>IF(ISBLANK('Q 5'!C204),"",IF('Q 5'!C204="&lt;please select&gt;","",'Q 5'!C204))</f>
        <v/>
      </c>
    </row>
    <row r="1041" spans="1:11" x14ac:dyDescent="0.3">
      <c r="A1041" t="s">
        <v>1847</v>
      </c>
      <c r="B1041" t="s">
        <v>1855</v>
      </c>
      <c r="C1041">
        <v>3</v>
      </c>
      <c r="D1041" t="s">
        <v>1447</v>
      </c>
      <c r="E1041" t="s">
        <v>1856</v>
      </c>
      <c r="F1041" t="s">
        <v>1737</v>
      </c>
      <c r="K1041" t="str">
        <f>IF(ISBLANK('Q 5'!C205),"",IF('Q 5'!C205="&lt;please select&gt;","",'Q 5'!C205))</f>
        <v/>
      </c>
    </row>
    <row r="1042" spans="1:11" x14ac:dyDescent="0.3">
      <c r="A1042" t="s">
        <v>1847</v>
      </c>
      <c r="B1042" t="s">
        <v>1855</v>
      </c>
      <c r="C1042">
        <v>4</v>
      </c>
      <c r="D1042" t="s">
        <v>1447</v>
      </c>
      <c r="E1042" t="s">
        <v>1856</v>
      </c>
      <c r="F1042" t="s">
        <v>1737</v>
      </c>
      <c r="K1042" t="str">
        <f>IF(ISBLANK('Q 5'!C206),"",IF('Q 5'!C206="&lt;please select&gt;","",'Q 5'!C206))</f>
        <v/>
      </c>
    </row>
    <row r="1043" spans="1:11" x14ac:dyDescent="0.3">
      <c r="A1043" t="s">
        <v>1847</v>
      </c>
      <c r="B1043" t="s">
        <v>1855</v>
      </c>
      <c r="C1043">
        <v>5</v>
      </c>
      <c r="D1043" t="s">
        <v>1447</v>
      </c>
      <c r="E1043" t="s">
        <v>1856</v>
      </c>
      <c r="F1043" t="s">
        <v>1737</v>
      </c>
      <c r="K1043" t="str">
        <f>IF(ISBLANK('Q 5'!C207),"",IF('Q 5'!C207="&lt;please select&gt;","",'Q 5'!C207))</f>
        <v/>
      </c>
    </row>
    <row r="1044" spans="1:11" x14ac:dyDescent="0.3">
      <c r="A1044" t="s">
        <v>1847</v>
      </c>
      <c r="B1044" t="s">
        <v>1855</v>
      </c>
      <c r="C1044">
        <v>6</v>
      </c>
      <c r="D1044" t="s">
        <v>1447</v>
      </c>
      <c r="E1044" t="s">
        <v>1856</v>
      </c>
      <c r="F1044" t="s">
        <v>1737</v>
      </c>
      <c r="K1044" t="str">
        <f>IF(ISBLANK('Q 5'!C208),"",IF('Q 5'!C208="&lt;please select&gt;","",'Q 5'!C208))</f>
        <v/>
      </c>
    </row>
    <row r="1045" spans="1:11" x14ac:dyDescent="0.3">
      <c r="A1045" t="s">
        <v>1847</v>
      </c>
      <c r="B1045" t="s">
        <v>1855</v>
      </c>
      <c r="C1045">
        <v>7</v>
      </c>
      <c r="D1045" t="s">
        <v>1447</v>
      </c>
      <c r="E1045" t="s">
        <v>1856</v>
      </c>
      <c r="F1045" t="s">
        <v>1737</v>
      </c>
      <c r="K1045" t="str">
        <f>IF(ISBLANK('Q 5'!C209),"",IF('Q 5'!C209="&lt;please select&gt;","",'Q 5'!C209))</f>
        <v/>
      </c>
    </row>
    <row r="1046" spans="1:11" x14ac:dyDescent="0.3">
      <c r="A1046" t="s">
        <v>1847</v>
      </c>
      <c r="B1046" t="s">
        <v>1855</v>
      </c>
      <c r="C1046">
        <v>8</v>
      </c>
      <c r="D1046" t="s">
        <v>1447</v>
      </c>
      <c r="E1046" t="s">
        <v>1856</v>
      </c>
      <c r="F1046" t="s">
        <v>1737</v>
      </c>
      <c r="K1046" t="str">
        <f>IF(ISBLANK('Q 5'!C210),"",IF('Q 5'!C210="&lt;please select&gt;","",'Q 5'!C210))</f>
        <v/>
      </c>
    </row>
    <row r="1047" spans="1:11" x14ac:dyDescent="0.3">
      <c r="A1047" t="s">
        <v>1847</v>
      </c>
      <c r="B1047" t="s">
        <v>1855</v>
      </c>
      <c r="C1047">
        <v>9</v>
      </c>
      <c r="D1047" t="s">
        <v>1447</v>
      </c>
      <c r="E1047" t="s">
        <v>1856</v>
      </c>
      <c r="F1047" t="s">
        <v>1737</v>
      </c>
      <c r="K1047" t="str">
        <f>IF(ISBLANK('Q 5'!C211),"",IF('Q 5'!C211="&lt;please select&gt;","",'Q 5'!C211))</f>
        <v/>
      </c>
    </row>
    <row r="1048" spans="1:11" x14ac:dyDescent="0.3">
      <c r="A1048" t="s">
        <v>1847</v>
      </c>
      <c r="B1048" t="s">
        <v>1855</v>
      </c>
      <c r="C1048">
        <v>10</v>
      </c>
      <c r="D1048" t="s">
        <v>1447</v>
      </c>
      <c r="E1048" t="s">
        <v>1856</v>
      </c>
      <c r="F1048" t="s">
        <v>1737</v>
      </c>
      <c r="K1048" t="str">
        <f>IF(ISBLANK('Q 5'!C212),"",IF('Q 5'!C212="&lt;please select&gt;","",'Q 5'!C212))</f>
        <v/>
      </c>
    </row>
    <row r="1049" spans="1:11" x14ac:dyDescent="0.3">
      <c r="A1049" t="s">
        <v>1847</v>
      </c>
      <c r="B1049" t="s">
        <v>1855</v>
      </c>
      <c r="C1049">
        <v>11</v>
      </c>
      <c r="D1049" t="s">
        <v>1447</v>
      </c>
      <c r="E1049" t="s">
        <v>1856</v>
      </c>
      <c r="F1049" t="s">
        <v>1737</v>
      </c>
      <c r="K1049" t="str">
        <f>IF(ISBLANK('Q 5'!C213),"",IF('Q 5'!C213="&lt;please select&gt;","",'Q 5'!C213))</f>
        <v/>
      </c>
    </row>
    <row r="1050" spans="1:11" x14ac:dyDescent="0.3">
      <c r="A1050" t="s">
        <v>1847</v>
      </c>
      <c r="B1050" t="s">
        <v>1855</v>
      </c>
      <c r="C1050">
        <v>12</v>
      </c>
      <c r="D1050" t="s">
        <v>1447</v>
      </c>
      <c r="E1050" t="s">
        <v>1856</v>
      </c>
      <c r="F1050" t="s">
        <v>1737</v>
      </c>
      <c r="K1050" t="str">
        <f>IF(ISBLANK('Q 5'!C214),"",IF('Q 5'!C214="&lt;please select&gt;","",'Q 5'!C214))</f>
        <v/>
      </c>
    </row>
    <row r="1051" spans="1:11" x14ac:dyDescent="0.3">
      <c r="A1051" t="s">
        <v>1847</v>
      </c>
      <c r="B1051" t="s">
        <v>1855</v>
      </c>
      <c r="C1051">
        <v>13</v>
      </c>
      <c r="D1051" t="s">
        <v>1447</v>
      </c>
      <c r="E1051" t="s">
        <v>1856</v>
      </c>
      <c r="F1051" t="s">
        <v>1737</v>
      </c>
      <c r="K1051" t="str">
        <f>IF(ISBLANK('Q 5'!C215),"",IF('Q 5'!C215="&lt;please select&gt;","",'Q 5'!C215))</f>
        <v/>
      </c>
    </row>
    <row r="1052" spans="1:11" x14ac:dyDescent="0.3">
      <c r="A1052" t="s">
        <v>1847</v>
      </c>
      <c r="B1052" t="s">
        <v>1855</v>
      </c>
      <c r="C1052">
        <v>14</v>
      </c>
      <c r="D1052" t="s">
        <v>1447</v>
      </c>
      <c r="E1052" t="s">
        <v>1856</v>
      </c>
      <c r="F1052" t="s">
        <v>1737</v>
      </c>
      <c r="K1052" t="str">
        <f>IF(ISBLANK('Q 5'!C216),"",IF('Q 5'!C216="&lt;please select&gt;","",'Q 5'!C216))</f>
        <v/>
      </c>
    </row>
    <row r="1053" spans="1:11" x14ac:dyDescent="0.3">
      <c r="A1053" t="s">
        <v>1847</v>
      </c>
      <c r="B1053" t="s">
        <v>1855</v>
      </c>
      <c r="C1053">
        <v>15</v>
      </c>
      <c r="D1053" t="s">
        <v>1447</v>
      </c>
      <c r="E1053" t="s">
        <v>1856</v>
      </c>
      <c r="F1053" t="s">
        <v>1737</v>
      </c>
      <c r="K1053" t="str">
        <f>IF(ISBLANK('Q 5'!C217),"",IF('Q 5'!C217="&lt;please select&gt;","",'Q 5'!C217))</f>
        <v/>
      </c>
    </row>
    <row r="1054" spans="1:11" x14ac:dyDescent="0.3">
      <c r="A1054" t="s">
        <v>1847</v>
      </c>
      <c r="B1054" t="s">
        <v>1855</v>
      </c>
      <c r="C1054">
        <v>16</v>
      </c>
      <c r="D1054" t="s">
        <v>1447</v>
      </c>
      <c r="E1054" t="s">
        <v>1856</v>
      </c>
      <c r="F1054" t="s">
        <v>1737</v>
      </c>
      <c r="K1054" t="str">
        <f>IF(ISBLANK('Q 5'!C218),"",IF('Q 5'!C218="&lt;please select&gt;","",'Q 5'!C218))</f>
        <v/>
      </c>
    </row>
    <row r="1055" spans="1:11" x14ac:dyDescent="0.3">
      <c r="A1055" t="s">
        <v>1847</v>
      </c>
      <c r="B1055" t="s">
        <v>1855</v>
      </c>
      <c r="C1055">
        <v>17</v>
      </c>
      <c r="D1055" t="s">
        <v>1447</v>
      </c>
      <c r="E1055" t="s">
        <v>1856</v>
      </c>
      <c r="F1055" t="s">
        <v>1737</v>
      </c>
      <c r="K1055" t="str">
        <f>IF(ISBLANK('Q 5'!C219),"",IF('Q 5'!C219="&lt;please select&gt;","",'Q 5'!C219))</f>
        <v/>
      </c>
    </row>
    <row r="1056" spans="1:11" x14ac:dyDescent="0.3">
      <c r="A1056" t="s">
        <v>1847</v>
      </c>
      <c r="B1056" t="s">
        <v>1855</v>
      </c>
      <c r="C1056">
        <v>18</v>
      </c>
      <c r="D1056" t="s">
        <v>1447</v>
      </c>
      <c r="E1056" t="s">
        <v>1856</v>
      </c>
      <c r="F1056" t="s">
        <v>1737</v>
      </c>
      <c r="K1056" t="str">
        <f>IF(ISBLANK('Q 5'!C220),"",IF('Q 5'!C220="&lt;please select&gt;","",'Q 5'!C220))</f>
        <v/>
      </c>
    </row>
    <row r="1057" spans="1:11" x14ac:dyDescent="0.3">
      <c r="A1057" t="s">
        <v>1847</v>
      </c>
      <c r="B1057" t="s">
        <v>1855</v>
      </c>
      <c r="C1057">
        <v>19</v>
      </c>
      <c r="D1057" t="s">
        <v>1447</v>
      </c>
      <c r="E1057" t="s">
        <v>1856</v>
      </c>
      <c r="F1057" t="s">
        <v>1737</v>
      </c>
      <c r="K1057" t="str">
        <f>IF(ISBLANK('Q 5'!C221),"",IF('Q 5'!C221="&lt;please select&gt;","",'Q 5'!C221))</f>
        <v/>
      </c>
    </row>
    <row r="1058" spans="1:11" x14ac:dyDescent="0.3">
      <c r="A1058" t="s">
        <v>1847</v>
      </c>
      <c r="B1058" t="s">
        <v>1855</v>
      </c>
      <c r="C1058">
        <v>20</v>
      </c>
      <c r="D1058" t="s">
        <v>1447</v>
      </c>
      <c r="E1058" t="s">
        <v>1856</v>
      </c>
      <c r="F1058" t="s">
        <v>1737</v>
      </c>
      <c r="K1058" t="str">
        <f>IF(ISBLANK('Q 5'!C222),"",IF('Q 5'!C222="&lt;please select&gt;","",'Q 5'!C222))</f>
        <v/>
      </c>
    </row>
    <row r="1059" spans="1:11" x14ac:dyDescent="0.3">
      <c r="A1059" t="s">
        <v>1847</v>
      </c>
      <c r="B1059" t="s">
        <v>1855</v>
      </c>
      <c r="C1059">
        <v>21</v>
      </c>
      <c r="D1059" t="s">
        <v>1447</v>
      </c>
      <c r="E1059" t="s">
        <v>1856</v>
      </c>
      <c r="F1059" t="s">
        <v>1737</v>
      </c>
      <c r="K1059" t="str">
        <f>IF(ISBLANK('Q 5'!C223),"",IF('Q 5'!C223="&lt;please select&gt;","",'Q 5'!C223))</f>
        <v/>
      </c>
    </row>
    <row r="1060" spans="1:11" x14ac:dyDescent="0.3">
      <c r="A1060" t="s">
        <v>1847</v>
      </c>
      <c r="B1060" t="s">
        <v>1855</v>
      </c>
      <c r="C1060">
        <v>22</v>
      </c>
      <c r="D1060" t="s">
        <v>1447</v>
      </c>
      <c r="E1060" t="s">
        <v>1856</v>
      </c>
      <c r="F1060" t="s">
        <v>1737</v>
      </c>
      <c r="K1060" t="str">
        <f>IF(ISBLANK('Q 5'!C224),"",IF('Q 5'!C224="&lt;please select&gt;","",'Q 5'!C224))</f>
        <v/>
      </c>
    </row>
    <row r="1061" spans="1:11" x14ac:dyDescent="0.3">
      <c r="A1061" t="s">
        <v>1847</v>
      </c>
      <c r="B1061" t="s">
        <v>1855</v>
      </c>
      <c r="C1061">
        <v>23</v>
      </c>
      <c r="D1061" t="s">
        <v>1447</v>
      </c>
      <c r="E1061" t="s">
        <v>1856</v>
      </c>
      <c r="F1061" t="s">
        <v>1737</v>
      </c>
      <c r="K1061" t="str">
        <f>IF(ISBLANK('Q 5'!C225),"",IF('Q 5'!C225="&lt;please select&gt;","",'Q 5'!C225))</f>
        <v/>
      </c>
    </row>
    <row r="1062" spans="1:11" x14ac:dyDescent="0.3">
      <c r="A1062" t="s">
        <v>1847</v>
      </c>
      <c r="B1062" t="s">
        <v>1855</v>
      </c>
      <c r="C1062">
        <v>24</v>
      </c>
      <c r="D1062" t="s">
        <v>1447</v>
      </c>
      <c r="E1062" t="s">
        <v>1856</v>
      </c>
      <c r="F1062" t="s">
        <v>1737</v>
      </c>
      <c r="K1062" t="str">
        <f>IF(ISBLANK('Q 5'!C226),"",IF('Q 5'!C226="&lt;please select&gt;","",'Q 5'!C226))</f>
        <v/>
      </c>
    </row>
    <row r="1063" spans="1:11" x14ac:dyDescent="0.3">
      <c r="A1063" t="s">
        <v>1847</v>
      </c>
      <c r="B1063" t="s">
        <v>1855</v>
      </c>
      <c r="C1063">
        <v>25</v>
      </c>
      <c r="D1063" t="s">
        <v>1447</v>
      </c>
      <c r="E1063" t="s">
        <v>1856</v>
      </c>
      <c r="F1063" t="s">
        <v>1737</v>
      </c>
      <c r="K1063" t="str">
        <f>IF(ISBLANK('Q 5'!C227),"",IF('Q 5'!C227="&lt;please select&gt;","",'Q 5'!C227))</f>
        <v/>
      </c>
    </row>
    <row r="1064" spans="1:11" x14ac:dyDescent="0.3">
      <c r="A1064" t="s">
        <v>1847</v>
      </c>
      <c r="B1064" t="s">
        <v>1855</v>
      </c>
      <c r="C1064">
        <v>26</v>
      </c>
      <c r="D1064" t="s">
        <v>1447</v>
      </c>
      <c r="E1064" t="s">
        <v>1856</v>
      </c>
      <c r="F1064" t="s">
        <v>1737</v>
      </c>
      <c r="K1064" t="str">
        <f>IF(ISBLANK('Q 5'!C228),"",IF('Q 5'!C228="&lt;please select&gt;","",'Q 5'!C228))</f>
        <v/>
      </c>
    </row>
    <row r="1065" spans="1:11" x14ac:dyDescent="0.3">
      <c r="A1065" t="s">
        <v>1847</v>
      </c>
      <c r="B1065" t="s">
        <v>1855</v>
      </c>
      <c r="C1065">
        <v>27</v>
      </c>
      <c r="D1065" t="s">
        <v>1447</v>
      </c>
      <c r="E1065" t="s">
        <v>1856</v>
      </c>
      <c r="F1065" t="s">
        <v>1737</v>
      </c>
      <c r="K1065" t="str">
        <f>IF(ISBLANK('Q 5'!C229),"",IF('Q 5'!C229="&lt;please select&gt;","",'Q 5'!C229))</f>
        <v/>
      </c>
    </row>
    <row r="1066" spans="1:11" x14ac:dyDescent="0.3">
      <c r="A1066" t="s">
        <v>1847</v>
      </c>
      <c r="B1066" t="s">
        <v>1855</v>
      </c>
      <c r="C1066">
        <v>28</v>
      </c>
      <c r="D1066" t="s">
        <v>1447</v>
      </c>
      <c r="E1066" t="s">
        <v>1856</v>
      </c>
      <c r="F1066" t="s">
        <v>1737</v>
      </c>
      <c r="K1066" t="str">
        <f>IF(ISBLANK('Q 5'!C230),"",IF('Q 5'!C230="&lt;please select&gt;","",'Q 5'!C230))</f>
        <v/>
      </c>
    </row>
    <row r="1067" spans="1:11" x14ac:dyDescent="0.3">
      <c r="A1067" t="s">
        <v>1847</v>
      </c>
      <c r="B1067" t="s">
        <v>1855</v>
      </c>
      <c r="C1067">
        <v>29</v>
      </c>
      <c r="D1067" t="s">
        <v>1447</v>
      </c>
      <c r="E1067" t="s">
        <v>1856</v>
      </c>
      <c r="F1067" t="s">
        <v>1737</v>
      </c>
      <c r="K1067" t="str">
        <f>IF(ISBLANK('Q 5'!C231),"",IF('Q 5'!C231="&lt;please select&gt;","",'Q 5'!C231))</f>
        <v/>
      </c>
    </row>
    <row r="1068" spans="1:11" x14ac:dyDescent="0.3">
      <c r="A1068" t="s">
        <v>1847</v>
      </c>
      <c r="B1068" t="s">
        <v>1855</v>
      </c>
      <c r="C1068">
        <v>30</v>
      </c>
      <c r="D1068" t="s">
        <v>1447</v>
      </c>
      <c r="E1068" t="s">
        <v>1856</v>
      </c>
      <c r="F1068" t="s">
        <v>1737</v>
      </c>
      <c r="K1068" t="str">
        <f>IF(ISBLANK('Q 5'!C232),"",IF('Q 5'!C232="&lt;please select&gt;","",'Q 5'!C232))</f>
        <v/>
      </c>
    </row>
    <row r="1069" spans="1:11" x14ac:dyDescent="0.3">
      <c r="A1069" t="s">
        <v>1847</v>
      </c>
      <c r="B1069" t="s">
        <v>1855</v>
      </c>
      <c r="C1069">
        <v>31</v>
      </c>
      <c r="D1069" t="s">
        <v>1447</v>
      </c>
      <c r="E1069" t="s">
        <v>1856</v>
      </c>
      <c r="F1069" t="s">
        <v>1737</v>
      </c>
      <c r="K1069" t="str">
        <f>IF(ISBLANK('Q 5'!C233),"",IF('Q 5'!C233="&lt;please select&gt;","",'Q 5'!C233))</f>
        <v/>
      </c>
    </row>
    <row r="1070" spans="1:11" x14ac:dyDescent="0.3">
      <c r="A1070" t="s">
        <v>1847</v>
      </c>
      <c r="B1070" t="s">
        <v>1855</v>
      </c>
      <c r="C1070">
        <v>32</v>
      </c>
      <c r="D1070" t="s">
        <v>1447</v>
      </c>
      <c r="E1070" t="s">
        <v>1856</v>
      </c>
      <c r="F1070" t="s">
        <v>1737</v>
      </c>
      <c r="K1070" t="str">
        <f>IF(ISBLANK('Q 5'!C234),"",IF('Q 5'!C234="&lt;please select&gt;","",'Q 5'!C234))</f>
        <v/>
      </c>
    </row>
    <row r="1071" spans="1:11" x14ac:dyDescent="0.3">
      <c r="A1071" t="s">
        <v>1847</v>
      </c>
      <c r="B1071" t="s">
        <v>1855</v>
      </c>
      <c r="C1071">
        <v>33</v>
      </c>
      <c r="D1071" t="s">
        <v>1447</v>
      </c>
      <c r="E1071" t="s">
        <v>1856</v>
      </c>
      <c r="F1071" t="s">
        <v>1737</v>
      </c>
      <c r="K1071" t="str">
        <f>IF(ISBLANK('Q 5'!C235),"",IF('Q 5'!C235="&lt;please select&gt;","",'Q 5'!C235))</f>
        <v/>
      </c>
    </row>
    <row r="1072" spans="1:11" x14ac:dyDescent="0.3">
      <c r="A1072" t="s">
        <v>1847</v>
      </c>
      <c r="B1072" t="s">
        <v>1855</v>
      </c>
      <c r="C1072">
        <v>34</v>
      </c>
      <c r="D1072" t="s">
        <v>1447</v>
      </c>
      <c r="E1072" t="s">
        <v>1856</v>
      </c>
      <c r="F1072" t="s">
        <v>1737</v>
      </c>
      <c r="K1072" t="str">
        <f>IF(ISBLANK('Q 5'!C236),"",IF('Q 5'!C236="&lt;please select&gt;","",'Q 5'!C236))</f>
        <v/>
      </c>
    </row>
    <row r="1073" spans="1:11" x14ac:dyDescent="0.3">
      <c r="A1073" t="s">
        <v>1847</v>
      </c>
      <c r="B1073" t="s">
        <v>1855</v>
      </c>
      <c r="C1073">
        <v>35</v>
      </c>
      <c r="D1073" t="s">
        <v>1447</v>
      </c>
      <c r="E1073" t="s">
        <v>1856</v>
      </c>
      <c r="F1073" t="s">
        <v>1737</v>
      </c>
      <c r="K1073" t="str">
        <f>IF(ISBLANK('Q 5'!C237),"",IF('Q 5'!C237="&lt;please select&gt;","",'Q 5'!C237))</f>
        <v/>
      </c>
    </row>
    <row r="1074" spans="1:11" x14ac:dyDescent="0.3">
      <c r="A1074" t="s">
        <v>1847</v>
      </c>
      <c r="B1074" t="s">
        <v>1855</v>
      </c>
      <c r="C1074">
        <v>36</v>
      </c>
      <c r="D1074" t="s">
        <v>1447</v>
      </c>
      <c r="E1074" t="s">
        <v>1856</v>
      </c>
      <c r="F1074" t="s">
        <v>1737</v>
      </c>
      <c r="K1074" t="str">
        <f>IF(ISBLANK('Q 5'!C238),"",IF('Q 5'!C238="&lt;please select&gt;","",'Q 5'!C238))</f>
        <v/>
      </c>
    </row>
    <row r="1075" spans="1:11" x14ac:dyDescent="0.3">
      <c r="A1075" t="s">
        <v>1847</v>
      </c>
      <c r="B1075" t="s">
        <v>1855</v>
      </c>
      <c r="C1075">
        <v>37</v>
      </c>
      <c r="D1075" t="s">
        <v>1447</v>
      </c>
      <c r="E1075" t="s">
        <v>1856</v>
      </c>
      <c r="F1075" t="s">
        <v>1737</v>
      </c>
      <c r="K1075" t="str">
        <f>IF(ISBLANK('Q 5'!C239),"",IF('Q 5'!C239="&lt;please select&gt;","",'Q 5'!C239))</f>
        <v/>
      </c>
    </row>
    <row r="1076" spans="1:11" x14ac:dyDescent="0.3">
      <c r="A1076" t="s">
        <v>1847</v>
      </c>
      <c r="B1076" t="s">
        <v>1855</v>
      </c>
      <c r="C1076">
        <v>38</v>
      </c>
      <c r="D1076" t="s">
        <v>1447</v>
      </c>
      <c r="E1076" t="s">
        <v>1856</v>
      </c>
      <c r="F1076" t="s">
        <v>1737</v>
      </c>
      <c r="K1076" t="str">
        <f>IF(ISBLANK('Q 5'!C240),"",IF('Q 5'!C240="&lt;please select&gt;","",'Q 5'!C240))</f>
        <v/>
      </c>
    </row>
    <row r="1077" spans="1:11" x14ac:dyDescent="0.3">
      <c r="A1077" t="s">
        <v>1847</v>
      </c>
      <c r="B1077" t="s">
        <v>1855</v>
      </c>
      <c r="C1077">
        <v>39</v>
      </c>
      <c r="D1077" t="s">
        <v>1447</v>
      </c>
      <c r="E1077" t="s">
        <v>1856</v>
      </c>
      <c r="F1077" t="s">
        <v>1737</v>
      </c>
      <c r="K1077" t="str">
        <f>IF(ISBLANK('Q 5'!C241),"",IF('Q 5'!C241="&lt;please select&gt;","",'Q 5'!C241))</f>
        <v/>
      </c>
    </row>
    <row r="1078" spans="1:11" x14ac:dyDescent="0.3">
      <c r="A1078" t="s">
        <v>1847</v>
      </c>
      <c r="B1078" t="s">
        <v>1855</v>
      </c>
      <c r="C1078">
        <v>40</v>
      </c>
      <c r="D1078" t="s">
        <v>1447</v>
      </c>
      <c r="E1078" t="s">
        <v>1856</v>
      </c>
      <c r="F1078" t="s">
        <v>1737</v>
      </c>
      <c r="K1078" t="str">
        <f>IF(ISBLANK('Q 5'!C242),"",IF('Q 5'!C242="&lt;please select&gt;","",'Q 5'!C242))</f>
        <v/>
      </c>
    </row>
    <row r="1079" spans="1:11" x14ac:dyDescent="0.3">
      <c r="A1079" t="s">
        <v>1847</v>
      </c>
      <c r="B1079" t="s">
        <v>1855</v>
      </c>
      <c r="C1079">
        <v>41</v>
      </c>
      <c r="D1079" t="s">
        <v>1447</v>
      </c>
      <c r="E1079" t="s">
        <v>1856</v>
      </c>
      <c r="F1079" t="s">
        <v>1737</v>
      </c>
      <c r="K1079" t="str">
        <f>IF(ISBLANK('Q 5'!C243),"",IF('Q 5'!C243="&lt;please select&gt;","",'Q 5'!C243))</f>
        <v/>
      </c>
    </row>
    <row r="1080" spans="1:11" x14ac:dyDescent="0.3">
      <c r="A1080" t="s">
        <v>1847</v>
      </c>
      <c r="B1080" t="s">
        <v>1855</v>
      </c>
      <c r="C1080">
        <v>42</v>
      </c>
      <c r="D1080" t="s">
        <v>1447</v>
      </c>
      <c r="E1080" t="s">
        <v>1856</v>
      </c>
      <c r="F1080" t="s">
        <v>1737</v>
      </c>
      <c r="K1080" t="str">
        <f>IF(ISBLANK('Q 5'!C244),"",IF('Q 5'!C244="&lt;please select&gt;","",'Q 5'!C244))</f>
        <v/>
      </c>
    </row>
    <row r="1081" spans="1:11" x14ac:dyDescent="0.3">
      <c r="A1081" t="s">
        <v>1847</v>
      </c>
      <c r="B1081" t="s">
        <v>1855</v>
      </c>
      <c r="C1081">
        <v>43</v>
      </c>
      <c r="D1081" t="s">
        <v>1447</v>
      </c>
      <c r="E1081" t="s">
        <v>1856</v>
      </c>
      <c r="F1081" t="s">
        <v>1737</v>
      </c>
      <c r="K1081" t="str">
        <f>IF(ISBLANK('Q 5'!C245),"",IF('Q 5'!C245="&lt;please select&gt;","",'Q 5'!C245))</f>
        <v/>
      </c>
    </row>
    <row r="1082" spans="1:11" x14ac:dyDescent="0.3">
      <c r="A1082" t="s">
        <v>1847</v>
      </c>
      <c r="B1082" t="s">
        <v>1855</v>
      </c>
      <c r="C1082">
        <v>44</v>
      </c>
      <c r="D1082" t="s">
        <v>1447</v>
      </c>
      <c r="E1082" t="s">
        <v>1856</v>
      </c>
      <c r="F1082" t="s">
        <v>1737</v>
      </c>
      <c r="K1082" t="str">
        <f>IF(ISBLANK('Q 5'!C246),"",IF('Q 5'!C246="&lt;please select&gt;","",'Q 5'!C246))</f>
        <v/>
      </c>
    </row>
    <row r="1083" spans="1:11" x14ac:dyDescent="0.3">
      <c r="A1083" t="s">
        <v>1847</v>
      </c>
      <c r="B1083" t="s">
        <v>1855</v>
      </c>
      <c r="C1083">
        <v>45</v>
      </c>
      <c r="D1083" t="s">
        <v>1447</v>
      </c>
      <c r="E1083" t="s">
        <v>1856</v>
      </c>
      <c r="F1083" t="s">
        <v>1737</v>
      </c>
      <c r="K1083" t="str">
        <f>IF(ISBLANK('Q 5'!C247),"",IF('Q 5'!C247="&lt;please select&gt;","",'Q 5'!C247))</f>
        <v/>
      </c>
    </row>
    <row r="1084" spans="1:11" x14ac:dyDescent="0.3">
      <c r="A1084" t="s">
        <v>1847</v>
      </c>
      <c r="B1084" t="s">
        <v>1855</v>
      </c>
      <c r="C1084">
        <v>46</v>
      </c>
      <c r="D1084" t="s">
        <v>1447</v>
      </c>
      <c r="E1084" t="s">
        <v>1856</v>
      </c>
      <c r="F1084" t="s">
        <v>1737</v>
      </c>
      <c r="K1084" t="str">
        <f>IF(ISBLANK('Q 5'!C248),"",IF('Q 5'!C248="&lt;please select&gt;","",'Q 5'!C248))</f>
        <v/>
      </c>
    </row>
    <row r="1085" spans="1:11" x14ac:dyDescent="0.3">
      <c r="A1085" t="s">
        <v>1847</v>
      </c>
      <c r="B1085" t="s">
        <v>1855</v>
      </c>
      <c r="C1085">
        <v>47</v>
      </c>
      <c r="D1085" t="s">
        <v>1447</v>
      </c>
      <c r="E1085" t="s">
        <v>1856</v>
      </c>
      <c r="F1085" t="s">
        <v>1737</v>
      </c>
      <c r="K1085" t="str">
        <f>IF(ISBLANK('Q 5'!C249),"",IF('Q 5'!C249="&lt;please select&gt;","",'Q 5'!C249))</f>
        <v/>
      </c>
    </row>
    <row r="1086" spans="1:11" x14ac:dyDescent="0.3">
      <c r="A1086" t="s">
        <v>1847</v>
      </c>
      <c r="B1086" t="s">
        <v>1855</v>
      </c>
      <c r="C1086">
        <v>48</v>
      </c>
      <c r="D1086" t="s">
        <v>1447</v>
      </c>
      <c r="E1086" t="s">
        <v>1856</v>
      </c>
      <c r="F1086" t="s">
        <v>1737</v>
      </c>
      <c r="K1086" t="str">
        <f>IF(ISBLANK('Q 5'!C250),"",IF('Q 5'!C250="&lt;please select&gt;","",'Q 5'!C250))</f>
        <v/>
      </c>
    </row>
    <row r="1087" spans="1:11" x14ac:dyDescent="0.3">
      <c r="A1087" t="s">
        <v>1847</v>
      </c>
      <c r="B1087" t="s">
        <v>1855</v>
      </c>
      <c r="C1087">
        <v>49</v>
      </c>
      <c r="D1087" t="s">
        <v>1447</v>
      </c>
      <c r="E1087" t="s">
        <v>1856</v>
      </c>
      <c r="F1087" t="s">
        <v>1737</v>
      </c>
      <c r="K1087" t="str">
        <f>IF(ISBLANK('Q 5'!C251),"",IF('Q 5'!C251="&lt;please select&gt;","",'Q 5'!C251))</f>
        <v/>
      </c>
    </row>
    <row r="1088" spans="1:11" x14ac:dyDescent="0.3">
      <c r="A1088" t="s">
        <v>1847</v>
      </c>
      <c r="B1088" t="s">
        <v>1855</v>
      </c>
      <c r="C1088">
        <v>50</v>
      </c>
      <c r="D1088" t="s">
        <v>1447</v>
      </c>
      <c r="E1088" t="s">
        <v>1856</v>
      </c>
      <c r="F1088" t="s">
        <v>1737</v>
      </c>
      <c r="K1088" t="str">
        <f>IF(ISBLANK('Q 5'!C252),"",IF('Q 5'!C252="&lt;please select&gt;","",'Q 5'!C252))</f>
        <v/>
      </c>
    </row>
    <row r="1089" spans="1:11" x14ac:dyDescent="0.3">
      <c r="A1089" t="s">
        <v>1847</v>
      </c>
      <c r="B1089" t="s">
        <v>1855</v>
      </c>
      <c r="C1089">
        <v>51</v>
      </c>
      <c r="D1089" t="s">
        <v>1447</v>
      </c>
      <c r="E1089" t="s">
        <v>1856</v>
      </c>
      <c r="F1089" t="s">
        <v>1737</v>
      </c>
      <c r="K1089" t="str">
        <f>IF(ISBLANK('Q 5'!C253),"",IF('Q 5'!C253="&lt;please select&gt;","",'Q 5'!C253))</f>
        <v/>
      </c>
    </row>
    <row r="1090" spans="1:11" x14ac:dyDescent="0.3">
      <c r="A1090" t="s">
        <v>1847</v>
      </c>
      <c r="B1090" t="s">
        <v>1855</v>
      </c>
      <c r="C1090">
        <v>52</v>
      </c>
      <c r="D1090" t="s">
        <v>1447</v>
      </c>
      <c r="E1090" t="s">
        <v>1856</v>
      </c>
      <c r="F1090" t="s">
        <v>1737</v>
      </c>
      <c r="K1090" t="str">
        <f>IF(ISBLANK('Q 5'!C254),"",IF('Q 5'!C254="&lt;please select&gt;","",'Q 5'!C254))</f>
        <v/>
      </c>
    </row>
    <row r="1091" spans="1:11" x14ac:dyDescent="0.3">
      <c r="A1091" t="s">
        <v>1847</v>
      </c>
      <c r="B1091" t="s">
        <v>1855</v>
      </c>
      <c r="C1091">
        <v>53</v>
      </c>
      <c r="D1091" t="s">
        <v>1447</v>
      </c>
      <c r="E1091" t="s">
        <v>1856</v>
      </c>
      <c r="F1091" t="s">
        <v>1737</v>
      </c>
      <c r="K1091" t="str">
        <f>IF(ISBLANK('Q 5'!C255),"",IF('Q 5'!C255="&lt;please select&gt;","",'Q 5'!C255))</f>
        <v/>
      </c>
    </row>
    <row r="1092" spans="1:11" x14ac:dyDescent="0.3">
      <c r="A1092" t="s">
        <v>1847</v>
      </c>
      <c r="B1092" t="s">
        <v>1855</v>
      </c>
      <c r="C1092">
        <v>54</v>
      </c>
      <c r="D1092" t="s">
        <v>1447</v>
      </c>
      <c r="E1092" t="s">
        <v>1856</v>
      </c>
      <c r="F1092" t="s">
        <v>1737</v>
      </c>
      <c r="K1092" t="str">
        <f>IF(ISBLANK('Q 5'!C256),"",IF('Q 5'!C256="&lt;please select&gt;","",'Q 5'!C256))</f>
        <v/>
      </c>
    </row>
    <row r="1093" spans="1:11" x14ac:dyDescent="0.3">
      <c r="A1093" t="s">
        <v>1847</v>
      </c>
      <c r="B1093" t="s">
        <v>1855</v>
      </c>
      <c r="C1093">
        <v>55</v>
      </c>
      <c r="D1093" t="s">
        <v>1447</v>
      </c>
      <c r="E1093" t="s">
        <v>1856</v>
      </c>
      <c r="F1093" t="s">
        <v>1737</v>
      </c>
      <c r="K1093" t="str">
        <f>IF(ISBLANK('Q 5'!C257),"",IF('Q 5'!C257="&lt;please select&gt;","",'Q 5'!C257))</f>
        <v/>
      </c>
    </row>
    <row r="1094" spans="1:11" x14ac:dyDescent="0.3">
      <c r="A1094" t="s">
        <v>1847</v>
      </c>
      <c r="B1094" t="s">
        <v>1855</v>
      </c>
      <c r="C1094">
        <v>56</v>
      </c>
      <c r="D1094" t="s">
        <v>1447</v>
      </c>
      <c r="E1094" t="s">
        <v>1856</v>
      </c>
      <c r="F1094" t="s">
        <v>1737</v>
      </c>
      <c r="K1094" t="str">
        <f>IF(ISBLANK('Q 5'!C258),"",IF('Q 5'!C258="&lt;please select&gt;","",'Q 5'!C258))</f>
        <v/>
      </c>
    </row>
    <row r="1095" spans="1:11" x14ac:dyDescent="0.3">
      <c r="A1095" t="s">
        <v>1847</v>
      </c>
      <c r="B1095" t="s">
        <v>1855</v>
      </c>
      <c r="C1095">
        <v>57</v>
      </c>
      <c r="D1095" t="s">
        <v>1447</v>
      </c>
      <c r="E1095" t="s">
        <v>1856</v>
      </c>
      <c r="F1095" t="s">
        <v>1737</v>
      </c>
      <c r="K1095" t="str">
        <f>IF(ISBLANK('Q 5'!C259),"",IF('Q 5'!C259="&lt;please select&gt;","",'Q 5'!C259))</f>
        <v/>
      </c>
    </row>
    <row r="1096" spans="1:11" x14ac:dyDescent="0.3">
      <c r="A1096" t="s">
        <v>1847</v>
      </c>
      <c r="B1096" t="s">
        <v>1855</v>
      </c>
      <c r="C1096">
        <v>58</v>
      </c>
      <c r="D1096" t="s">
        <v>1447</v>
      </c>
      <c r="E1096" t="s">
        <v>1856</v>
      </c>
      <c r="F1096" t="s">
        <v>1737</v>
      </c>
      <c r="K1096" t="str">
        <f>IF(ISBLANK('Q 5'!C260),"",IF('Q 5'!C260="&lt;please select&gt;","",'Q 5'!C260))</f>
        <v/>
      </c>
    </row>
    <row r="1097" spans="1:11" x14ac:dyDescent="0.3">
      <c r="A1097" t="s">
        <v>1847</v>
      </c>
      <c r="B1097" t="s">
        <v>1855</v>
      </c>
      <c r="C1097">
        <v>59</v>
      </c>
      <c r="D1097" t="s">
        <v>1447</v>
      </c>
      <c r="E1097" t="s">
        <v>1856</v>
      </c>
      <c r="F1097" t="s">
        <v>1737</v>
      </c>
      <c r="K1097" t="str">
        <f>IF(ISBLANK('Q 5'!C261),"",IF('Q 5'!C261="&lt;please select&gt;","",'Q 5'!C261))</f>
        <v/>
      </c>
    </row>
    <row r="1098" spans="1:11" x14ac:dyDescent="0.3">
      <c r="A1098" t="s">
        <v>1847</v>
      </c>
      <c r="B1098" t="s">
        <v>1855</v>
      </c>
      <c r="C1098">
        <v>60</v>
      </c>
      <c r="D1098" t="s">
        <v>1447</v>
      </c>
      <c r="E1098" t="s">
        <v>1856</v>
      </c>
      <c r="F1098" t="s">
        <v>1737</v>
      </c>
      <c r="K1098" t="str">
        <f>IF(ISBLANK('Q 5'!C262),"",IF('Q 5'!C262="&lt;please select&gt;","",'Q 5'!C262))</f>
        <v/>
      </c>
    </row>
    <row r="1099" spans="1:11" x14ac:dyDescent="0.3">
      <c r="A1099" t="s">
        <v>1847</v>
      </c>
      <c r="B1099" t="s">
        <v>1855</v>
      </c>
      <c r="C1099">
        <v>61</v>
      </c>
      <c r="D1099" t="s">
        <v>1447</v>
      </c>
      <c r="E1099" t="s">
        <v>1856</v>
      </c>
      <c r="F1099" t="s">
        <v>1737</v>
      </c>
      <c r="K1099" t="str">
        <f>IF(ISBLANK('Q 5'!C263),"",IF('Q 5'!C263="&lt;please select&gt;","",'Q 5'!C263))</f>
        <v/>
      </c>
    </row>
    <row r="1100" spans="1:11" x14ac:dyDescent="0.3">
      <c r="A1100" t="s">
        <v>1847</v>
      </c>
      <c r="B1100" t="s">
        <v>1855</v>
      </c>
      <c r="C1100">
        <v>62</v>
      </c>
      <c r="D1100" t="s">
        <v>1447</v>
      </c>
      <c r="E1100" t="s">
        <v>1856</v>
      </c>
      <c r="F1100" t="s">
        <v>1737</v>
      </c>
      <c r="K1100" t="str">
        <f>IF(ISBLANK('Q 5'!C264),"",IF('Q 5'!C264="&lt;please select&gt;","",'Q 5'!C264))</f>
        <v/>
      </c>
    </row>
    <row r="1101" spans="1:11" x14ac:dyDescent="0.3">
      <c r="A1101" t="s">
        <v>1847</v>
      </c>
      <c r="B1101" t="s">
        <v>1855</v>
      </c>
      <c r="C1101">
        <v>63</v>
      </c>
      <c r="D1101" t="s">
        <v>1447</v>
      </c>
      <c r="E1101" t="s">
        <v>1856</v>
      </c>
      <c r="F1101" t="s">
        <v>1737</v>
      </c>
      <c r="K1101" t="str">
        <f>IF(ISBLANK('Q 5'!C265),"",IF('Q 5'!C265="&lt;please select&gt;","",'Q 5'!C265))</f>
        <v/>
      </c>
    </row>
    <row r="1102" spans="1:11" x14ac:dyDescent="0.3">
      <c r="A1102" t="s">
        <v>1847</v>
      </c>
      <c r="B1102" t="s">
        <v>1855</v>
      </c>
      <c r="C1102">
        <v>64</v>
      </c>
      <c r="D1102" t="s">
        <v>1447</v>
      </c>
      <c r="E1102" t="s">
        <v>1856</v>
      </c>
      <c r="F1102" t="s">
        <v>1737</v>
      </c>
      <c r="K1102" t="str">
        <f>IF(ISBLANK('Q 5'!C266),"",IF('Q 5'!C266="&lt;please select&gt;","",'Q 5'!C266))</f>
        <v/>
      </c>
    </row>
    <row r="1103" spans="1:11" x14ac:dyDescent="0.3">
      <c r="A1103" t="s">
        <v>1847</v>
      </c>
      <c r="B1103" t="s">
        <v>1855</v>
      </c>
      <c r="C1103">
        <v>65</v>
      </c>
      <c r="D1103" t="s">
        <v>1447</v>
      </c>
      <c r="E1103" t="s">
        <v>1856</v>
      </c>
      <c r="F1103" t="s">
        <v>1737</v>
      </c>
      <c r="K1103" t="str">
        <f>IF(ISBLANK('Q 5'!C267),"",IF('Q 5'!C267="&lt;please select&gt;","",'Q 5'!C267))</f>
        <v/>
      </c>
    </row>
    <row r="1104" spans="1:11" x14ac:dyDescent="0.3">
      <c r="A1104" t="s">
        <v>1847</v>
      </c>
      <c r="B1104" t="s">
        <v>1855</v>
      </c>
      <c r="C1104">
        <v>66</v>
      </c>
      <c r="D1104" t="s">
        <v>1447</v>
      </c>
      <c r="E1104" t="s">
        <v>1856</v>
      </c>
      <c r="F1104" t="s">
        <v>1737</v>
      </c>
      <c r="K1104" t="str">
        <f>IF(ISBLANK('Q 5'!C268),"",IF('Q 5'!C268="&lt;please select&gt;","",'Q 5'!C268))</f>
        <v/>
      </c>
    </row>
    <row r="1105" spans="1:11" x14ac:dyDescent="0.3">
      <c r="A1105" t="s">
        <v>1847</v>
      </c>
      <c r="B1105" t="s">
        <v>1855</v>
      </c>
      <c r="C1105">
        <v>67</v>
      </c>
      <c r="D1105" t="s">
        <v>1447</v>
      </c>
      <c r="E1105" t="s">
        <v>1856</v>
      </c>
      <c r="F1105" t="s">
        <v>1737</v>
      </c>
      <c r="K1105" t="str">
        <f>IF(ISBLANK('Q 5'!C269),"",IF('Q 5'!C269="&lt;please select&gt;","",'Q 5'!C269))</f>
        <v/>
      </c>
    </row>
    <row r="1106" spans="1:11" x14ac:dyDescent="0.3">
      <c r="A1106" t="s">
        <v>1847</v>
      </c>
      <c r="B1106" t="s">
        <v>1855</v>
      </c>
      <c r="C1106">
        <v>68</v>
      </c>
      <c r="D1106" t="s">
        <v>1447</v>
      </c>
      <c r="E1106" t="s">
        <v>1856</v>
      </c>
      <c r="F1106" t="s">
        <v>1737</v>
      </c>
      <c r="K1106" t="str">
        <f>IF(ISBLANK('Q 5'!C270),"",IF('Q 5'!C270="&lt;please select&gt;","",'Q 5'!C270))</f>
        <v/>
      </c>
    </row>
    <row r="1107" spans="1:11" x14ac:dyDescent="0.3">
      <c r="A1107" t="s">
        <v>1847</v>
      </c>
      <c r="B1107" t="s">
        <v>1855</v>
      </c>
      <c r="C1107">
        <v>69</v>
      </c>
      <c r="D1107" t="s">
        <v>1447</v>
      </c>
      <c r="E1107" t="s">
        <v>1856</v>
      </c>
      <c r="F1107" t="s">
        <v>1737</v>
      </c>
      <c r="K1107" t="str">
        <f>IF(ISBLANK('Q 5'!C271),"",IF('Q 5'!C271="&lt;please select&gt;","",'Q 5'!C271))</f>
        <v/>
      </c>
    </row>
    <row r="1108" spans="1:11" x14ac:dyDescent="0.3">
      <c r="A1108" t="s">
        <v>1847</v>
      </c>
      <c r="B1108" t="s">
        <v>1855</v>
      </c>
      <c r="C1108">
        <v>70</v>
      </c>
      <c r="D1108" t="s">
        <v>1447</v>
      </c>
      <c r="E1108" t="s">
        <v>1856</v>
      </c>
      <c r="F1108" t="s">
        <v>1737</v>
      </c>
      <c r="K1108" t="str">
        <f>IF(ISBLANK('Q 5'!C272),"",IF('Q 5'!C272="&lt;please select&gt;","",'Q 5'!C272))</f>
        <v/>
      </c>
    </row>
    <row r="1109" spans="1:11" x14ac:dyDescent="0.3">
      <c r="A1109" t="s">
        <v>1847</v>
      </c>
      <c r="B1109" t="s">
        <v>1855</v>
      </c>
      <c r="C1109">
        <v>71</v>
      </c>
      <c r="D1109" t="s">
        <v>1447</v>
      </c>
      <c r="E1109" t="s">
        <v>1856</v>
      </c>
      <c r="F1109" t="s">
        <v>1737</v>
      </c>
      <c r="K1109" t="str">
        <f>IF(ISBLANK('Q 5'!C273),"",IF('Q 5'!C273="&lt;please select&gt;","",'Q 5'!C273))</f>
        <v/>
      </c>
    </row>
    <row r="1110" spans="1:11" x14ac:dyDescent="0.3">
      <c r="A1110" t="s">
        <v>1847</v>
      </c>
      <c r="B1110" t="s">
        <v>1855</v>
      </c>
      <c r="C1110">
        <v>72</v>
      </c>
      <c r="D1110" t="s">
        <v>1447</v>
      </c>
      <c r="E1110" t="s">
        <v>1856</v>
      </c>
      <c r="F1110" t="s">
        <v>1737</v>
      </c>
      <c r="K1110" t="str">
        <f>IF(ISBLANK('Q 5'!C274),"",IF('Q 5'!C274="&lt;please select&gt;","",'Q 5'!C274))</f>
        <v/>
      </c>
    </row>
    <row r="1111" spans="1:11" x14ac:dyDescent="0.3">
      <c r="A1111" t="s">
        <v>1847</v>
      </c>
      <c r="B1111" t="s">
        <v>1855</v>
      </c>
      <c r="C1111">
        <v>73</v>
      </c>
      <c r="D1111" t="s">
        <v>1447</v>
      </c>
      <c r="E1111" t="s">
        <v>1856</v>
      </c>
      <c r="F1111" t="s">
        <v>1737</v>
      </c>
      <c r="K1111" t="str">
        <f>IF(ISBLANK('Q 5'!C275),"",IF('Q 5'!C275="&lt;please select&gt;","",'Q 5'!C275))</f>
        <v/>
      </c>
    </row>
    <row r="1112" spans="1:11" x14ac:dyDescent="0.3">
      <c r="A1112" t="s">
        <v>1847</v>
      </c>
      <c r="B1112" t="s">
        <v>1855</v>
      </c>
      <c r="C1112">
        <v>74</v>
      </c>
      <c r="D1112" t="s">
        <v>1447</v>
      </c>
      <c r="E1112" t="s">
        <v>1856</v>
      </c>
      <c r="F1112" t="s">
        <v>1737</v>
      </c>
      <c r="K1112" t="str">
        <f>IF(ISBLANK('Q 5'!C276),"",IF('Q 5'!C276="&lt;please select&gt;","",'Q 5'!C276))</f>
        <v/>
      </c>
    </row>
    <row r="1113" spans="1:11" x14ac:dyDescent="0.3">
      <c r="A1113" t="s">
        <v>1847</v>
      </c>
      <c r="B1113" t="s">
        <v>1855</v>
      </c>
      <c r="C1113">
        <v>75</v>
      </c>
      <c r="D1113" t="s">
        <v>1447</v>
      </c>
      <c r="E1113" t="s">
        <v>1856</v>
      </c>
      <c r="F1113" t="s">
        <v>1737</v>
      </c>
      <c r="K1113" t="str">
        <f>IF(ISBLANK('Q 5'!C277),"",IF('Q 5'!C277="&lt;please select&gt;","",'Q 5'!C277))</f>
        <v/>
      </c>
    </row>
    <row r="1114" spans="1:11" x14ac:dyDescent="0.3">
      <c r="A1114" t="s">
        <v>1847</v>
      </c>
      <c r="B1114" t="s">
        <v>1855</v>
      </c>
      <c r="C1114">
        <v>76</v>
      </c>
      <c r="D1114" t="s">
        <v>1447</v>
      </c>
      <c r="E1114" t="s">
        <v>1856</v>
      </c>
      <c r="F1114" t="s">
        <v>1737</v>
      </c>
      <c r="K1114" t="str">
        <f>IF(ISBLANK('Q 5'!C278),"",IF('Q 5'!C278="&lt;please select&gt;","",'Q 5'!C278))</f>
        <v/>
      </c>
    </row>
    <row r="1115" spans="1:11" x14ac:dyDescent="0.3">
      <c r="A1115" t="s">
        <v>1847</v>
      </c>
      <c r="B1115" t="s">
        <v>1855</v>
      </c>
      <c r="C1115">
        <v>77</v>
      </c>
      <c r="D1115" t="s">
        <v>1447</v>
      </c>
      <c r="E1115" t="s">
        <v>1856</v>
      </c>
      <c r="F1115" t="s">
        <v>1737</v>
      </c>
      <c r="K1115" t="str">
        <f>IF(ISBLANK('Q 5'!C279),"",IF('Q 5'!C279="&lt;please select&gt;","",'Q 5'!C279))</f>
        <v/>
      </c>
    </row>
    <row r="1116" spans="1:11" x14ac:dyDescent="0.3">
      <c r="A1116" t="s">
        <v>1847</v>
      </c>
      <c r="B1116" t="s">
        <v>1855</v>
      </c>
      <c r="C1116">
        <v>78</v>
      </c>
      <c r="D1116" t="s">
        <v>1447</v>
      </c>
      <c r="E1116" t="s">
        <v>1856</v>
      </c>
      <c r="F1116" t="s">
        <v>1737</v>
      </c>
      <c r="K1116" t="str">
        <f>IF(ISBLANK('Q 5'!C280),"",IF('Q 5'!C280="&lt;please select&gt;","",'Q 5'!C280))</f>
        <v/>
      </c>
    </row>
    <row r="1117" spans="1:11" x14ac:dyDescent="0.3">
      <c r="A1117" t="s">
        <v>1847</v>
      </c>
      <c r="B1117" t="s">
        <v>1855</v>
      </c>
      <c r="C1117">
        <v>79</v>
      </c>
      <c r="D1117" t="s">
        <v>1447</v>
      </c>
      <c r="E1117" t="s">
        <v>1856</v>
      </c>
      <c r="F1117" t="s">
        <v>1737</v>
      </c>
      <c r="K1117" t="str">
        <f>IF(ISBLANK('Q 5'!C281),"",IF('Q 5'!C281="&lt;please select&gt;","",'Q 5'!C281))</f>
        <v/>
      </c>
    </row>
    <row r="1118" spans="1:11" x14ac:dyDescent="0.3">
      <c r="A1118" t="s">
        <v>1847</v>
      </c>
      <c r="B1118" t="s">
        <v>1855</v>
      </c>
      <c r="C1118">
        <v>80</v>
      </c>
      <c r="D1118" t="s">
        <v>1447</v>
      </c>
      <c r="E1118" t="s">
        <v>1856</v>
      </c>
      <c r="F1118" t="s">
        <v>1737</v>
      </c>
      <c r="K1118" t="str">
        <f>IF(ISBLANK('Q 5'!C282),"",IF('Q 5'!C282="&lt;please select&gt;","",'Q 5'!C282))</f>
        <v/>
      </c>
    </row>
    <row r="1119" spans="1:11" x14ac:dyDescent="0.3">
      <c r="A1119" t="s">
        <v>1847</v>
      </c>
      <c r="B1119" t="s">
        <v>1855</v>
      </c>
      <c r="C1119">
        <v>81</v>
      </c>
      <c r="D1119" t="s">
        <v>1447</v>
      </c>
      <c r="E1119" t="s">
        <v>1856</v>
      </c>
      <c r="F1119" t="s">
        <v>1737</v>
      </c>
      <c r="K1119" t="str">
        <f>IF(ISBLANK('Q 5'!C283),"",IF('Q 5'!C283="&lt;please select&gt;","",'Q 5'!C283))</f>
        <v/>
      </c>
    </row>
    <row r="1120" spans="1:11" x14ac:dyDescent="0.3">
      <c r="A1120" t="s">
        <v>1847</v>
      </c>
      <c r="B1120" t="s">
        <v>1855</v>
      </c>
      <c r="C1120">
        <v>82</v>
      </c>
      <c r="D1120" t="s">
        <v>1447</v>
      </c>
      <c r="E1120" t="s">
        <v>1856</v>
      </c>
      <c r="F1120" t="s">
        <v>1737</v>
      </c>
      <c r="K1120" t="str">
        <f>IF(ISBLANK('Q 5'!C284),"",IF('Q 5'!C284="&lt;please select&gt;","",'Q 5'!C284))</f>
        <v/>
      </c>
    </row>
    <row r="1121" spans="1:11" x14ac:dyDescent="0.3">
      <c r="A1121" t="s">
        <v>1847</v>
      </c>
      <c r="B1121" t="s">
        <v>1855</v>
      </c>
      <c r="C1121">
        <v>83</v>
      </c>
      <c r="D1121" t="s">
        <v>1447</v>
      </c>
      <c r="E1121" t="s">
        <v>1856</v>
      </c>
      <c r="F1121" t="s">
        <v>1737</v>
      </c>
      <c r="K1121" t="str">
        <f>IF(ISBLANK('Q 5'!C285),"",IF('Q 5'!C285="&lt;please select&gt;","",'Q 5'!C285))</f>
        <v/>
      </c>
    </row>
    <row r="1122" spans="1:11" x14ac:dyDescent="0.3">
      <c r="A1122" t="s">
        <v>1847</v>
      </c>
      <c r="B1122" t="s">
        <v>1855</v>
      </c>
      <c r="C1122">
        <v>84</v>
      </c>
      <c r="D1122" t="s">
        <v>1447</v>
      </c>
      <c r="E1122" t="s">
        <v>1856</v>
      </c>
      <c r="F1122" t="s">
        <v>1737</v>
      </c>
      <c r="K1122" t="str">
        <f>IF(ISBLANK('Q 5'!C286),"",IF('Q 5'!C286="&lt;please select&gt;","",'Q 5'!C286))</f>
        <v/>
      </c>
    </row>
    <row r="1123" spans="1:11" x14ac:dyDescent="0.3">
      <c r="A1123" t="s">
        <v>1847</v>
      </c>
      <c r="B1123" t="s">
        <v>1855</v>
      </c>
      <c r="C1123">
        <v>85</v>
      </c>
      <c r="D1123" t="s">
        <v>1447</v>
      </c>
      <c r="E1123" t="s">
        <v>1856</v>
      </c>
      <c r="F1123" t="s">
        <v>1737</v>
      </c>
      <c r="K1123" t="str">
        <f>IF(ISBLANK('Q 5'!C287),"",IF('Q 5'!C287="&lt;please select&gt;","",'Q 5'!C287))</f>
        <v/>
      </c>
    </row>
    <row r="1124" spans="1:11" x14ac:dyDescent="0.3">
      <c r="A1124" t="s">
        <v>1847</v>
      </c>
      <c r="B1124" t="s">
        <v>1855</v>
      </c>
      <c r="C1124">
        <v>86</v>
      </c>
      <c r="D1124" t="s">
        <v>1447</v>
      </c>
      <c r="E1124" t="s">
        <v>1856</v>
      </c>
      <c r="F1124" t="s">
        <v>1737</v>
      </c>
      <c r="K1124" t="str">
        <f>IF(ISBLANK('Q 5'!C288),"",IF('Q 5'!C288="&lt;please select&gt;","",'Q 5'!C288))</f>
        <v/>
      </c>
    </row>
    <row r="1125" spans="1:11" x14ac:dyDescent="0.3">
      <c r="A1125" t="s">
        <v>1847</v>
      </c>
      <c r="B1125" t="s">
        <v>1855</v>
      </c>
      <c r="C1125">
        <v>87</v>
      </c>
      <c r="D1125" t="s">
        <v>1447</v>
      </c>
      <c r="E1125" t="s">
        <v>1856</v>
      </c>
      <c r="F1125" t="s">
        <v>1737</v>
      </c>
      <c r="K1125" t="str">
        <f>IF(ISBLANK('Q 5'!C289),"",IF('Q 5'!C289="&lt;please select&gt;","",'Q 5'!C289))</f>
        <v/>
      </c>
    </row>
    <row r="1126" spans="1:11" x14ac:dyDescent="0.3">
      <c r="A1126" t="s">
        <v>1847</v>
      </c>
      <c r="B1126" t="s">
        <v>1855</v>
      </c>
      <c r="C1126">
        <v>88</v>
      </c>
      <c r="D1126" t="s">
        <v>1447</v>
      </c>
      <c r="E1126" t="s">
        <v>1856</v>
      </c>
      <c r="F1126" t="s">
        <v>1737</v>
      </c>
      <c r="K1126" t="str">
        <f>IF(ISBLANK('Q 5'!C290),"",IF('Q 5'!C290="&lt;please select&gt;","",'Q 5'!C290))</f>
        <v/>
      </c>
    </row>
    <row r="1127" spans="1:11" x14ac:dyDescent="0.3">
      <c r="A1127" t="s">
        <v>1847</v>
      </c>
      <c r="B1127" t="s">
        <v>1855</v>
      </c>
      <c r="C1127">
        <v>89</v>
      </c>
      <c r="D1127" t="s">
        <v>1447</v>
      </c>
      <c r="E1127" t="s">
        <v>1856</v>
      </c>
      <c r="F1127" t="s">
        <v>1737</v>
      </c>
      <c r="K1127" t="str">
        <f>IF(ISBLANK('Q 5'!C291),"",IF('Q 5'!C291="&lt;please select&gt;","",'Q 5'!C291))</f>
        <v/>
      </c>
    </row>
    <row r="1128" spans="1:11" x14ac:dyDescent="0.3">
      <c r="A1128" t="s">
        <v>1847</v>
      </c>
      <c r="B1128" t="s">
        <v>1855</v>
      </c>
      <c r="C1128">
        <v>90</v>
      </c>
      <c r="D1128" t="s">
        <v>1447</v>
      </c>
      <c r="E1128" t="s">
        <v>1856</v>
      </c>
      <c r="F1128" t="s">
        <v>1737</v>
      </c>
      <c r="K1128" t="str">
        <f>IF(ISBLANK('Q 5'!C292),"",IF('Q 5'!C292="&lt;please select&gt;","",'Q 5'!C292))</f>
        <v/>
      </c>
    </row>
    <row r="1129" spans="1:11" x14ac:dyDescent="0.3">
      <c r="A1129" t="s">
        <v>1847</v>
      </c>
      <c r="B1129" t="s">
        <v>1855</v>
      </c>
      <c r="C1129">
        <v>91</v>
      </c>
      <c r="D1129" t="s">
        <v>1447</v>
      </c>
      <c r="E1129" t="s">
        <v>1856</v>
      </c>
      <c r="F1129" t="s">
        <v>1737</v>
      </c>
      <c r="K1129" t="str">
        <f>IF(ISBLANK('Q 5'!C293),"",IF('Q 5'!C293="&lt;please select&gt;","",'Q 5'!C293))</f>
        <v/>
      </c>
    </row>
    <row r="1130" spans="1:11" x14ac:dyDescent="0.3">
      <c r="A1130" t="s">
        <v>1847</v>
      </c>
      <c r="B1130" t="s">
        <v>1855</v>
      </c>
      <c r="C1130">
        <v>92</v>
      </c>
      <c r="D1130" t="s">
        <v>1447</v>
      </c>
      <c r="E1130" t="s">
        <v>1856</v>
      </c>
      <c r="F1130" t="s">
        <v>1737</v>
      </c>
      <c r="K1130" t="str">
        <f>IF(ISBLANK('Q 5'!C294),"",IF('Q 5'!C294="&lt;please select&gt;","",'Q 5'!C294))</f>
        <v/>
      </c>
    </row>
    <row r="1131" spans="1:11" x14ac:dyDescent="0.3">
      <c r="A1131" t="s">
        <v>1847</v>
      </c>
      <c r="B1131" t="s">
        <v>1855</v>
      </c>
      <c r="C1131">
        <v>93</v>
      </c>
      <c r="D1131" t="s">
        <v>1447</v>
      </c>
      <c r="E1131" t="s">
        <v>1856</v>
      </c>
      <c r="F1131" t="s">
        <v>1737</v>
      </c>
      <c r="K1131" t="str">
        <f>IF(ISBLANK('Q 5'!C295),"",IF('Q 5'!C295="&lt;please select&gt;","",'Q 5'!C295))</f>
        <v/>
      </c>
    </row>
    <row r="1132" spans="1:11" x14ac:dyDescent="0.3">
      <c r="A1132" t="s">
        <v>1847</v>
      </c>
      <c r="B1132" t="s">
        <v>1855</v>
      </c>
      <c r="C1132">
        <v>94</v>
      </c>
      <c r="D1132" t="s">
        <v>1447</v>
      </c>
      <c r="E1132" t="s">
        <v>1856</v>
      </c>
      <c r="F1132" t="s">
        <v>1737</v>
      </c>
      <c r="K1132" t="str">
        <f>IF(ISBLANK('Q 5'!C296),"",IF('Q 5'!C296="&lt;please select&gt;","",'Q 5'!C296))</f>
        <v/>
      </c>
    </row>
    <row r="1133" spans="1:11" x14ac:dyDescent="0.3">
      <c r="A1133" t="s">
        <v>1847</v>
      </c>
      <c r="B1133" t="s">
        <v>1855</v>
      </c>
      <c r="C1133">
        <v>95</v>
      </c>
      <c r="D1133" t="s">
        <v>1447</v>
      </c>
      <c r="E1133" t="s">
        <v>1856</v>
      </c>
      <c r="F1133" t="s">
        <v>1737</v>
      </c>
      <c r="K1133" t="str">
        <f>IF(ISBLANK('Q 5'!C297),"",IF('Q 5'!C297="&lt;please select&gt;","",'Q 5'!C297))</f>
        <v/>
      </c>
    </row>
    <row r="1134" spans="1:11" x14ac:dyDescent="0.3">
      <c r="A1134" t="s">
        <v>1847</v>
      </c>
      <c r="B1134" t="s">
        <v>1855</v>
      </c>
      <c r="C1134">
        <v>96</v>
      </c>
      <c r="D1134" t="s">
        <v>1447</v>
      </c>
      <c r="E1134" t="s">
        <v>1856</v>
      </c>
      <c r="F1134" t="s">
        <v>1737</v>
      </c>
      <c r="K1134" t="str">
        <f>IF(ISBLANK('Q 5'!C298),"",IF('Q 5'!C298="&lt;please select&gt;","",'Q 5'!C298))</f>
        <v/>
      </c>
    </row>
    <row r="1135" spans="1:11" x14ac:dyDescent="0.3">
      <c r="A1135" t="s">
        <v>1847</v>
      </c>
      <c r="B1135" t="s">
        <v>1855</v>
      </c>
      <c r="C1135">
        <v>97</v>
      </c>
      <c r="D1135" t="s">
        <v>1447</v>
      </c>
      <c r="E1135" t="s">
        <v>1856</v>
      </c>
      <c r="F1135" t="s">
        <v>1737</v>
      </c>
      <c r="K1135" t="str">
        <f>IF(ISBLANK('Q 5'!C299),"",IF('Q 5'!C299="&lt;please select&gt;","",'Q 5'!C299))</f>
        <v/>
      </c>
    </row>
    <row r="1136" spans="1:11" x14ac:dyDescent="0.3">
      <c r="A1136" t="s">
        <v>1847</v>
      </c>
      <c r="B1136" t="s">
        <v>1855</v>
      </c>
      <c r="C1136">
        <v>98</v>
      </c>
      <c r="D1136" t="s">
        <v>1447</v>
      </c>
      <c r="E1136" t="s">
        <v>1856</v>
      </c>
      <c r="F1136" t="s">
        <v>1737</v>
      </c>
      <c r="K1136" t="str">
        <f>IF(ISBLANK('Q 5'!C300),"",IF('Q 5'!C300="&lt;please select&gt;","",'Q 5'!C300))</f>
        <v/>
      </c>
    </row>
    <row r="1137" spans="1:11" x14ac:dyDescent="0.3">
      <c r="A1137" t="s">
        <v>1847</v>
      </c>
      <c r="B1137" t="s">
        <v>1855</v>
      </c>
      <c r="C1137">
        <v>99</v>
      </c>
      <c r="D1137" t="s">
        <v>1447</v>
      </c>
      <c r="E1137" t="s">
        <v>1856</v>
      </c>
      <c r="F1137" t="s">
        <v>1737</v>
      </c>
      <c r="K1137" t="str">
        <f>IF(ISBLANK('Q 5'!C301),"",IF('Q 5'!C301="&lt;please select&gt;","",'Q 5'!C301))</f>
        <v/>
      </c>
    </row>
    <row r="1138" spans="1:11" x14ac:dyDescent="0.3">
      <c r="A1138" t="s">
        <v>1847</v>
      </c>
      <c r="B1138" t="s">
        <v>1855</v>
      </c>
      <c r="C1138">
        <v>100</v>
      </c>
      <c r="D1138" t="s">
        <v>1447</v>
      </c>
      <c r="E1138" t="s">
        <v>1856</v>
      </c>
      <c r="F1138" t="s">
        <v>1737</v>
      </c>
      <c r="K1138" t="str">
        <f>IF(ISBLANK('Q 5'!C302),"",IF('Q 5'!C302="&lt;please select&gt;","",'Q 5'!C302))</f>
        <v/>
      </c>
    </row>
    <row r="1139" spans="1:11" x14ac:dyDescent="0.3">
      <c r="A1139" t="s">
        <v>1847</v>
      </c>
      <c r="B1139" t="s">
        <v>1855</v>
      </c>
      <c r="C1139">
        <v>101</v>
      </c>
      <c r="D1139" t="s">
        <v>1447</v>
      </c>
      <c r="E1139" t="s">
        <v>1856</v>
      </c>
      <c r="F1139" t="s">
        <v>1737</v>
      </c>
      <c r="K1139" t="str">
        <f>IF(ISBLANK('Q 5'!C303),"",IF('Q 5'!C303="&lt;please select&gt;","",'Q 5'!C303))</f>
        <v/>
      </c>
    </row>
    <row r="1140" spans="1:11" x14ac:dyDescent="0.3">
      <c r="A1140" t="s">
        <v>1847</v>
      </c>
      <c r="B1140" t="s">
        <v>1855</v>
      </c>
      <c r="C1140">
        <v>102</v>
      </c>
      <c r="D1140" t="s">
        <v>1447</v>
      </c>
      <c r="E1140" t="s">
        <v>1856</v>
      </c>
      <c r="F1140" t="s">
        <v>1737</v>
      </c>
      <c r="K1140" t="str">
        <f>IF(ISBLANK('Q 5'!C304),"",IF('Q 5'!C304="&lt;please select&gt;","",'Q 5'!C304))</f>
        <v/>
      </c>
    </row>
    <row r="1141" spans="1:11" x14ac:dyDescent="0.3">
      <c r="A1141" t="s">
        <v>1847</v>
      </c>
      <c r="B1141" t="s">
        <v>1855</v>
      </c>
      <c r="C1141">
        <v>103</v>
      </c>
      <c r="D1141" t="s">
        <v>1447</v>
      </c>
      <c r="E1141" t="s">
        <v>1856</v>
      </c>
      <c r="F1141" t="s">
        <v>1737</v>
      </c>
      <c r="K1141" t="str">
        <f>IF(ISBLANK('Q 5'!C305),"",IF('Q 5'!C305="&lt;please select&gt;","",'Q 5'!C305))</f>
        <v/>
      </c>
    </row>
    <row r="1142" spans="1:11" x14ac:dyDescent="0.3">
      <c r="A1142" t="s">
        <v>1847</v>
      </c>
      <c r="B1142" t="s">
        <v>1855</v>
      </c>
      <c r="C1142">
        <v>104</v>
      </c>
      <c r="D1142" t="s">
        <v>1447</v>
      </c>
      <c r="E1142" t="s">
        <v>1856</v>
      </c>
      <c r="F1142" t="s">
        <v>1737</v>
      </c>
      <c r="K1142" t="str">
        <f>IF(ISBLANK('Q 5'!C306),"",IF('Q 5'!C306="&lt;please select&gt;","",'Q 5'!C306))</f>
        <v/>
      </c>
    </row>
    <row r="1143" spans="1:11" x14ac:dyDescent="0.3">
      <c r="A1143" t="s">
        <v>1847</v>
      </c>
      <c r="B1143" t="s">
        <v>1855</v>
      </c>
      <c r="C1143">
        <v>105</v>
      </c>
      <c r="D1143" t="s">
        <v>1447</v>
      </c>
      <c r="E1143" t="s">
        <v>1856</v>
      </c>
      <c r="F1143" t="s">
        <v>1737</v>
      </c>
      <c r="K1143" t="str">
        <f>IF(ISBLANK('Q 5'!C307),"",IF('Q 5'!C307="&lt;please select&gt;","",'Q 5'!C307))</f>
        <v/>
      </c>
    </row>
    <row r="1144" spans="1:11" x14ac:dyDescent="0.3">
      <c r="A1144" t="s">
        <v>1847</v>
      </c>
      <c r="B1144" t="s">
        <v>1855</v>
      </c>
      <c r="C1144">
        <v>106</v>
      </c>
      <c r="D1144" t="s">
        <v>1447</v>
      </c>
      <c r="E1144" t="s">
        <v>1856</v>
      </c>
      <c r="F1144" t="s">
        <v>1737</v>
      </c>
      <c r="K1144" t="str">
        <f>IF(ISBLANK('Q 5'!C308),"",IF('Q 5'!C308="&lt;please select&gt;","",'Q 5'!C308))</f>
        <v/>
      </c>
    </row>
    <row r="1145" spans="1:11" x14ac:dyDescent="0.3">
      <c r="A1145" t="s">
        <v>1847</v>
      </c>
      <c r="B1145" t="s">
        <v>1855</v>
      </c>
      <c r="C1145">
        <v>107</v>
      </c>
      <c r="D1145" t="s">
        <v>1447</v>
      </c>
      <c r="E1145" t="s">
        <v>1856</v>
      </c>
      <c r="F1145" t="s">
        <v>1737</v>
      </c>
      <c r="K1145" t="str">
        <f>IF(ISBLANK('Q 5'!C309),"",IF('Q 5'!C309="&lt;please select&gt;","",'Q 5'!C309))</f>
        <v/>
      </c>
    </row>
    <row r="1146" spans="1:11" x14ac:dyDescent="0.3">
      <c r="A1146" t="s">
        <v>1847</v>
      </c>
      <c r="B1146" t="s">
        <v>1855</v>
      </c>
      <c r="C1146">
        <v>108</v>
      </c>
      <c r="D1146" t="s">
        <v>1447</v>
      </c>
      <c r="E1146" t="s">
        <v>1856</v>
      </c>
      <c r="F1146" t="s">
        <v>1737</v>
      </c>
      <c r="K1146" t="str">
        <f>IF(ISBLANK('Q 5'!C310),"",IF('Q 5'!C310="&lt;please select&gt;","",'Q 5'!C310))</f>
        <v/>
      </c>
    </row>
    <row r="1147" spans="1:11" x14ac:dyDescent="0.3">
      <c r="A1147" t="s">
        <v>1847</v>
      </c>
      <c r="B1147" t="s">
        <v>1855</v>
      </c>
      <c r="C1147">
        <v>109</v>
      </c>
      <c r="D1147" t="s">
        <v>1447</v>
      </c>
      <c r="E1147" t="s">
        <v>1856</v>
      </c>
      <c r="F1147" t="s">
        <v>1737</v>
      </c>
      <c r="K1147" t="str">
        <f>IF(ISBLANK('Q 5'!C311),"",IF('Q 5'!C311="&lt;please select&gt;","",'Q 5'!C311))</f>
        <v/>
      </c>
    </row>
    <row r="1148" spans="1:11" x14ac:dyDescent="0.3">
      <c r="A1148" t="s">
        <v>1847</v>
      </c>
      <c r="B1148" t="s">
        <v>1855</v>
      </c>
      <c r="C1148">
        <v>110</v>
      </c>
      <c r="D1148" t="s">
        <v>1447</v>
      </c>
      <c r="E1148" t="s">
        <v>1856</v>
      </c>
      <c r="F1148" t="s">
        <v>1737</v>
      </c>
      <c r="K1148" t="str">
        <f>IF(ISBLANK('Q 5'!C312),"",IF('Q 5'!C312="&lt;please select&gt;","",'Q 5'!C312))</f>
        <v/>
      </c>
    </row>
    <row r="1149" spans="1:11" x14ac:dyDescent="0.3">
      <c r="A1149" t="s">
        <v>1847</v>
      </c>
      <c r="B1149" t="s">
        <v>1855</v>
      </c>
      <c r="C1149">
        <v>111</v>
      </c>
      <c r="D1149" t="s">
        <v>1447</v>
      </c>
      <c r="E1149" t="s">
        <v>1856</v>
      </c>
      <c r="F1149" t="s">
        <v>1737</v>
      </c>
      <c r="K1149" t="str">
        <f>IF(ISBLANK('Q 5'!C313),"",IF('Q 5'!C313="&lt;please select&gt;","",'Q 5'!C313))</f>
        <v/>
      </c>
    </row>
    <row r="1150" spans="1:11" x14ac:dyDescent="0.3">
      <c r="A1150" t="s">
        <v>1847</v>
      </c>
      <c r="B1150" t="s">
        <v>1855</v>
      </c>
      <c r="C1150">
        <v>112</v>
      </c>
      <c r="D1150" t="s">
        <v>1447</v>
      </c>
      <c r="E1150" t="s">
        <v>1856</v>
      </c>
      <c r="F1150" t="s">
        <v>1737</v>
      </c>
      <c r="K1150" t="str">
        <f>IF(ISBLANK('Q 5'!C314),"",IF('Q 5'!C314="&lt;please select&gt;","",'Q 5'!C314))</f>
        <v/>
      </c>
    </row>
    <row r="1151" spans="1:11" x14ac:dyDescent="0.3">
      <c r="A1151" t="s">
        <v>1847</v>
      </c>
      <c r="B1151" t="s">
        <v>1855</v>
      </c>
      <c r="C1151">
        <v>113</v>
      </c>
      <c r="D1151" t="s">
        <v>1447</v>
      </c>
      <c r="E1151" t="s">
        <v>1856</v>
      </c>
      <c r="F1151" t="s">
        <v>1737</v>
      </c>
      <c r="K1151" t="str">
        <f>IF(ISBLANK('Q 5'!C315),"",IF('Q 5'!C315="&lt;please select&gt;","",'Q 5'!C315))</f>
        <v/>
      </c>
    </row>
    <row r="1152" spans="1:11" x14ac:dyDescent="0.3">
      <c r="A1152" t="s">
        <v>1847</v>
      </c>
      <c r="B1152" t="s">
        <v>1855</v>
      </c>
      <c r="C1152">
        <v>114</v>
      </c>
      <c r="D1152" t="s">
        <v>1447</v>
      </c>
      <c r="E1152" t="s">
        <v>1856</v>
      </c>
      <c r="F1152" t="s">
        <v>1737</v>
      </c>
      <c r="K1152" t="str">
        <f>IF(ISBLANK('Q 5'!C316),"",IF('Q 5'!C316="&lt;please select&gt;","",'Q 5'!C316))</f>
        <v/>
      </c>
    </row>
    <row r="1153" spans="1:11" x14ac:dyDescent="0.3">
      <c r="A1153" t="s">
        <v>1847</v>
      </c>
      <c r="B1153" t="s">
        <v>1855</v>
      </c>
      <c r="C1153">
        <v>115</v>
      </c>
      <c r="D1153" t="s">
        <v>1447</v>
      </c>
      <c r="E1153" t="s">
        <v>1856</v>
      </c>
      <c r="F1153" t="s">
        <v>1737</v>
      </c>
      <c r="K1153" t="str">
        <f>IF(ISBLANK('Q 5'!C317),"",IF('Q 5'!C317="&lt;please select&gt;","",'Q 5'!C317))</f>
        <v/>
      </c>
    </row>
    <row r="1154" spans="1:11" x14ac:dyDescent="0.3">
      <c r="A1154" t="s">
        <v>1847</v>
      </c>
      <c r="B1154" t="s">
        <v>1855</v>
      </c>
      <c r="C1154">
        <v>116</v>
      </c>
      <c r="D1154" t="s">
        <v>1447</v>
      </c>
      <c r="E1154" t="s">
        <v>1856</v>
      </c>
      <c r="F1154" t="s">
        <v>1737</v>
      </c>
      <c r="K1154" t="str">
        <f>IF(ISBLANK('Q 5'!C318),"",IF('Q 5'!C318="&lt;please select&gt;","",'Q 5'!C318))</f>
        <v/>
      </c>
    </row>
    <row r="1155" spans="1:11" x14ac:dyDescent="0.3">
      <c r="A1155" t="s">
        <v>1847</v>
      </c>
      <c r="B1155" t="s">
        <v>1855</v>
      </c>
      <c r="C1155">
        <v>117</v>
      </c>
      <c r="D1155" t="s">
        <v>1447</v>
      </c>
      <c r="E1155" t="s">
        <v>1856</v>
      </c>
      <c r="F1155" t="s">
        <v>1737</v>
      </c>
      <c r="K1155" t="str">
        <f>IF(ISBLANK('Q 5'!C319),"",IF('Q 5'!C319="&lt;please select&gt;","",'Q 5'!C319))</f>
        <v/>
      </c>
    </row>
    <row r="1156" spans="1:11" x14ac:dyDescent="0.3">
      <c r="A1156" t="s">
        <v>1847</v>
      </c>
      <c r="B1156" t="s">
        <v>1855</v>
      </c>
      <c r="C1156">
        <v>118</v>
      </c>
      <c r="D1156" t="s">
        <v>1447</v>
      </c>
      <c r="E1156" t="s">
        <v>1856</v>
      </c>
      <c r="F1156" t="s">
        <v>1737</v>
      </c>
      <c r="K1156" t="str">
        <f>IF(ISBLANK('Q 5'!C320),"",IF('Q 5'!C320="&lt;please select&gt;","",'Q 5'!C320))</f>
        <v/>
      </c>
    </row>
    <row r="1157" spans="1:11" x14ac:dyDescent="0.3">
      <c r="A1157" t="s">
        <v>1847</v>
      </c>
      <c r="B1157" t="s">
        <v>1855</v>
      </c>
      <c r="C1157">
        <v>119</v>
      </c>
      <c r="D1157" t="s">
        <v>1447</v>
      </c>
      <c r="E1157" t="s">
        <v>1856</v>
      </c>
      <c r="F1157" t="s">
        <v>1737</v>
      </c>
      <c r="K1157" t="str">
        <f>IF(ISBLANK('Q 5'!C321),"",IF('Q 5'!C321="&lt;please select&gt;","",'Q 5'!C321))</f>
        <v/>
      </c>
    </row>
    <row r="1158" spans="1:11" x14ac:dyDescent="0.3">
      <c r="A1158" t="s">
        <v>1847</v>
      </c>
      <c r="B1158" t="s">
        <v>1855</v>
      </c>
      <c r="C1158">
        <v>120</v>
      </c>
      <c r="D1158" t="s">
        <v>1447</v>
      </c>
      <c r="E1158" t="s">
        <v>1856</v>
      </c>
      <c r="F1158" t="s">
        <v>1737</v>
      </c>
      <c r="K1158" t="str">
        <f>IF(ISBLANK('Q 5'!C322),"",IF('Q 5'!C322="&lt;please select&gt;","",'Q 5'!C322))</f>
        <v/>
      </c>
    </row>
    <row r="1159" spans="1:11" x14ac:dyDescent="0.3">
      <c r="A1159" t="s">
        <v>1847</v>
      </c>
      <c r="B1159" t="s">
        <v>1855</v>
      </c>
      <c r="C1159">
        <v>121</v>
      </c>
      <c r="D1159" t="s">
        <v>1447</v>
      </c>
      <c r="E1159" t="s">
        <v>1856</v>
      </c>
      <c r="F1159" t="s">
        <v>1737</v>
      </c>
      <c r="K1159" t="str">
        <f>IF(ISBLANK('Q 5'!C323),"",IF('Q 5'!C323="&lt;please select&gt;","",'Q 5'!C323))</f>
        <v/>
      </c>
    </row>
    <row r="1160" spans="1:11" x14ac:dyDescent="0.3">
      <c r="A1160" t="s">
        <v>1847</v>
      </c>
      <c r="B1160" t="s">
        <v>1855</v>
      </c>
      <c r="C1160">
        <v>122</v>
      </c>
      <c r="D1160" t="s">
        <v>1447</v>
      </c>
      <c r="E1160" t="s">
        <v>1856</v>
      </c>
      <c r="F1160" t="s">
        <v>1737</v>
      </c>
      <c r="K1160" t="str">
        <f>IF(ISBLANK('Q 5'!C324),"",IF('Q 5'!C324="&lt;please select&gt;","",'Q 5'!C324))</f>
        <v/>
      </c>
    </row>
    <row r="1161" spans="1:11" x14ac:dyDescent="0.3">
      <c r="A1161" t="s">
        <v>1847</v>
      </c>
      <c r="B1161" t="s">
        <v>1855</v>
      </c>
      <c r="C1161">
        <v>123</v>
      </c>
      <c r="D1161" t="s">
        <v>1447</v>
      </c>
      <c r="E1161" t="s">
        <v>1856</v>
      </c>
      <c r="F1161" t="s">
        <v>1737</v>
      </c>
      <c r="K1161" t="str">
        <f>IF(ISBLANK('Q 5'!C325),"",IF('Q 5'!C325="&lt;please select&gt;","",'Q 5'!C325))</f>
        <v/>
      </c>
    </row>
    <row r="1162" spans="1:11" x14ac:dyDescent="0.3">
      <c r="A1162" t="s">
        <v>1847</v>
      </c>
      <c r="B1162" t="s">
        <v>1855</v>
      </c>
      <c r="C1162">
        <v>124</v>
      </c>
      <c r="D1162" t="s">
        <v>1447</v>
      </c>
      <c r="E1162" t="s">
        <v>1856</v>
      </c>
      <c r="F1162" t="s">
        <v>1737</v>
      </c>
      <c r="K1162" t="str">
        <f>IF(ISBLANK('Q 5'!C326),"",IF('Q 5'!C326="&lt;please select&gt;","",'Q 5'!C326))</f>
        <v/>
      </c>
    </row>
    <row r="1163" spans="1:11" x14ac:dyDescent="0.3">
      <c r="A1163" t="s">
        <v>1847</v>
      </c>
      <c r="B1163" t="s">
        <v>1855</v>
      </c>
      <c r="C1163">
        <v>125</v>
      </c>
      <c r="D1163" t="s">
        <v>1447</v>
      </c>
      <c r="E1163" t="s">
        <v>1856</v>
      </c>
      <c r="F1163" t="s">
        <v>1737</v>
      </c>
      <c r="K1163" t="str">
        <f>IF(ISBLANK('Q 5'!C327),"",IF('Q 5'!C327="&lt;please select&gt;","",'Q 5'!C327))</f>
        <v/>
      </c>
    </row>
    <row r="1164" spans="1:11" x14ac:dyDescent="0.3">
      <c r="A1164" t="s">
        <v>1847</v>
      </c>
      <c r="B1164" t="s">
        <v>1855</v>
      </c>
      <c r="C1164">
        <v>126</v>
      </c>
      <c r="D1164" t="s">
        <v>1447</v>
      </c>
      <c r="E1164" t="s">
        <v>1856</v>
      </c>
      <c r="F1164" t="s">
        <v>1737</v>
      </c>
      <c r="K1164" t="str">
        <f>IF(ISBLANK('Q 5'!C328),"",IF('Q 5'!C328="&lt;please select&gt;","",'Q 5'!C328))</f>
        <v/>
      </c>
    </row>
    <row r="1165" spans="1:11" x14ac:dyDescent="0.3">
      <c r="A1165" t="s">
        <v>1847</v>
      </c>
      <c r="B1165" t="s">
        <v>1855</v>
      </c>
      <c r="C1165">
        <v>127</v>
      </c>
      <c r="D1165" t="s">
        <v>1447</v>
      </c>
      <c r="E1165" t="s">
        <v>1856</v>
      </c>
      <c r="F1165" t="s">
        <v>1737</v>
      </c>
      <c r="K1165" t="str">
        <f>IF(ISBLANK('Q 5'!C329),"",IF('Q 5'!C329="&lt;please select&gt;","",'Q 5'!C329))</f>
        <v/>
      </c>
    </row>
    <row r="1166" spans="1:11" x14ac:dyDescent="0.3">
      <c r="A1166" t="s">
        <v>1847</v>
      </c>
      <c r="B1166" t="s">
        <v>1855</v>
      </c>
      <c r="C1166">
        <v>128</v>
      </c>
      <c r="D1166" t="s">
        <v>1447</v>
      </c>
      <c r="E1166" t="s">
        <v>1856</v>
      </c>
      <c r="F1166" t="s">
        <v>1737</v>
      </c>
      <c r="K1166" t="str">
        <f>IF(ISBLANK('Q 5'!C330),"",IF('Q 5'!C330="&lt;please select&gt;","",'Q 5'!C330))</f>
        <v/>
      </c>
    </row>
    <row r="1167" spans="1:11" x14ac:dyDescent="0.3">
      <c r="A1167" t="s">
        <v>1847</v>
      </c>
      <c r="B1167" t="s">
        <v>1855</v>
      </c>
      <c r="C1167">
        <v>129</v>
      </c>
      <c r="D1167" t="s">
        <v>1447</v>
      </c>
      <c r="E1167" t="s">
        <v>1856</v>
      </c>
      <c r="F1167" t="s">
        <v>1737</v>
      </c>
      <c r="K1167" t="str">
        <f>IF(ISBLANK('Q 5'!C331),"",IF('Q 5'!C331="&lt;please select&gt;","",'Q 5'!C331))</f>
        <v/>
      </c>
    </row>
    <row r="1168" spans="1:11" x14ac:dyDescent="0.3">
      <c r="A1168" t="s">
        <v>1847</v>
      </c>
      <c r="B1168" t="s">
        <v>1855</v>
      </c>
      <c r="C1168">
        <v>130</v>
      </c>
      <c r="D1168" t="s">
        <v>1447</v>
      </c>
      <c r="E1168" t="s">
        <v>1856</v>
      </c>
      <c r="F1168" t="s">
        <v>1737</v>
      </c>
      <c r="K1168" t="str">
        <f>IF(ISBLANK('Q 5'!C332),"",IF('Q 5'!C332="&lt;please select&gt;","",'Q 5'!C332))</f>
        <v/>
      </c>
    </row>
    <row r="1169" spans="1:11" x14ac:dyDescent="0.3">
      <c r="A1169" t="s">
        <v>1847</v>
      </c>
      <c r="B1169" t="s">
        <v>1855</v>
      </c>
      <c r="C1169">
        <v>131</v>
      </c>
      <c r="D1169" t="s">
        <v>1447</v>
      </c>
      <c r="E1169" t="s">
        <v>1856</v>
      </c>
      <c r="F1169" t="s">
        <v>1737</v>
      </c>
      <c r="K1169" t="str">
        <f>IF(ISBLANK('Q 5'!C333),"",IF('Q 5'!C333="&lt;please select&gt;","",'Q 5'!C333))</f>
        <v/>
      </c>
    </row>
    <row r="1170" spans="1:11" x14ac:dyDescent="0.3">
      <c r="A1170" t="s">
        <v>1847</v>
      </c>
      <c r="B1170" t="s">
        <v>1855</v>
      </c>
      <c r="C1170">
        <v>132</v>
      </c>
      <c r="D1170" t="s">
        <v>1447</v>
      </c>
      <c r="E1170" t="s">
        <v>1856</v>
      </c>
      <c r="F1170" t="s">
        <v>1737</v>
      </c>
      <c r="K1170" t="str">
        <f>IF(ISBLANK('Q 5'!C334),"",IF('Q 5'!C334="&lt;please select&gt;","",'Q 5'!C334))</f>
        <v/>
      </c>
    </row>
    <row r="1171" spans="1:11" x14ac:dyDescent="0.3">
      <c r="A1171" t="s">
        <v>1847</v>
      </c>
      <c r="B1171" t="s">
        <v>1855</v>
      </c>
      <c r="C1171">
        <v>133</v>
      </c>
      <c r="D1171" t="s">
        <v>1447</v>
      </c>
      <c r="E1171" t="s">
        <v>1856</v>
      </c>
      <c r="F1171" t="s">
        <v>1737</v>
      </c>
      <c r="K1171" t="str">
        <f>IF(ISBLANK('Q 5'!C335),"",IF('Q 5'!C335="&lt;please select&gt;","",'Q 5'!C335))</f>
        <v/>
      </c>
    </row>
    <row r="1172" spans="1:11" x14ac:dyDescent="0.3">
      <c r="A1172" t="s">
        <v>1847</v>
      </c>
      <c r="B1172" t="s">
        <v>1855</v>
      </c>
      <c r="C1172">
        <v>134</v>
      </c>
      <c r="D1172" t="s">
        <v>1447</v>
      </c>
      <c r="E1172" t="s">
        <v>1856</v>
      </c>
      <c r="F1172" t="s">
        <v>1737</v>
      </c>
      <c r="K1172" t="str">
        <f>IF(ISBLANK('Q 5'!C336),"",IF('Q 5'!C336="&lt;please select&gt;","",'Q 5'!C336))</f>
        <v/>
      </c>
    </row>
    <row r="1173" spans="1:11" x14ac:dyDescent="0.3">
      <c r="A1173" t="s">
        <v>1847</v>
      </c>
      <c r="B1173" t="s">
        <v>1855</v>
      </c>
      <c r="C1173">
        <v>135</v>
      </c>
      <c r="D1173" t="s">
        <v>1447</v>
      </c>
      <c r="E1173" t="s">
        <v>1856</v>
      </c>
      <c r="F1173" t="s">
        <v>1737</v>
      </c>
      <c r="K1173" t="str">
        <f>IF(ISBLANK('Q 5'!C337),"",IF('Q 5'!C337="&lt;please select&gt;","",'Q 5'!C337))</f>
        <v/>
      </c>
    </row>
    <row r="1174" spans="1:11" x14ac:dyDescent="0.3">
      <c r="A1174" t="s">
        <v>1847</v>
      </c>
      <c r="B1174" t="s">
        <v>1855</v>
      </c>
      <c r="C1174">
        <v>136</v>
      </c>
      <c r="D1174" t="s">
        <v>1447</v>
      </c>
      <c r="E1174" t="s">
        <v>1856</v>
      </c>
      <c r="F1174" t="s">
        <v>1737</v>
      </c>
      <c r="K1174" t="str">
        <f>IF(ISBLANK('Q 5'!C338),"",IF('Q 5'!C338="&lt;please select&gt;","",'Q 5'!C338))</f>
        <v/>
      </c>
    </row>
    <row r="1175" spans="1:11" x14ac:dyDescent="0.3">
      <c r="A1175" t="s">
        <v>1847</v>
      </c>
      <c r="B1175" t="s">
        <v>1855</v>
      </c>
      <c r="C1175">
        <v>137</v>
      </c>
      <c r="D1175" t="s">
        <v>1447</v>
      </c>
      <c r="E1175" t="s">
        <v>1856</v>
      </c>
      <c r="F1175" t="s">
        <v>1737</v>
      </c>
      <c r="K1175" t="str">
        <f>IF(ISBLANK('Q 5'!C339),"",IF('Q 5'!C339="&lt;please select&gt;","",'Q 5'!C339))</f>
        <v/>
      </c>
    </row>
    <row r="1176" spans="1:11" x14ac:dyDescent="0.3">
      <c r="A1176" t="s">
        <v>1847</v>
      </c>
      <c r="B1176" t="s">
        <v>1855</v>
      </c>
      <c r="C1176">
        <v>138</v>
      </c>
      <c r="D1176" t="s">
        <v>1447</v>
      </c>
      <c r="E1176" t="s">
        <v>1856</v>
      </c>
      <c r="F1176" t="s">
        <v>1737</v>
      </c>
      <c r="K1176" t="str">
        <f>IF(ISBLANK('Q 5'!C340),"",IF('Q 5'!C340="&lt;please select&gt;","",'Q 5'!C340))</f>
        <v/>
      </c>
    </row>
    <row r="1177" spans="1:11" x14ac:dyDescent="0.3">
      <c r="A1177" t="s">
        <v>1847</v>
      </c>
      <c r="B1177" t="s">
        <v>1855</v>
      </c>
      <c r="C1177">
        <v>139</v>
      </c>
      <c r="D1177" t="s">
        <v>1447</v>
      </c>
      <c r="E1177" t="s">
        <v>1856</v>
      </c>
      <c r="F1177" t="s">
        <v>1737</v>
      </c>
      <c r="K1177" t="str">
        <f>IF(ISBLANK('Q 5'!C341),"",IF('Q 5'!C341="&lt;please select&gt;","",'Q 5'!C341))</f>
        <v/>
      </c>
    </row>
    <row r="1178" spans="1:11" x14ac:dyDescent="0.3">
      <c r="A1178" t="s">
        <v>1847</v>
      </c>
      <c r="B1178" t="s">
        <v>1855</v>
      </c>
      <c r="C1178">
        <v>140</v>
      </c>
      <c r="D1178" t="s">
        <v>1447</v>
      </c>
      <c r="E1178" t="s">
        <v>1856</v>
      </c>
      <c r="F1178" t="s">
        <v>1737</v>
      </c>
      <c r="K1178" t="str">
        <f>IF(ISBLANK('Q 5'!C342),"",IF('Q 5'!C342="&lt;please select&gt;","",'Q 5'!C342))</f>
        <v/>
      </c>
    </row>
    <row r="1179" spans="1:11" x14ac:dyDescent="0.3">
      <c r="A1179" t="s">
        <v>1847</v>
      </c>
      <c r="B1179" t="s">
        <v>1855</v>
      </c>
      <c r="C1179">
        <v>141</v>
      </c>
      <c r="D1179" t="s">
        <v>1447</v>
      </c>
      <c r="E1179" t="s">
        <v>1856</v>
      </c>
      <c r="F1179" t="s">
        <v>1737</v>
      </c>
      <c r="K1179" t="str">
        <f>IF(ISBLANK('Q 5'!C343),"",IF('Q 5'!C343="&lt;please select&gt;","",'Q 5'!C343))</f>
        <v/>
      </c>
    </row>
    <row r="1180" spans="1:11" x14ac:dyDescent="0.3">
      <c r="A1180" t="s">
        <v>1847</v>
      </c>
      <c r="B1180" t="s">
        <v>1855</v>
      </c>
      <c r="C1180">
        <v>142</v>
      </c>
      <c r="D1180" t="s">
        <v>1447</v>
      </c>
      <c r="E1180" t="s">
        <v>1856</v>
      </c>
      <c r="F1180" t="s">
        <v>1737</v>
      </c>
      <c r="K1180" t="str">
        <f>IF(ISBLANK('Q 5'!C344),"",IF('Q 5'!C344="&lt;please select&gt;","",'Q 5'!C344))</f>
        <v/>
      </c>
    </row>
    <row r="1181" spans="1:11" x14ac:dyDescent="0.3">
      <c r="A1181" t="s">
        <v>1847</v>
      </c>
      <c r="B1181" t="s">
        <v>1855</v>
      </c>
      <c r="C1181">
        <v>143</v>
      </c>
      <c r="D1181" t="s">
        <v>1447</v>
      </c>
      <c r="E1181" t="s">
        <v>1856</v>
      </c>
      <c r="F1181" t="s">
        <v>1737</v>
      </c>
      <c r="K1181" t="str">
        <f>IF(ISBLANK('Q 5'!C345),"",IF('Q 5'!C345="&lt;please select&gt;","",'Q 5'!C345))</f>
        <v/>
      </c>
    </row>
    <row r="1182" spans="1:11" x14ac:dyDescent="0.3">
      <c r="A1182" t="s">
        <v>1847</v>
      </c>
      <c r="B1182" t="s">
        <v>1855</v>
      </c>
      <c r="C1182">
        <v>144</v>
      </c>
      <c r="D1182" t="s">
        <v>1447</v>
      </c>
      <c r="E1182" t="s">
        <v>1856</v>
      </c>
      <c r="F1182" t="s">
        <v>1737</v>
      </c>
      <c r="K1182" t="str">
        <f>IF(ISBLANK('Q 5'!C346),"",IF('Q 5'!C346="&lt;please select&gt;","",'Q 5'!C346))</f>
        <v/>
      </c>
    </row>
    <row r="1183" spans="1:11" x14ac:dyDescent="0.3">
      <c r="A1183" t="s">
        <v>1847</v>
      </c>
      <c r="B1183" t="s">
        <v>1855</v>
      </c>
      <c r="C1183">
        <v>145</v>
      </c>
      <c r="D1183" t="s">
        <v>1447</v>
      </c>
      <c r="E1183" t="s">
        <v>1856</v>
      </c>
      <c r="F1183" t="s">
        <v>1737</v>
      </c>
      <c r="K1183" t="str">
        <f>IF(ISBLANK('Q 5'!C347),"",IF('Q 5'!C347="&lt;please select&gt;","",'Q 5'!C347))</f>
        <v/>
      </c>
    </row>
    <row r="1184" spans="1:11" x14ac:dyDescent="0.3">
      <c r="A1184" t="s">
        <v>1847</v>
      </c>
      <c r="B1184" t="s">
        <v>1855</v>
      </c>
      <c r="C1184">
        <v>146</v>
      </c>
      <c r="D1184" t="s">
        <v>1447</v>
      </c>
      <c r="E1184" t="s">
        <v>1856</v>
      </c>
      <c r="F1184" t="s">
        <v>1737</v>
      </c>
      <c r="K1184" t="str">
        <f>IF(ISBLANK('Q 5'!C348),"",IF('Q 5'!C348="&lt;please select&gt;","",'Q 5'!C348))</f>
        <v/>
      </c>
    </row>
    <row r="1185" spans="1:11" x14ac:dyDescent="0.3">
      <c r="A1185" t="s">
        <v>1847</v>
      </c>
      <c r="B1185" t="s">
        <v>1855</v>
      </c>
      <c r="C1185">
        <v>147</v>
      </c>
      <c r="D1185" t="s">
        <v>1447</v>
      </c>
      <c r="E1185" t="s">
        <v>1856</v>
      </c>
      <c r="F1185" t="s">
        <v>1737</v>
      </c>
      <c r="K1185" t="str">
        <f>IF(ISBLANK('Q 5'!C349),"",IF('Q 5'!C349="&lt;please select&gt;","",'Q 5'!C349))</f>
        <v/>
      </c>
    </row>
    <row r="1186" spans="1:11" x14ac:dyDescent="0.3">
      <c r="A1186" t="s">
        <v>1847</v>
      </c>
      <c r="B1186" t="s">
        <v>1855</v>
      </c>
      <c r="C1186">
        <v>148</v>
      </c>
      <c r="D1186" t="s">
        <v>1447</v>
      </c>
      <c r="E1186" t="s">
        <v>1856</v>
      </c>
      <c r="F1186" t="s">
        <v>1737</v>
      </c>
      <c r="K1186" t="str">
        <f>IF(ISBLANK('Q 5'!C350),"",IF('Q 5'!C350="&lt;please select&gt;","",'Q 5'!C350))</f>
        <v/>
      </c>
    </row>
    <row r="1187" spans="1:11" x14ac:dyDescent="0.3">
      <c r="A1187" t="s">
        <v>1847</v>
      </c>
      <c r="B1187" t="s">
        <v>1855</v>
      </c>
      <c r="C1187">
        <v>149</v>
      </c>
      <c r="D1187" t="s">
        <v>1447</v>
      </c>
      <c r="E1187" t="s">
        <v>1856</v>
      </c>
      <c r="F1187" t="s">
        <v>1737</v>
      </c>
      <c r="K1187" t="str">
        <f>IF(ISBLANK('Q 5'!C351),"",IF('Q 5'!C351="&lt;please select&gt;","",'Q 5'!C351))</f>
        <v/>
      </c>
    </row>
    <row r="1188" spans="1:11" x14ac:dyDescent="0.3">
      <c r="A1188" t="s">
        <v>1847</v>
      </c>
      <c r="B1188" t="s">
        <v>1855</v>
      </c>
      <c r="C1188">
        <v>150</v>
      </c>
      <c r="D1188" t="s">
        <v>1447</v>
      </c>
      <c r="E1188" t="s">
        <v>1856</v>
      </c>
      <c r="F1188" t="s">
        <v>1737</v>
      </c>
      <c r="K1188" t="str">
        <f>IF(ISBLANK('Q 5'!C352),"",IF('Q 5'!C352="&lt;please select&gt;","",'Q 5'!C352))</f>
        <v/>
      </c>
    </row>
    <row r="1189" spans="1:11" x14ac:dyDescent="0.3">
      <c r="A1189" t="s">
        <v>1847</v>
      </c>
      <c r="B1189" t="s">
        <v>1855</v>
      </c>
      <c r="C1189">
        <v>151</v>
      </c>
      <c r="D1189" t="s">
        <v>1447</v>
      </c>
      <c r="E1189" t="s">
        <v>1856</v>
      </c>
      <c r="F1189" t="s">
        <v>1737</v>
      </c>
      <c r="K1189" t="str">
        <f>IF(ISBLANK('Q 5'!C353),"",IF('Q 5'!C353="&lt;please select&gt;","",'Q 5'!C353))</f>
        <v/>
      </c>
    </row>
    <row r="1190" spans="1:11" x14ac:dyDescent="0.3">
      <c r="A1190" t="s">
        <v>1847</v>
      </c>
      <c r="B1190" t="s">
        <v>1855</v>
      </c>
      <c r="C1190">
        <v>152</v>
      </c>
      <c r="D1190" t="s">
        <v>1447</v>
      </c>
      <c r="E1190" t="s">
        <v>1856</v>
      </c>
      <c r="F1190" t="s">
        <v>1737</v>
      </c>
      <c r="K1190" t="str">
        <f>IF(ISBLANK('Q 5'!C354),"",IF('Q 5'!C354="&lt;please select&gt;","",'Q 5'!C354))</f>
        <v/>
      </c>
    </row>
    <row r="1191" spans="1:11" x14ac:dyDescent="0.3">
      <c r="A1191" t="s">
        <v>1847</v>
      </c>
      <c r="B1191" t="s">
        <v>1855</v>
      </c>
      <c r="C1191">
        <v>153</v>
      </c>
      <c r="D1191" t="s">
        <v>1447</v>
      </c>
      <c r="E1191" t="s">
        <v>1856</v>
      </c>
      <c r="F1191" t="s">
        <v>1737</v>
      </c>
      <c r="K1191" t="str">
        <f>IF(ISBLANK('Q 5'!C355),"",IF('Q 5'!C355="&lt;please select&gt;","",'Q 5'!C355))</f>
        <v/>
      </c>
    </row>
    <row r="1192" spans="1:11" x14ac:dyDescent="0.3">
      <c r="A1192" t="s">
        <v>1847</v>
      </c>
      <c r="B1192" t="s">
        <v>1855</v>
      </c>
      <c r="C1192">
        <v>154</v>
      </c>
      <c r="D1192" t="s">
        <v>1447</v>
      </c>
      <c r="E1192" t="s">
        <v>1856</v>
      </c>
      <c r="F1192" t="s">
        <v>1737</v>
      </c>
      <c r="K1192" t="str">
        <f>IF(ISBLANK('Q 5'!C356),"",IF('Q 5'!C356="&lt;please select&gt;","",'Q 5'!C356))</f>
        <v/>
      </c>
    </row>
    <row r="1193" spans="1:11" x14ac:dyDescent="0.3">
      <c r="A1193" t="s">
        <v>1847</v>
      </c>
      <c r="B1193" t="s">
        <v>1855</v>
      </c>
      <c r="C1193">
        <v>155</v>
      </c>
      <c r="D1193" t="s">
        <v>1447</v>
      </c>
      <c r="E1193" t="s">
        <v>1856</v>
      </c>
      <c r="F1193" t="s">
        <v>1737</v>
      </c>
      <c r="K1193" t="str">
        <f>IF(ISBLANK('Q 5'!C357),"",IF('Q 5'!C357="&lt;please select&gt;","",'Q 5'!C357))</f>
        <v/>
      </c>
    </row>
    <row r="1194" spans="1:11" x14ac:dyDescent="0.3">
      <c r="A1194" t="s">
        <v>1847</v>
      </c>
      <c r="B1194" t="s">
        <v>1855</v>
      </c>
      <c r="C1194">
        <v>156</v>
      </c>
      <c r="D1194" t="s">
        <v>1447</v>
      </c>
      <c r="E1194" t="s">
        <v>1856</v>
      </c>
      <c r="F1194" t="s">
        <v>1737</v>
      </c>
      <c r="K1194" t="str">
        <f>IF(ISBLANK('Q 5'!C358),"",IF('Q 5'!C358="&lt;please select&gt;","",'Q 5'!C358))</f>
        <v/>
      </c>
    </row>
    <row r="1195" spans="1:11" x14ac:dyDescent="0.3">
      <c r="A1195" t="s">
        <v>1847</v>
      </c>
      <c r="B1195" t="s">
        <v>1855</v>
      </c>
      <c r="C1195">
        <v>157</v>
      </c>
      <c r="D1195" t="s">
        <v>1447</v>
      </c>
      <c r="E1195" t="s">
        <v>1856</v>
      </c>
      <c r="F1195" t="s">
        <v>1737</v>
      </c>
      <c r="K1195" t="str">
        <f>IF(ISBLANK('Q 5'!C359),"",IF('Q 5'!C359="&lt;please select&gt;","",'Q 5'!C359))</f>
        <v/>
      </c>
    </row>
    <row r="1196" spans="1:11" x14ac:dyDescent="0.3">
      <c r="A1196" t="s">
        <v>1847</v>
      </c>
      <c r="B1196" t="s">
        <v>1855</v>
      </c>
      <c r="C1196">
        <v>158</v>
      </c>
      <c r="D1196" t="s">
        <v>1447</v>
      </c>
      <c r="E1196" t="s">
        <v>1856</v>
      </c>
      <c r="F1196" t="s">
        <v>1737</v>
      </c>
      <c r="K1196" t="str">
        <f>IF(ISBLANK('Q 5'!C360),"",IF('Q 5'!C360="&lt;please select&gt;","",'Q 5'!C360))</f>
        <v/>
      </c>
    </row>
    <row r="1197" spans="1:11" x14ac:dyDescent="0.3">
      <c r="A1197" t="s">
        <v>1847</v>
      </c>
      <c r="B1197" t="s">
        <v>1855</v>
      </c>
      <c r="C1197">
        <v>159</v>
      </c>
      <c r="D1197" t="s">
        <v>1447</v>
      </c>
      <c r="E1197" t="s">
        <v>1856</v>
      </c>
      <c r="F1197" t="s">
        <v>1737</v>
      </c>
      <c r="K1197" t="str">
        <f>IF(ISBLANK('Q 5'!C361),"",IF('Q 5'!C361="&lt;please select&gt;","",'Q 5'!C361))</f>
        <v/>
      </c>
    </row>
    <row r="1198" spans="1:11" x14ac:dyDescent="0.3">
      <c r="A1198" t="s">
        <v>1847</v>
      </c>
      <c r="B1198" t="s">
        <v>1855</v>
      </c>
      <c r="C1198">
        <v>160</v>
      </c>
      <c r="D1198" t="s">
        <v>1447</v>
      </c>
      <c r="E1198" t="s">
        <v>1856</v>
      </c>
      <c r="F1198" t="s">
        <v>1737</v>
      </c>
      <c r="K1198" t="str">
        <f>IF(ISBLANK('Q 5'!C362),"",IF('Q 5'!C362="&lt;please select&gt;","",'Q 5'!C362))</f>
        <v/>
      </c>
    </row>
    <row r="1199" spans="1:11" x14ac:dyDescent="0.3">
      <c r="A1199" t="s">
        <v>1847</v>
      </c>
      <c r="B1199" t="s">
        <v>1855</v>
      </c>
      <c r="C1199">
        <v>161</v>
      </c>
      <c r="D1199" t="s">
        <v>1447</v>
      </c>
      <c r="E1199" t="s">
        <v>1856</v>
      </c>
      <c r="F1199" t="s">
        <v>1737</v>
      </c>
      <c r="K1199" t="str">
        <f>IF(ISBLANK('Q 5'!C363),"",IF('Q 5'!C363="&lt;please select&gt;","",'Q 5'!C363))</f>
        <v/>
      </c>
    </row>
    <row r="1200" spans="1:11" x14ac:dyDescent="0.3">
      <c r="A1200" t="s">
        <v>1847</v>
      </c>
      <c r="B1200" t="s">
        <v>1855</v>
      </c>
      <c r="C1200">
        <v>162</v>
      </c>
      <c r="D1200" t="s">
        <v>1447</v>
      </c>
      <c r="E1200" t="s">
        <v>1856</v>
      </c>
      <c r="F1200" t="s">
        <v>1737</v>
      </c>
      <c r="K1200" t="str">
        <f>IF(ISBLANK('Q 5'!C364),"",IF('Q 5'!C364="&lt;please select&gt;","",'Q 5'!C364))</f>
        <v/>
      </c>
    </row>
    <row r="1201" spans="1:11" x14ac:dyDescent="0.3">
      <c r="A1201" t="s">
        <v>1847</v>
      </c>
      <c r="B1201" t="s">
        <v>1855</v>
      </c>
      <c r="C1201">
        <v>163</v>
      </c>
      <c r="D1201" t="s">
        <v>1447</v>
      </c>
      <c r="E1201" t="s">
        <v>1856</v>
      </c>
      <c r="F1201" t="s">
        <v>1737</v>
      </c>
      <c r="K1201" t="str">
        <f>IF(ISBLANK('Q 5'!C365),"",IF('Q 5'!C365="&lt;please select&gt;","",'Q 5'!C365))</f>
        <v/>
      </c>
    </row>
    <row r="1202" spans="1:11" x14ac:dyDescent="0.3">
      <c r="A1202" t="s">
        <v>1847</v>
      </c>
      <c r="B1202" t="s">
        <v>1855</v>
      </c>
      <c r="C1202">
        <v>164</v>
      </c>
      <c r="D1202" t="s">
        <v>1447</v>
      </c>
      <c r="E1202" t="s">
        <v>1856</v>
      </c>
      <c r="F1202" t="s">
        <v>1737</v>
      </c>
      <c r="K1202" t="str">
        <f>IF(ISBLANK('Q 5'!C366),"",IF('Q 5'!C366="&lt;please select&gt;","",'Q 5'!C366))</f>
        <v/>
      </c>
    </row>
    <row r="1203" spans="1:11" x14ac:dyDescent="0.3">
      <c r="A1203" t="s">
        <v>1847</v>
      </c>
      <c r="B1203" t="s">
        <v>1855</v>
      </c>
      <c r="C1203">
        <v>165</v>
      </c>
      <c r="D1203" t="s">
        <v>1447</v>
      </c>
      <c r="E1203" t="s">
        <v>1856</v>
      </c>
      <c r="F1203" t="s">
        <v>1737</v>
      </c>
      <c r="K1203" t="str">
        <f>IF(ISBLANK('Q 5'!C367),"",IF('Q 5'!C367="&lt;please select&gt;","",'Q 5'!C367))</f>
        <v/>
      </c>
    </row>
    <row r="1204" spans="1:11" x14ac:dyDescent="0.3">
      <c r="A1204" t="s">
        <v>1847</v>
      </c>
      <c r="B1204" t="s">
        <v>1855</v>
      </c>
      <c r="C1204">
        <v>166</v>
      </c>
      <c r="D1204" t="s">
        <v>1447</v>
      </c>
      <c r="E1204" t="s">
        <v>1856</v>
      </c>
      <c r="F1204" t="s">
        <v>1737</v>
      </c>
      <c r="K1204" t="str">
        <f>IF(ISBLANK('Q 5'!C368),"",IF('Q 5'!C368="&lt;please select&gt;","",'Q 5'!C368))</f>
        <v/>
      </c>
    </row>
    <row r="1205" spans="1:11" x14ac:dyDescent="0.3">
      <c r="A1205" t="s">
        <v>1847</v>
      </c>
      <c r="B1205" t="s">
        <v>1855</v>
      </c>
      <c r="C1205">
        <v>167</v>
      </c>
      <c r="D1205" t="s">
        <v>1447</v>
      </c>
      <c r="E1205" t="s">
        <v>1856</v>
      </c>
      <c r="F1205" t="s">
        <v>1737</v>
      </c>
      <c r="K1205" t="str">
        <f>IF(ISBLANK('Q 5'!C369),"",IF('Q 5'!C369="&lt;please select&gt;","",'Q 5'!C369))</f>
        <v/>
      </c>
    </row>
    <row r="1206" spans="1:11" x14ac:dyDescent="0.3">
      <c r="A1206" t="s">
        <v>1847</v>
      </c>
      <c r="B1206" t="s">
        <v>1855</v>
      </c>
      <c r="C1206">
        <v>168</v>
      </c>
      <c r="D1206" t="s">
        <v>1447</v>
      </c>
      <c r="E1206" t="s">
        <v>1856</v>
      </c>
      <c r="F1206" t="s">
        <v>1737</v>
      </c>
      <c r="K1206" t="str">
        <f>IF(ISBLANK('Q 5'!C370),"",IF('Q 5'!C370="&lt;please select&gt;","",'Q 5'!C370))</f>
        <v/>
      </c>
    </row>
    <row r="1207" spans="1:11" x14ac:dyDescent="0.3">
      <c r="A1207" t="s">
        <v>1847</v>
      </c>
      <c r="B1207" t="s">
        <v>1855</v>
      </c>
      <c r="C1207">
        <v>169</v>
      </c>
      <c r="D1207" t="s">
        <v>1447</v>
      </c>
      <c r="E1207" t="s">
        <v>1856</v>
      </c>
      <c r="F1207" t="s">
        <v>1737</v>
      </c>
      <c r="K1207" t="str">
        <f>IF(ISBLANK('Q 5'!C371),"",IF('Q 5'!C371="&lt;please select&gt;","",'Q 5'!C371))</f>
        <v/>
      </c>
    </row>
    <row r="1208" spans="1:11" x14ac:dyDescent="0.3">
      <c r="A1208" t="s">
        <v>1847</v>
      </c>
      <c r="B1208" t="s">
        <v>1855</v>
      </c>
      <c r="C1208">
        <v>170</v>
      </c>
      <c r="D1208" t="s">
        <v>1447</v>
      </c>
      <c r="E1208" t="s">
        <v>1856</v>
      </c>
      <c r="F1208" t="s">
        <v>1737</v>
      </c>
      <c r="K1208" t="str">
        <f>IF(ISBLANK('Q 5'!C372),"",IF('Q 5'!C372="&lt;please select&gt;","",'Q 5'!C372))</f>
        <v/>
      </c>
    </row>
    <row r="1209" spans="1:11" x14ac:dyDescent="0.3">
      <c r="A1209" t="s">
        <v>1847</v>
      </c>
      <c r="B1209" t="s">
        <v>1855</v>
      </c>
      <c r="C1209">
        <v>171</v>
      </c>
      <c r="D1209" t="s">
        <v>1447</v>
      </c>
      <c r="E1209" t="s">
        <v>1856</v>
      </c>
      <c r="F1209" t="s">
        <v>1737</v>
      </c>
      <c r="K1209" t="str">
        <f>IF(ISBLANK('Q 5'!C373),"",IF('Q 5'!C373="&lt;please select&gt;","",'Q 5'!C373))</f>
        <v/>
      </c>
    </row>
    <row r="1210" spans="1:11" x14ac:dyDescent="0.3">
      <c r="A1210" t="s">
        <v>1847</v>
      </c>
      <c r="B1210" t="s">
        <v>1855</v>
      </c>
      <c r="C1210">
        <v>172</v>
      </c>
      <c r="D1210" t="s">
        <v>1447</v>
      </c>
      <c r="E1210" t="s">
        <v>1856</v>
      </c>
      <c r="F1210" t="s">
        <v>1737</v>
      </c>
      <c r="K1210" t="str">
        <f>IF(ISBLANK('Q 5'!C374),"",IF('Q 5'!C374="&lt;please select&gt;","",'Q 5'!C374))</f>
        <v/>
      </c>
    </row>
    <row r="1211" spans="1:11" x14ac:dyDescent="0.3">
      <c r="A1211" t="s">
        <v>1847</v>
      </c>
      <c r="B1211" t="s">
        <v>1855</v>
      </c>
      <c r="C1211">
        <v>173</v>
      </c>
      <c r="D1211" t="s">
        <v>1447</v>
      </c>
      <c r="E1211" t="s">
        <v>1856</v>
      </c>
      <c r="F1211" t="s">
        <v>1737</v>
      </c>
      <c r="K1211" t="str">
        <f>IF(ISBLANK('Q 5'!C375),"",IF('Q 5'!C375="&lt;please select&gt;","",'Q 5'!C375))</f>
        <v/>
      </c>
    </row>
    <row r="1212" spans="1:11" x14ac:dyDescent="0.3">
      <c r="A1212" t="s">
        <v>1847</v>
      </c>
      <c r="B1212" t="s">
        <v>1855</v>
      </c>
      <c r="C1212">
        <v>174</v>
      </c>
      <c r="D1212" t="s">
        <v>1447</v>
      </c>
      <c r="E1212" t="s">
        <v>1856</v>
      </c>
      <c r="F1212" t="s">
        <v>1737</v>
      </c>
      <c r="K1212" t="str">
        <f>IF(ISBLANK('Q 5'!C376),"",IF('Q 5'!C376="&lt;please select&gt;","",'Q 5'!C376))</f>
        <v/>
      </c>
    </row>
    <row r="1213" spans="1:11" x14ac:dyDescent="0.3">
      <c r="A1213" t="s">
        <v>1847</v>
      </c>
      <c r="B1213" t="s">
        <v>1855</v>
      </c>
      <c r="C1213">
        <v>175</v>
      </c>
      <c r="D1213" t="s">
        <v>1447</v>
      </c>
      <c r="E1213" t="s">
        <v>1856</v>
      </c>
      <c r="F1213" t="s">
        <v>1737</v>
      </c>
      <c r="K1213" t="str">
        <f>IF(ISBLANK('Q 5'!C377),"",IF('Q 5'!C377="&lt;please select&gt;","",'Q 5'!C377))</f>
        <v/>
      </c>
    </row>
    <row r="1214" spans="1:11" x14ac:dyDescent="0.3">
      <c r="A1214" t="s">
        <v>1847</v>
      </c>
      <c r="B1214" t="s">
        <v>1855</v>
      </c>
      <c r="C1214">
        <v>176</v>
      </c>
      <c r="D1214" t="s">
        <v>1447</v>
      </c>
      <c r="E1214" t="s">
        <v>1856</v>
      </c>
      <c r="F1214" t="s">
        <v>1737</v>
      </c>
      <c r="K1214" t="str">
        <f>IF(ISBLANK('Q 5'!C378),"",IF('Q 5'!C378="&lt;please select&gt;","",'Q 5'!C378))</f>
        <v/>
      </c>
    </row>
    <row r="1215" spans="1:11" x14ac:dyDescent="0.3">
      <c r="A1215" t="s">
        <v>1847</v>
      </c>
      <c r="B1215" t="s">
        <v>1855</v>
      </c>
      <c r="C1215">
        <v>177</v>
      </c>
      <c r="D1215" t="s">
        <v>1447</v>
      </c>
      <c r="E1215" t="s">
        <v>1856</v>
      </c>
      <c r="F1215" t="s">
        <v>1737</v>
      </c>
      <c r="K1215" t="str">
        <f>IF(ISBLANK('Q 5'!C379),"",IF('Q 5'!C379="&lt;please select&gt;","",'Q 5'!C379))</f>
        <v/>
      </c>
    </row>
    <row r="1216" spans="1:11" x14ac:dyDescent="0.3">
      <c r="A1216" t="s">
        <v>1847</v>
      </c>
      <c r="B1216" t="s">
        <v>1855</v>
      </c>
      <c r="C1216">
        <v>178</v>
      </c>
      <c r="D1216" t="s">
        <v>1447</v>
      </c>
      <c r="E1216" t="s">
        <v>1856</v>
      </c>
      <c r="F1216" t="s">
        <v>1737</v>
      </c>
      <c r="K1216" t="str">
        <f>IF(ISBLANK('Q 5'!C380),"",IF('Q 5'!C380="&lt;please select&gt;","",'Q 5'!C380))</f>
        <v/>
      </c>
    </row>
    <row r="1217" spans="1:11" x14ac:dyDescent="0.3">
      <c r="A1217" t="s">
        <v>1847</v>
      </c>
      <c r="B1217" t="s">
        <v>1855</v>
      </c>
      <c r="C1217">
        <v>179</v>
      </c>
      <c r="D1217" t="s">
        <v>1447</v>
      </c>
      <c r="E1217" t="s">
        <v>1856</v>
      </c>
      <c r="F1217" t="s">
        <v>1737</v>
      </c>
      <c r="K1217" t="str">
        <f>IF(ISBLANK('Q 5'!C381),"",IF('Q 5'!C381="&lt;please select&gt;","",'Q 5'!C381))</f>
        <v/>
      </c>
    </row>
    <row r="1218" spans="1:11" x14ac:dyDescent="0.3">
      <c r="A1218" t="s">
        <v>1847</v>
      </c>
      <c r="B1218" t="s">
        <v>1855</v>
      </c>
      <c r="C1218">
        <v>180</v>
      </c>
      <c r="D1218" t="s">
        <v>1447</v>
      </c>
      <c r="E1218" t="s">
        <v>1856</v>
      </c>
      <c r="F1218" t="s">
        <v>1737</v>
      </c>
      <c r="K1218" t="str">
        <f>IF(ISBLANK('Q 5'!C382),"",IF('Q 5'!C382="&lt;please select&gt;","",'Q 5'!C382))</f>
        <v/>
      </c>
    </row>
    <row r="1219" spans="1:11" x14ac:dyDescent="0.3">
      <c r="A1219" t="s">
        <v>1847</v>
      </c>
      <c r="B1219" t="s">
        <v>1855</v>
      </c>
      <c r="C1219">
        <v>181</v>
      </c>
      <c r="D1219" t="s">
        <v>1447</v>
      </c>
      <c r="E1219" t="s">
        <v>1856</v>
      </c>
      <c r="F1219" t="s">
        <v>1737</v>
      </c>
      <c r="K1219" t="str">
        <f>IF(ISBLANK('Q 5'!C383),"",IF('Q 5'!C383="&lt;please select&gt;","",'Q 5'!C383))</f>
        <v/>
      </c>
    </row>
    <row r="1220" spans="1:11" x14ac:dyDescent="0.3">
      <c r="A1220" t="s">
        <v>1847</v>
      </c>
      <c r="B1220" t="s">
        <v>1855</v>
      </c>
      <c r="C1220">
        <v>182</v>
      </c>
      <c r="D1220" t="s">
        <v>1447</v>
      </c>
      <c r="E1220" t="s">
        <v>1856</v>
      </c>
      <c r="F1220" t="s">
        <v>1737</v>
      </c>
      <c r="K1220" t="str">
        <f>IF(ISBLANK('Q 5'!C384),"",IF('Q 5'!C384="&lt;please select&gt;","",'Q 5'!C384))</f>
        <v/>
      </c>
    </row>
    <row r="1221" spans="1:11" x14ac:dyDescent="0.3">
      <c r="A1221" t="s">
        <v>1847</v>
      </c>
      <c r="B1221" t="s">
        <v>1855</v>
      </c>
      <c r="C1221">
        <v>183</v>
      </c>
      <c r="D1221" t="s">
        <v>1447</v>
      </c>
      <c r="E1221" t="s">
        <v>1856</v>
      </c>
      <c r="F1221" t="s">
        <v>1737</v>
      </c>
      <c r="K1221" t="str">
        <f>IF(ISBLANK('Q 5'!C385),"",IF('Q 5'!C385="&lt;please select&gt;","",'Q 5'!C385))</f>
        <v/>
      </c>
    </row>
    <row r="1222" spans="1:11" x14ac:dyDescent="0.3">
      <c r="A1222" t="s">
        <v>1847</v>
      </c>
      <c r="B1222" t="s">
        <v>1855</v>
      </c>
      <c r="C1222">
        <v>184</v>
      </c>
      <c r="D1222" t="s">
        <v>1447</v>
      </c>
      <c r="E1222" t="s">
        <v>1856</v>
      </c>
      <c r="F1222" t="s">
        <v>1737</v>
      </c>
      <c r="K1222" t="str">
        <f>IF(ISBLANK('Q 5'!C386),"",IF('Q 5'!C386="&lt;please select&gt;","",'Q 5'!C386))</f>
        <v/>
      </c>
    </row>
    <row r="1223" spans="1:11" x14ac:dyDescent="0.3">
      <c r="A1223" t="s">
        <v>1847</v>
      </c>
      <c r="B1223" t="s">
        <v>1855</v>
      </c>
      <c r="C1223">
        <v>185</v>
      </c>
      <c r="D1223" t="s">
        <v>1447</v>
      </c>
      <c r="E1223" t="s">
        <v>1856</v>
      </c>
      <c r="F1223" t="s">
        <v>1737</v>
      </c>
      <c r="K1223" t="str">
        <f>IF(ISBLANK('Q 5'!C387),"",IF('Q 5'!C387="&lt;please select&gt;","",'Q 5'!C387))</f>
        <v/>
      </c>
    </row>
    <row r="1224" spans="1:11" x14ac:dyDescent="0.3">
      <c r="A1224" t="s">
        <v>1847</v>
      </c>
      <c r="B1224" t="s">
        <v>1855</v>
      </c>
      <c r="C1224">
        <v>186</v>
      </c>
      <c r="D1224" t="s">
        <v>1447</v>
      </c>
      <c r="E1224" t="s">
        <v>1856</v>
      </c>
      <c r="F1224" t="s">
        <v>1737</v>
      </c>
      <c r="K1224" t="str">
        <f>IF(ISBLANK('Q 5'!C388),"",IF('Q 5'!C388="&lt;please select&gt;","",'Q 5'!C388))</f>
        <v/>
      </c>
    </row>
    <row r="1225" spans="1:11" x14ac:dyDescent="0.3">
      <c r="A1225" t="s">
        <v>1847</v>
      </c>
      <c r="B1225" t="s">
        <v>1855</v>
      </c>
      <c r="C1225">
        <v>187</v>
      </c>
      <c r="D1225" t="s">
        <v>1447</v>
      </c>
      <c r="E1225" t="s">
        <v>1856</v>
      </c>
      <c r="F1225" t="s">
        <v>1737</v>
      </c>
      <c r="K1225" t="str">
        <f>IF(ISBLANK('Q 5'!C389),"",IF('Q 5'!C389="&lt;please select&gt;","",'Q 5'!C389))</f>
        <v/>
      </c>
    </row>
    <row r="1226" spans="1:11" x14ac:dyDescent="0.3">
      <c r="A1226" t="s">
        <v>1847</v>
      </c>
      <c r="B1226" t="s">
        <v>1855</v>
      </c>
      <c r="C1226">
        <v>188</v>
      </c>
      <c r="D1226" t="s">
        <v>1447</v>
      </c>
      <c r="E1226" t="s">
        <v>1856</v>
      </c>
      <c r="F1226" t="s">
        <v>1737</v>
      </c>
      <c r="K1226" t="str">
        <f>IF(ISBLANK('Q 5'!C390),"",IF('Q 5'!C390="&lt;please select&gt;","",'Q 5'!C390))</f>
        <v/>
      </c>
    </row>
    <row r="1227" spans="1:11" x14ac:dyDescent="0.3">
      <c r="A1227" t="s">
        <v>1847</v>
      </c>
      <c r="B1227" t="s">
        <v>1855</v>
      </c>
      <c r="C1227">
        <v>189</v>
      </c>
      <c r="D1227" t="s">
        <v>1447</v>
      </c>
      <c r="E1227" t="s">
        <v>1856</v>
      </c>
      <c r="F1227" t="s">
        <v>1737</v>
      </c>
      <c r="K1227" t="str">
        <f>IF(ISBLANK('Q 5'!C391),"",IF('Q 5'!C391="&lt;please select&gt;","",'Q 5'!C391))</f>
        <v/>
      </c>
    </row>
    <row r="1228" spans="1:11" x14ac:dyDescent="0.3">
      <c r="A1228" t="s">
        <v>1847</v>
      </c>
      <c r="B1228" t="s">
        <v>1855</v>
      </c>
      <c r="C1228">
        <v>190</v>
      </c>
      <c r="D1228" t="s">
        <v>1447</v>
      </c>
      <c r="E1228" t="s">
        <v>1856</v>
      </c>
      <c r="F1228" t="s">
        <v>1737</v>
      </c>
      <c r="K1228" t="str">
        <f>IF(ISBLANK('Q 5'!C392),"",IF('Q 5'!C392="&lt;please select&gt;","",'Q 5'!C392))</f>
        <v/>
      </c>
    </row>
    <row r="1229" spans="1:11" x14ac:dyDescent="0.3">
      <c r="A1229" t="s">
        <v>1847</v>
      </c>
      <c r="B1229" t="s">
        <v>1855</v>
      </c>
      <c r="C1229">
        <v>191</v>
      </c>
      <c r="D1229" t="s">
        <v>1447</v>
      </c>
      <c r="E1229" t="s">
        <v>1856</v>
      </c>
      <c r="F1229" t="s">
        <v>1737</v>
      </c>
      <c r="K1229" t="str">
        <f>IF(ISBLANK('Q 5'!C393),"",IF('Q 5'!C393="&lt;please select&gt;","",'Q 5'!C393))</f>
        <v/>
      </c>
    </row>
    <row r="1230" spans="1:11" x14ac:dyDescent="0.3">
      <c r="A1230" t="s">
        <v>1847</v>
      </c>
      <c r="B1230" t="s">
        <v>1855</v>
      </c>
      <c r="C1230">
        <v>192</v>
      </c>
      <c r="D1230" t="s">
        <v>1447</v>
      </c>
      <c r="E1230" t="s">
        <v>1856</v>
      </c>
      <c r="F1230" t="s">
        <v>1737</v>
      </c>
      <c r="K1230" t="str">
        <f>IF(ISBLANK('Q 5'!C394),"",IF('Q 5'!C394="&lt;please select&gt;","",'Q 5'!C394))</f>
        <v/>
      </c>
    </row>
    <row r="1231" spans="1:11" x14ac:dyDescent="0.3">
      <c r="A1231" t="s">
        <v>1847</v>
      </c>
      <c r="B1231" t="s">
        <v>1855</v>
      </c>
      <c r="C1231">
        <v>193</v>
      </c>
      <c r="D1231" t="s">
        <v>1447</v>
      </c>
      <c r="E1231" t="s">
        <v>1856</v>
      </c>
      <c r="F1231" t="s">
        <v>1737</v>
      </c>
      <c r="K1231" t="str">
        <f>IF(ISBLANK('Q 5'!C395),"",IF('Q 5'!C395="&lt;please select&gt;","",'Q 5'!C395))</f>
        <v/>
      </c>
    </row>
    <row r="1232" spans="1:11" x14ac:dyDescent="0.3">
      <c r="A1232" t="s">
        <v>1847</v>
      </c>
      <c r="B1232" t="s">
        <v>1855</v>
      </c>
      <c r="C1232">
        <v>194</v>
      </c>
      <c r="D1232" t="s">
        <v>1447</v>
      </c>
      <c r="E1232" t="s">
        <v>1856</v>
      </c>
      <c r="F1232" t="s">
        <v>1737</v>
      </c>
      <c r="K1232" t="str">
        <f>IF(ISBLANK('Q 5'!C396),"",IF('Q 5'!C396="&lt;please select&gt;","",'Q 5'!C396))</f>
        <v/>
      </c>
    </row>
    <row r="1233" spans="1:11" x14ac:dyDescent="0.3">
      <c r="A1233" t="s">
        <v>1847</v>
      </c>
      <c r="B1233" t="s">
        <v>1855</v>
      </c>
      <c r="C1233">
        <v>195</v>
      </c>
      <c r="D1233" t="s">
        <v>1447</v>
      </c>
      <c r="E1233" t="s">
        <v>1856</v>
      </c>
      <c r="F1233" t="s">
        <v>1737</v>
      </c>
      <c r="K1233" t="str">
        <f>IF(ISBLANK('Q 5'!C397),"",IF('Q 5'!C397="&lt;please select&gt;","",'Q 5'!C397))</f>
        <v/>
      </c>
    </row>
    <row r="1234" spans="1:11" x14ac:dyDescent="0.3">
      <c r="A1234" t="s">
        <v>1847</v>
      </c>
      <c r="B1234" t="s">
        <v>1855</v>
      </c>
      <c r="C1234">
        <v>196</v>
      </c>
      <c r="D1234" t="s">
        <v>1447</v>
      </c>
      <c r="E1234" t="s">
        <v>1856</v>
      </c>
      <c r="F1234" t="s">
        <v>1737</v>
      </c>
      <c r="K1234" t="str">
        <f>IF(ISBLANK('Q 5'!C398),"",IF('Q 5'!C398="&lt;please select&gt;","",'Q 5'!C398))</f>
        <v/>
      </c>
    </row>
    <row r="1235" spans="1:11" x14ac:dyDescent="0.3">
      <c r="A1235" t="s">
        <v>1847</v>
      </c>
      <c r="B1235" t="s">
        <v>1855</v>
      </c>
      <c r="C1235">
        <v>197</v>
      </c>
      <c r="D1235" t="s">
        <v>1447</v>
      </c>
      <c r="E1235" t="s">
        <v>1856</v>
      </c>
      <c r="F1235" t="s">
        <v>1737</v>
      </c>
      <c r="K1235" t="str">
        <f>IF(ISBLANK('Q 5'!C399),"",IF('Q 5'!C399="&lt;please select&gt;","",'Q 5'!C399))</f>
        <v/>
      </c>
    </row>
    <row r="1236" spans="1:11" x14ac:dyDescent="0.3">
      <c r="A1236" t="s">
        <v>1847</v>
      </c>
      <c r="B1236" t="s">
        <v>1855</v>
      </c>
      <c r="C1236">
        <v>198</v>
      </c>
      <c r="D1236" t="s">
        <v>1447</v>
      </c>
      <c r="E1236" t="s">
        <v>1856</v>
      </c>
      <c r="F1236" t="s">
        <v>1737</v>
      </c>
      <c r="K1236" t="str">
        <f>IF(ISBLANK('Q 5'!C400),"",IF('Q 5'!C400="&lt;please select&gt;","",'Q 5'!C400))</f>
        <v/>
      </c>
    </row>
    <row r="1237" spans="1:11" x14ac:dyDescent="0.3">
      <c r="A1237" t="s">
        <v>1847</v>
      </c>
      <c r="B1237" t="s">
        <v>1855</v>
      </c>
      <c r="C1237">
        <v>199</v>
      </c>
      <c r="D1237" t="s">
        <v>1447</v>
      </c>
      <c r="E1237" t="s">
        <v>1856</v>
      </c>
      <c r="F1237" t="s">
        <v>1737</v>
      </c>
      <c r="K1237" t="str">
        <f>IF(ISBLANK('Q 5'!C401),"",IF('Q 5'!C401="&lt;please select&gt;","",'Q 5'!C401))</f>
        <v/>
      </c>
    </row>
    <row r="1238" spans="1:11" x14ac:dyDescent="0.3">
      <c r="A1238" t="s">
        <v>1847</v>
      </c>
      <c r="B1238" t="s">
        <v>1855</v>
      </c>
      <c r="C1238">
        <v>200</v>
      </c>
      <c r="D1238" t="s">
        <v>1447</v>
      </c>
      <c r="E1238" t="s">
        <v>1856</v>
      </c>
      <c r="F1238" t="s">
        <v>1737</v>
      </c>
      <c r="K1238" t="str">
        <f>IF(ISBLANK('Q 5'!C402),"",IF('Q 5'!C402="&lt;please select&gt;","",'Q 5'!C402))</f>
        <v/>
      </c>
    </row>
    <row r="1239" spans="1:11" x14ac:dyDescent="0.3">
      <c r="A1239" t="s">
        <v>1847</v>
      </c>
      <c r="B1239" t="s">
        <v>1855</v>
      </c>
      <c r="C1239">
        <v>201</v>
      </c>
      <c r="D1239" t="s">
        <v>1447</v>
      </c>
      <c r="E1239" t="s">
        <v>1856</v>
      </c>
      <c r="F1239" t="s">
        <v>1737</v>
      </c>
      <c r="K1239" t="str">
        <f>IF(ISBLANK('Q 5'!C403),"",IF('Q 5'!C403="&lt;please select&gt;","",'Q 5'!C403))</f>
        <v/>
      </c>
    </row>
    <row r="1240" spans="1:11" x14ac:dyDescent="0.3">
      <c r="A1240" t="s">
        <v>1847</v>
      </c>
      <c r="B1240" t="s">
        <v>1855</v>
      </c>
      <c r="C1240">
        <v>202</v>
      </c>
      <c r="D1240" t="s">
        <v>1447</v>
      </c>
      <c r="E1240" t="s">
        <v>1856</v>
      </c>
      <c r="F1240" t="s">
        <v>1737</v>
      </c>
      <c r="K1240" t="str">
        <f>IF(ISBLANK('Q 5'!C404),"",IF('Q 5'!C404="&lt;please select&gt;","",'Q 5'!C404))</f>
        <v/>
      </c>
    </row>
    <row r="1241" spans="1:11" x14ac:dyDescent="0.3">
      <c r="A1241" t="s">
        <v>1847</v>
      </c>
      <c r="B1241" t="s">
        <v>1855</v>
      </c>
      <c r="C1241">
        <v>203</v>
      </c>
      <c r="D1241" t="s">
        <v>1447</v>
      </c>
      <c r="E1241" t="s">
        <v>1856</v>
      </c>
      <c r="F1241" t="s">
        <v>1737</v>
      </c>
      <c r="K1241" t="str">
        <f>IF(ISBLANK('Q 5'!C405),"",IF('Q 5'!C405="&lt;please select&gt;","",'Q 5'!C405))</f>
        <v/>
      </c>
    </row>
    <row r="1242" spans="1:11" x14ac:dyDescent="0.3">
      <c r="A1242" t="s">
        <v>1847</v>
      </c>
      <c r="B1242" t="s">
        <v>1855</v>
      </c>
      <c r="C1242">
        <v>204</v>
      </c>
      <c r="D1242" t="s">
        <v>1447</v>
      </c>
      <c r="E1242" t="s">
        <v>1856</v>
      </c>
      <c r="F1242" t="s">
        <v>1737</v>
      </c>
      <c r="K1242" t="str">
        <f>IF(ISBLANK('Q 5'!C406),"",IF('Q 5'!C406="&lt;please select&gt;","",'Q 5'!C406))</f>
        <v/>
      </c>
    </row>
    <row r="1243" spans="1:11" x14ac:dyDescent="0.3">
      <c r="A1243" t="s">
        <v>1847</v>
      </c>
      <c r="B1243" t="s">
        <v>1855</v>
      </c>
      <c r="C1243">
        <v>205</v>
      </c>
      <c r="D1243" t="s">
        <v>1447</v>
      </c>
      <c r="E1243" t="s">
        <v>1856</v>
      </c>
      <c r="F1243" t="s">
        <v>1737</v>
      </c>
      <c r="K1243" t="str">
        <f>IF(ISBLANK('Q 5'!C407),"",IF('Q 5'!C407="&lt;please select&gt;","",'Q 5'!C407))</f>
        <v/>
      </c>
    </row>
    <row r="1244" spans="1:11" x14ac:dyDescent="0.3">
      <c r="A1244" t="s">
        <v>1847</v>
      </c>
      <c r="B1244" t="s">
        <v>1855</v>
      </c>
      <c r="C1244">
        <v>206</v>
      </c>
      <c r="D1244" t="s">
        <v>1447</v>
      </c>
      <c r="E1244" t="s">
        <v>1856</v>
      </c>
      <c r="F1244" t="s">
        <v>1737</v>
      </c>
      <c r="K1244" t="str">
        <f>IF(ISBLANK('Q 5'!C408),"",IF('Q 5'!C408="&lt;please select&gt;","",'Q 5'!C408))</f>
        <v/>
      </c>
    </row>
    <row r="1245" spans="1:11" x14ac:dyDescent="0.3">
      <c r="A1245" t="s">
        <v>1847</v>
      </c>
      <c r="B1245" t="s">
        <v>1855</v>
      </c>
      <c r="C1245">
        <v>207</v>
      </c>
      <c r="D1245" t="s">
        <v>1447</v>
      </c>
      <c r="E1245" t="s">
        <v>1856</v>
      </c>
      <c r="F1245" t="s">
        <v>1737</v>
      </c>
      <c r="K1245" t="str">
        <f>IF(ISBLANK('Q 5'!C409),"",IF('Q 5'!C409="&lt;please select&gt;","",'Q 5'!C409))</f>
        <v/>
      </c>
    </row>
    <row r="1246" spans="1:11" x14ac:dyDescent="0.3">
      <c r="A1246" t="s">
        <v>1847</v>
      </c>
      <c r="B1246" t="s">
        <v>1855</v>
      </c>
      <c r="C1246">
        <v>208</v>
      </c>
      <c r="D1246" t="s">
        <v>1447</v>
      </c>
      <c r="E1246" t="s">
        <v>1856</v>
      </c>
      <c r="F1246" t="s">
        <v>1737</v>
      </c>
      <c r="K1246" t="str">
        <f>IF(ISBLANK('Q 5'!C410),"",IF('Q 5'!C410="&lt;please select&gt;","",'Q 5'!C410))</f>
        <v/>
      </c>
    </row>
    <row r="1247" spans="1:11" x14ac:dyDescent="0.3">
      <c r="A1247" t="s">
        <v>1847</v>
      </c>
      <c r="B1247" t="s">
        <v>1855</v>
      </c>
      <c r="C1247">
        <v>209</v>
      </c>
      <c r="D1247" t="s">
        <v>1447</v>
      </c>
      <c r="E1247" t="s">
        <v>1856</v>
      </c>
      <c r="F1247" t="s">
        <v>1737</v>
      </c>
      <c r="K1247" t="str">
        <f>IF(ISBLANK('Q 5'!C411),"",IF('Q 5'!C411="&lt;please select&gt;","",'Q 5'!C411))</f>
        <v/>
      </c>
    </row>
    <row r="1248" spans="1:11" x14ac:dyDescent="0.3">
      <c r="A1248" t="s">
        <v>1847</v>
      </c>
      <c r="B1248" t="s">
        <v>1855</v>
      </c>
      <c r="C1248">
        <v>210</v>
      </c>
      <c r="D1248" t="s">
        <v>1447</v>
      </c>
      <c r="E1248" t="s">
        <v>1856</v>
      </c>
      <c r="F1248" t="s">
        <v>1737</v>
      </c>
      <c r="K1248" t="str">
        <f>IF(ISBLANK('Q 5'!C412),"",IF('Q 5'!C412="&lt;please select&gt;","",'Q 5'!C412))</f>
        <v/>
      </c>
    </row>
    <row r="1249" spans="1:11" x14ac:dyDescent="0.3">
      <c r="A1249" t="s">
        <v>1847</v>
      </c>
      <c r="B1249" t="s">
        <v>1855</v>
      </c>
      <c r="C1249">
        <v>211</v>
      </c>
      <c r="D1249" t="s">
        <v>1447</v>
      </c>
      <c r="E1249" t="s">
        <v>1856</v>
      </c>
      <c r="F1249" t="s">
        <v>1737</v>
      </c>
      <c r="K1249" t="str">
        <f>IF(ISBLANK('Q 5'!C413),"",IF('Q 5'!C413="&lt;please select&gt;","",'Q 5'!C413))</f>
        <v/>
      </c>
    </row>
    <row r="1250" spans="1:11" x14ac:dyDescent="0.3">
      <c r="A1250" t="s">
        <v>1847</v>
      </c>
      <c r="B1250" t="s">
        <v>1855</v>
      </c>
      <c r="C1250">
        <v>212</v>
      </c>
      <c r="D1250" t="s">
        <v>1447</v>
      </c>
      <c r="E1250" t="s">
        <v>1856</v>
      </c>
      <c r="F1250" t="s">
        <v>1737</v>
      </c>
      <c r="K1250" t="str">
        <f>IF(ISBLANK('Q 5'!C414),"",IF('Q 5'!C414="&lt;please select&gt;","",'Q 5'!C414))</f>
        <v/>
      </c>
    </row>
    <row r="1251" spans="1:11" x14ac:dyDescent="0.3">
      <c r="A1251" t="s">
        <v>1847</v>
      </c>
      <c r="B1251" t="s">
        <v>1855</v>
      </c>
      <c r="C1251">
        <v>213</v>
      </c>
      <c r="D1251" t="s">
        <v>1447</v>
      </c>
      <c r="E1251" t="s">
        <v>1856</v>
      </c>
      <c r="F1251" t="s">
        <v>1737</v>
      </c>
      <c r="K1251" t="str">
        <f>IF(ISBLANK('Q 5'!C415),"",IF('Q 5'!C415="&lt;please select&gt;","",'Q 5'!C415))</f>
        <v/>
      </c>
    </row>
    <row r="1252" spans="1:11" x14ac:dyDescent="0.3">
      <c r="A1252" t="s">
        <v>1847</v>
      </c>
      <c r="B1252" t="s">
        <v>1855</v>
      </c>
      <c r="C1252">
        <v>214</v>
      </c>
      <c r="D1252" t="s">
        <v>1447</v>
      </c>
      <c r="E1252" t="s">
        <v>1856</v>
      </c>
      <c r="F1252" t="s">
        <v>1737</v>
      </c>
      <c r="K1252" t="str">
        <f>IF(ISBLANK('Q 5'!C416),"",IF('Q 5'!C416="&lt;please select&gt;","",'Q 5'!C416))</f>
        <v/>
      </c>
    </row>
    <row r="1253" spans="1:11" x14ac:dyDescent="0.3">
      <c r="A1253" t="s">
        <v>1847</v>
      </c>
      <c r="B1253" t="s">
        <v>1855</v>
      </c>
      <c r="C1253">
        <v>215</v>
      </c>
      <c r="D1253" t="s">
        <v>1447</v>
      </c>
      <c r="E1253" t="s">
        <v>1856</v>
      </c>
      <c r="F1253" t="s">
        <v>1737</v>
      </c>
      <c r="K1253" t="str">
        <f>IF(ISBLANK('Q 5'!C417),"",IF('Q 5'!C417="&lt;please select&gt;","",'Q 5'!C417))</f>
        <v/>
      </c>
    </row>
    <row r="1254" spans="1:11" x14ac:dyDescent="0.3">
      <c r="A1254" t="s">
        <v>1847</v>
      </c>
      <c r="B1254" t="s">
        <v>1855</v>
      </c>
      <c r="C1254">
        <v>216</v>
      </c>
      <c r="D1254" t="s">
        <v>1447</v>
      </c>
      <c r="E1254" t="s">
        <v>1856</v>
      </c>
      <c r="F1254" t="s">
        <v>1737</v>
      </c>
      <c r="K1254" t="str">
        <f>IF(ISBLANK('Q 5'!C418),"",IF('Q 5'!C418="&lt;please select&gt;","",'Q 5'!C418))</f>
        <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
      </c>
    </row>
    <row r="1840" spans="1:11" x14ac:dyDescent="0.3">
      <c r="A1840" t="s">
        <v>1847</v>
      </c>
      <c r="B1840" t="s">
        <v>1855</v>
      </c>
      <c r="C1840">
        <v>2</v>
      </c>
      <c r="D1840" t="s">
        <v>1447</v>
      </c>
      <c r="E1840" t="s">
        <v>1857</v>
      </c>
      <c r="F1840" t="s">
        <v>1741</v>
      </c>
      <c r="G1840" t="str">
        <f>IF(ISBLANK('Q 5'!H204),"",IF('Q 5'!H204="&lt;please select&gt;","",'Q 5'!H204))</f>
        <v/>
      </c>
    </row>
    <row r="1841" spans="1:7" x14ac:dyDescent="0.3">
      <c r="A1841" t="s">
        <v>1847</v>
      </c>
      <c r="B1841" t="s">
        <v>1855</v>
      </c>
      <c r="C1841">
        <v>3</v>
      </c>
      <c r="D1841" t="s">
        <v>1447</v>
      </c>
      <c r="E1841" t="s">
        <v>1857</v>
      </c>
      <c r="F1841" t="s">
        <v>1741</v>
      </c>
      <c r="G1841" t="str">
        <f>IF(ISBLANK('Q 5'!H205),"",IF('Q 5'!H205="&lt;please select&gt;","",'Q 5'!H205))</f>
        <v/>
      </c>
    </row>
    <row r="1842" spans="1:7" x14ac:dyDescent="0.3">
      <c r="A1842" t="s">
        <v>1847</v>
      </c>
      <c r="B1842" t="s">
        <v>1855</v>
      </c>
      <c r="C1842">
        <v>4</v>
      </c>
      <c r="D1842" t="s">
        <v>1447</v>
      </c>
      <c r="E1842" t="s">
        <v>1857</v>
      </c>
      <c r="F1842" t="s">
        <v>1741</v>
      </c>
      <c r="G1842" t="str">
        <f>IF(ISBLANK('Q 5'!H206),"",IF('Q 5'!H206="&lt;please select&gt;","",'Q 5'!H206))</f>
        <v/>
      </c>
    </row>
    <row r="1843" spans="1:7" x14ac:dyDescent="0.3">
      <c r="A1843" t="s">
        <v>1847</v>
      </c>
      <c r="B1843" t="s">
        <v>1855</v>
      </c>
      <c r="C1843">
        <v>5</v>
      </c>
      <c r="D1843" t="s">
        <v>1447</v>
      </c>
      <c r="E1843" t="s">
        <v>1857</v>
      </c>
      <c r="F1843" t="s">
        <v>1741</v>
      </c>
      <c r="G1843" t="str">
        <f>IF(ISBLANK('Q 5'!H207),"",IF('Q 5'!H207="&lt;please select&gt;","",'Q 5'!H207))</f>
        <v/>
      </c>
    </row>
    <row r="1844" spans="1:7" x14ac:dyDescent="0.3">
      <c r="A1844" t="s">
        <v>1847</v>
      </c>
      <c r="B1844" t="s">
        <v>1855</v>
      </c>
      <c r="C1844">
        <v>6</v>
      </c>
      <c r="D1844" t="s">
        <v>1447</v>
      </c>
      <c r="E1844" t="s">
        <v>1857</v>
      </c>
      <c r="F1844" t="s">
        <v>1741</v>
      </c>
      <c r="G1844" t="str">
        <f>IF(ISBLANK('Q 5'!H208),"",IF('Q 5'!H208="&lt;please select&gt;","",'Q 5'!H208))</f>
        <v/>
      </c>
    </row>
    <row r="1845" spans="1:7" x14ac:dyDescent="0.3">
      <c r="A1845" t="s">
        <v>1847</v>
      </c>
      <c r="B1845" t="s">
        <v>1855</v>
      </c>
      <c r="C1845">
        <v>7</v>
      </c>
      <c r="D1845" t="s">
        <v>1447</v>
      </c>
      <c r="E1845" t="s">
        <v>1857</v>
      </c>
      <c r="F1845" t="s">
        <v>1741</v>
      </c>
      <c r="G1845" t="str">
        <f>IF(ISBLANK('Q 5'!H209),"",IF('Q 5'!H209="&lt;please select&gt;","",'Q 5'!H209))</f>
        <v/>
      </c>
    </row>
    <row r="1846" spans="1:7" x14ac:dyDescent="0.3">
      <c r="A1846" t="s">
        <v>1847</v>
      </c>
      <c r="B1846" t="s">
        <v>1855</v>
      </c>
      <c r="C1846">
        <v>8</v>
      </c>
      <c r="D1846" t="s">
        <v>1447</v>
      </c>
      <c r="E1846" t="s">
        <v>1857</v>
      </c>
      <c r="F1846" t="s">
        <v>1741</v>
      </c>
      <c r="G1846" t="str">
        <f>IF(ISBLANK('Q 5'!H210),"",IF('Q 5'!H210="&lt;please select&gt;","",'Q 5'!H210))</f>
        <v/>
      </c>
    </row>
    <row r="1847" spans="1:7" x14ac:dyDescent="0.3">
      <c r="A1847" t="s">
        <v>1847</v>
      </c>
      <c r="B1847" t="s">
        <v>1855</v>
      </c>
      <c r="C1847">
        <v>9</v>
      </c>
      <c r="D1847" t="s">
        <v>1447</v>
      </c>
      <c r="E1847" t="s">
        <v>1857</v>
      </c>
      <c r="F1847" t="s">
        <v>1741</v>
      </c>
      <c r="G1847" t="str">
        <f>IF(ISBLANK('Q 5'!H211),"",IF('Q 5'!H211="&lt;please select&gt;","",'Q 5'!H211))</f>
        <v/>
      </c>
    </row>
    <row r="1848" spans="1:7" x14ac:dyDescent="0.3">
      <c r="A1848" t="s">
        <v>1847</v>
      </c>
      <c r="B1848" t="s">
        <v>1855</v>
      </c>
      <c r="C1848">
        <v>10</v>
      </c>
      <c r="D1848" t="s">
        <v>1447</v>
      </c>
      <c r="E1848" t="s">
        <v>1857</v>
      </c>
      <c r="F1848" t="s">
        <v>1741</v>
      </c>
      <c r="G1848" t="str">
        <f>IF(ISBLANK('Q 5'!H212),"",IF('Q 5'!H212="&lt;please select&gt;","",'Q 5'!H212))</f>
        <v/>
      </c>
    </row>
    <row r="1849" spans="1:7" x14ac:dyDescent="0.3">
      <c r="A1849" t="s">
        <v>1847</v>
      </c>
      <c r="B1849" t="s">
        <v>1855</v>
      </c>
      <c r="C1849">
        <v>11</v>
      </c>
      <c r="D1849" t="s">
        <v>1447</v>
      </c>
      <c r="E1849" t="s">
        <v>1857</v>
      </c>
      <c r="F1849" t="s">
        <v>1741</v>
      </c>
      <c r="G1849" t="str">
        <f>IF(ISBLANK('Q 5'!H213),"",IF('Q 5'!H213="&lt;please select&gt;","",'Q 5'!H213))</f>
        <v/>
      </c>
    </row>
    <row r="1850" spans="1:7" x14ac:dyDescent="0.3">
      <c r="A1850" t="s">
        <v>1847</v>
      </c>
      <c r="B1850" t="s">
        <v>1855</v>
      </c>
      <c r="C1850">
        <v>12</v>
      </c>
      <c r="D1850" t="s">
        <v>1447</v>
      </c>
      <c r="E1850" t="s">
        <v>1857</v>
      </c>
      <c r="F1850" t="s">
        <v>1741</v>
      </c>
      <c r="G1850" t="str">
        <f>IF(ISBLANK('Q 5'!H214),"",IF('Q 5'!H214="&lt;please select&gt;","",'Q 5'!H214))</f>
        <v/>
      </c>
    </row>
    <row r="1851" spans="1:7" x14ac:dyDescent="0.3">
      <c r="A1851" t="s">
        <v>1847</v>
      </c>
      <c r="B1851" t="s">
        <v>1855</v>
      </c>
      <c r="C1851">
        <v>13</v>
      </c>
      <c r="D1851" t="s">
        <v>1447</v>
      </c>
      <c r="E1851" t="s">
        <v>1857</v>
      </c>
      <c r="F1851" t="s">
        <v>1741</v>
      </c>
      <c r="G1851" t="str">
        <f>IF(ISBLANK('Q 5'!H215),"",IF('Q 5'!H215="&lt;please select&gt;","",'Q 5'!H215))</f>
        <v/>
      </c>
    </row>
    <row r="1852" spans="1:7" x14ac:dyDescent="0.3">
      <c r="A1852" t="s">
        <v>1847</v>
      </c>
      <c r="B1852" t="s">
        <v>1855</v>
      </c>
      <c r="C1852">
        <v>14</v>
      </c>
      <c r="D1852" t="s">
        <v>1447</v>
      </c>
      <c r="E1852" t="s">
        <v>1857</v>
      </c>
      <c r="F1852" t="s">
        <v>1741</v>
      </c>
      <c r="G1852" t="str">
        <f>IF(ISBLANK('Q 5'!H216),"",IF('Q 5'!H216="&lt;please select&gt;","",'Q 5'!H216))</f>
        <v/>
      </c>
    </row>
    <row r="1853" spans="1:7" x14ac:dyDescent="0.3">
      <c r="A1853" t="s">
        <v>1847</v>
      </c>
      <c r="B1853" t="s">
        <v>1855</v>
      </c>
      <c r="C1853">
        <v>15</v>
      </c>
      <c r="D1853" t="s">
        <v>1447</v>
      </c>
      <c r="E1853" t="s">
        <v>1857</v>
      </c>
      <c r="F1853" t="s">
        <v>1741</v>
      </c>
      <c r="G1853" t="str">
        <f>IF(ISBLANK('Q 5'!H217),"",IF('Q 5'!H217="&lt;please select&gt;","",'Q 5'!H217))</f>
        <v/>
      </c>
    </row>
    <row r="1854" spans="1:7" x14ac:dyDescent="0.3">
      <c r="A1854" t="s">
        <v>1847</v>
      </c>
      <c r="B1854" t="s">
        <v>1855</v>
      </c>
      <c r="C1854">
        <v>16</v>
      </c>
      <c r="D1854" t="s">
        <v>1447</v>
      </c>
      <c r="E1854" t="s">
        <v>1857</v>
      </c>
      <c r="F1854" t="s">
        <v>1741</v>
      </c>
      <c r="G1854" t="str">
        <f>IF(ISBLANK('Q 5'!H218),"",IF('Q 5'!H218="&lt;please select&gt;","",'Q 5'!H218))</f>
        <v/>
      </c>
    </row>
    <row r="1855" spans="1:7" x14ac:dyDescent="0.3">
      <c r="A1855" t="s">
        <v>1847</v>
      </c>
      <c r="B1855" t="s">
        <v>1855</v>
      </c>
      <c r="C1855">
        <v>17</v>
      </c>
      <c r="D1855" t="s">
        <v>1447</v>
      </c>
      <c r="E1855" t="s">
        <v>1857</v>
      </c>
      <c r="F1855" t="s">
        <v>1741</v>
      </c>
      <c r="G1855" t="str">
        <f>IF(ISBLANK('Q 5'!H219),"",IF('Q 5'!H219="&lt;please select&gt;","",'Q 5'!H219))</f>
        <v/>
      </c>
    </row>
    <row r="1856" spans="1:7" x14ac:dyDescent="0.3">
      <c r="A1856" t="s">
        <v>1847</v>
      </c>
      <c r="B1856" t="s">
        <v>1855</v>
      </c>
      <c r="C1856">
        <v>18</v>
      </c>
      <c r="D1856" t="s">
        <v>1447</v>
      </c>
      <c r="E1856" t="s">
        <v>1857</v>
      </c>
      <c r="F1856" t="s">
        <v>1741</v>
      </c>
      <c r="G1856" t="str">
        <f>IF(ISBLANK('Q 5'!H220),"",IF('Q 5'!H220="&lt;please select&gt;","",'Q 5'!H220))</f>
        <v/>
      </c>
    </row>
    <row r="1857" spans="1:7" x14ac:dyDescent="0.3">
      <c r="A1857" t="s">
        <v>1847</v>
      </c>
      <c r="B1857" t="s">
        <v>1855</v>
      </c>
      <c r="C1857">
        <v>19</v>
      </c>
      <c r="D1857" t="s">
        <v>1447</v>
      </c>
      <c r="E1857" t="s">
        <v>1857</v>
      </c>
      <c r="F1857" t="s">
        <v>1741</v>
      </c>
      <c r="G1857" t="str">
        <f>IF(ISBLANK('Q 5'!H221),"",IF('Q 5'!H221="&lt;please select&gt;","",'Q 5'!H221))</f>
        <v/>
      </c>
    </row>
    <row r="1858" spans="1:7" x14ac:dyDescent="0.3">
      <c r="A1858" t="s">
        <v>1847</v>
      </c>
      <c r="B1858" t="s">
        <v>1855</v>
      </c>
      <c r="C1858">
        <v>20</v>
      </c>
      <c r="D1858" t="s">
        <v>1447</v>
      </c>
      <c r="E1858" t="s">
        <v>1857</v>
      </c>
      <c r="F1858" t="s">
        <v>1741</v>
      </c>
      <c r="G1858" t="str">
        <f>IF(ISBLANK('Q 5'!H222),"",IF('Q 5'!H222="&lt;please select&gt;","",'Q 5'!H222))</f>
        <v/>
      </c>
    </row>
    <row r="1859" spans="1:7" x14ac:dyDescent="0.3">
      <c r="A1859" t="s">
        <v>1847</v>
      </c>
      <c r="B1859" t="s">
        <v>1855</v>
      </c>
      <c r="C1859">
        <v>21</v>
      </c>
      <c r="D1859" t="s">
        <v>1447</v>
      </c>
      <c r="E1859" t="s">
        <v>1857</v>
      </c>
      <c r="F1859" t="s">
        <v>1741</v>
      </c>
      <c r="G1859" t="str">
        <f>IF(ISBLANK('Q 5'!H223),"",IF('Q 5'!H223="&lt;please select&gt;","",'Q 5'!H223))</f>
        <v/>
      </c>
    </row>
    <row r="1860" spans="1:7" x14ac:dyDescent="0.3">
      <c r="A1860" t="s">
        <v>1847</v>
      </c>
      <c r="B1860" t="s">
        <v>1855</v>
      </c>
      <c r="C1860">
        <v>22</v>
      </c>
      <c r="D1860" t="s">
        <v>1447</v>
      </c>
      <c r="E1860" t="s">
        <v>1857</v>
      </c>
      <c r="F1860" t="s">
        <v>1741</v>
      </c>
      <c r="G1860" t="str">
        <f>IF(ISBLANK('Q 5'!H224),"",IF('Q 5'!H224="&lt;please select&gt;","",'Q 5'!H224))</f>
        <v/>
      </c>
    </row>
    <row r="1861" spans="1:7" x14ac:dyDescent="0.3">
      <c r="A1861" t="s">
        <v>1847</v>
      </c>
      <c r="B1861" t="s">
        <v>1855</v>
      </c>
      <c r="C1861">
        <v>23</v>
      </c>
      <c r="D1861" t="s">
        <v>1447</v>
      </c>
      <c r="E1861" t="s">
        <v>1857</v>
      </c>
      <c r="F1861" t="s">
        <v>1741</v>
      </c>
      <c r="G1861" t="str">
        <f>IF(ISBLANK('Q 5'!H225),"",IF('Q 5'!H225="&lt;please select&gt;","",'Q 5'!H225))</f>
        <v/>
      </c>
    </row>
    <row r="1862" spans="1:7" x14ac:dyDescent="0.3">
      <c r="A1862" t="s">
        <v>1847</v>
      </c>
      <c r="B1862" t="s">
        <v>1855</v>
      </c>
      <c r="C1862">
        <v>24</v>
      </c>
      <c r="D1862" t="s">
        <v>1447</v>
      </c>
      <c r="E1862" t="s">
        <v>1857</v>
      </c>
      <c r="F1862" t="s">
        <v>1741</v>
      </c>
      <c r="G1862" t="str">
        <f>IF(ISBLANK('Q 5'!H226),"",IF('Q 5'!H226="&lt;please select&gt;","",'Q 5'!H226))</f>
        <v/>
      </c>
    </row>
    <row r="1863" spans="1:7" x14ac:dyDescent="0.3">
      <c r="A1863" t="s">
        <v>1847</v>
      </c>
      <c r="B1863" t="s">
        <v>1855</v>
      </c>
      <c r="C1863">
        <v>25</v>
      </c>
      <c r="D1863" t="s">
        <v>1447</v>
      </c>
      <c r="E1863" t="s">
        <v>1857</v>
      </c>
      <c r="F1863" t="s">
        <v>1741</v>
      </c>
      <c r="G1863" t="str">
        <f>IF(ISBLANK('Q 5'!H227),"",IF('Q 5'!H227="&lt;please select&gt;","",'Q 5'!H227))</f>
        <v/>
      </c>
    </row>
    <row r="1864" spans="1:7" x14ac:dyDescent="0.3">
      <c r="A1864" t="s">
        <v>1847</v>
      </c>
      <c r="B1864" t="s">
        <v>1855</v>
      </c>
      <c r="C1864">
        <v>26</v>
      </c>
      <c r="D1864" t="s">
        <v>1447</v>
      </c>
      <c r="E1864" t="s">
        <v>1857</v>
      </c>
      <c r="F1864" t="s">
        <v>1741</v>
      </c>
      <c r="G1864" t="str">
        <f>IF(ISBLANK('Q 5'!H228),"",IF('Q 5'!H228="&lt;please select&gt;","",'Q 5'!H228))</f>
        <v/>
      </c>
    </row>
    <row r="1865" spans="1:7" x14ac:dyDescent="0.3">
      <c r="A1865" t="s">
        <v>1847</v>
      </c>
      <c r="B1865" t="s">
        <v>1855</v>
      </c>
      <c r="C1865">
        <v>27</v>
      </c>
      <c r="D1865" t="s">
        <v>1447</v>
      </c>
      <c r="E1865" t="s">
        <v>1857</v>
      </c>
      <c r="F1865" t="s">
        <v>1741</v>
      </c>
      <c r="G1865" t="str">
        <f>IF(ISBLANK('Q 5'!H229),"",IF('Q 5'!H229="&lt;please select&gt;","",'Q 5'!H229))</f>
        <v/>
      </c>
    </row>
    <row r="1866" spans="1:7" x14ac:dyDescent="0.3">
      <c r="A1866" t="s">
        <v>1847</v>
      </c>
      <c r="B1866" t="s">
        <v>1855</v>
      </c>
      <c r="C1866">
        <v>28</v>
      </c>
      <c r="D1866" t="s">
        <v>1447</v>
      </c>
      <c r="E1866" t="s">
        <v>1857</v>
      </c>
      <c r="F1866" t="s">
        <v>1741</v>
      </c>
      <c r="G1866" t="str">
        <f>IF(ISBLANK('Q 5'!H230),"",IF('Q 5'!H230="&lt;please select&gt;","",'Q 5'!H230))</f>
        <v/>
      </c>
    </row>
    <row r="1867" spans="1:7" x14ac:dyDescent="0.3">
      <c r="A1867" t="s">
        <v>1847</v>
      </c>
      <c r="B1867" t="s">
        <v>1855</v>
      </c>
      <c r="C1867">
        <v>29</v>
      </c>
      <c r="D1867" t="s">
        <v>1447</v>
      </c>
      <c r="E1867" t="s">
        <v>1857</v>
      </c>
      <c r="F1867" t="s">
        <v>1741</v>
      </c>
      <c r="G1867" t="str">
        <f>IF(ISBLANK('Q 5'!H231),"",IF('Q 5'!H231="&lt;please select&gt;","",'Q 5'!H231))</f>
        <v/>
      </c>
    </row>
    <row r="1868" spans="1:7" x14ac:dyDescent="0.3">
      <c r="A1868" t="s">
        <v>1847</v>
      </c>
      <c r="B1868" t="s">
        <v>1855</v>
      </c>
      <c r="C1868">
        <v>30</v>
      </c>
      <c r="D1868" t="s">
        <v>1447</v>
      </c>
      <c r="E1868" t="s">
        <v>1857</v>
      </c>
      <c r="F1868" t="s">
        <v>1741</v>
      </c>
      <c r="G1868" t="str">
        <f>IF(ISBLANK('Q 5'!H232),"",IF('Q 5'!H232="&lt;please select&gt;","",'Q 5'!H232))</f>
        <v/>
      </c>
    </row>
    <row r="1869" spans="1:7" x14ac:dyDescent="0.3">
      <c r="A1869" t="s">
        <v>1847</v>
      </c>
      <c r="B1869" t="s">
        <v>1855</v>
      </c>
      <c r="C1869">
        <v>31</v>
      </c>
      <c r="D1869" t="s">
        <v>1447</v>
      </c>
      <c r="E1869" t="s">
        <v>1857</v>
      </c>
      <c r="F1869" t="s">
        <v>1741</v>
      </c>
      <c r="G1869" t="str">
        <f>IF(ISBLANK('Q 5'!H233),"",IF('Q 5'!H233="&lt;please select&gt;","",'Q 5'!H233))</f>
        <v/>
      </c>
    </row>
    <row r="1870" spans="1:7" x14ac:dyDescent="0.3">
      <c r="A1870" t="s">
        <v>1847</v>
      </c>
      <c r="B1870" t="s">
        <v>1855</v>
      </c>
      <c r="C1870">
        <v>32</v>
      </c>
      <c r="D1870" t="s">
        <v>1447</v>
      </c>
      <c r="E1870" t="s">
        <v>1857</v>
      </c>
      <c r="F1870" t="s">
        <v>1741</v>
      </c>
      <c r="G1870" t="str">
        <f>IF(ISBLANK('Q 5'!H234),"",IF('Q 5'!H234="&lt;please select&gt;","",'Q 5'!H234))</f>
        <v/>
      </c>
    </row>
    <row r="1871" spans="1:7" x14ac:dyDescent="0.3">
      <c r="A1871" t="s">
        <v>1847</v>
      </c>
      <c r="B1871" t="s">
        <v>1855</v>
      </c>
      <c r="C1871">
        <v>33</v>
      </c>
      <c r="D1871" t="s">
        <v>1447</v>
      </c>
      <c r="E1871" t="s">
        <v>1857</v>
      </c>
      <c r="F1871" t="s">
        <v>1741</v>
      </c>
      <c r="G1871" t="str">
        <f>IF(ISBLANK('Q 5'!H235),"",IF('Q 5'!H235="&lt;please select&gt;","",'Q 5'!H235))</f>
        <v/>
      </c>
    </row>
    <row r="1872" spans="1:7" x14ac:dyDescent="0.3">
      <c r="A1872" t="s">
        <v>1847</v>
      </c>
      <c r="B1872" t="s">
        <v>1855</v>
      </c>
      <c r="C1872">
        <v>34</v>
      </c>
      <c r="D1872" t="s">
        <v>1447</v>
      </c>
      <c r="E1872" t="s">
        <v>1857</v>
      </c>
      <c r="F1872" t="s">
        <v>1741</v>
      </c>
      <c r="G1872" t="str">
        <f>IF(ISBLANK('Q 5'!H236),"",IF('Q 5'!H236="&lt;please select&gt;","",'Q 5'!H236))</f>
        <v/>
      </c>
    </row>
    <row r="1873" spans="1:7" x14ac:dyDescent="0.3">
      <c r="A1873" t="s">
        <v>1847</v>
      </c>
      <c r="B1873" t="s">
        <v>1855</v>
      </c>
      <c r="C1873">
        <v>35</v>
      </c>
      <c r="D1873" t="s">
        <v>1447</v>
      </c>
      <c r="E1873" t="s">
        <v>1857</v>
      </c>
      <c r="F1873" t="s">
        <v>1741</v>
      </c>
      <c r="G1873" t="str">
        <f>IF(ISBLANK('Q 5'!H237),"",IF('Q 5'!H237="&lt;please select&gt;","",'Q 5'!H237))</f>
        <v/>
      </c>
    </row>
    <row r="1874" spans="1:7" x14ac:dyDescent="0.3">
      <c r="A1874" t="s">
        <v>1847</v>
      </c>
      <c r="B1874" t="s">
        <v>1855</v>
      </c>
      <c r="C1874">
        <v>36</v>
      </c>
      <c r="D1874" t="s">
        <v>1447</v>
      </c>
      <c r="E1874" t="s">
        <v>1857</v>
      </c>
      <c r="F1874" t="s">
        <v>1741</v>
      </c>
      <c r="G1874" t="str">
        <f>IF(ISBLANK('Q 5'!H238),"",IF('Q 5'!H238="&lt;please select&gt;","",'Q 5'!H238))</f>
        <v/>
      </c>
    </row>
    <row r="1875" spans="1:7" x14ac:dyDescent="0.3">
      <c r="A1875" t="s">
        <v>1847</v>
      </c>
      <c r="B1875" t="s">
        <v>1855</v>
      </c>
      <c r="C1875">
        <v>37</v>
      </c>
      <c r="D1875" t="s">
        <v>1447</v>
      </c>
      <c r="E1875" t="s">
        <v>1857</v>
      </c>
      <c r="F1875" t="s">
        <v>1741</v>
      </c>
      <c r="G1875" t="str">
        <f>IF(ISBLANK('Q 5'!H239),"",IF('Q 5'!H239="&lt;please select&gt;","",'Q 5'!H239))</f>
        <v/>
      </c>
    </row>
    <row r="1876" spans="1:7" x14ac:dyDescent="0.3">
      <c r="A1876" t="s">
        <v>1847</v>
      </c>
      <c r="B1876" t="s">
        <v>1855</v>
      </c>
      <c r="C1876">
        <v>38</v>
      </c>
      <c r="D1876" t="s">
        <v>1447</v>
      </c>
      <c r="E1876" t="s">
        <v>1857</v>
      </c>
      <c r="F1876" t="s">
        <v>1741</v>
      </c>
      <c r="G1876" t="str">
        <f>IF(ISBLANK('Q 5'!H240),"",IF('Q 5'!H240="&lt;please select&gt;","",'Q 5'!H240))</f>
        <v/>
      </c>
    </row>
    <row r="1877" spans="1:7" x14ac:dyDescent="0.3">
      <c r="A1877" t="s">
        <v>1847</v>
      </c>
      <c r="B1877" t="s">
        <v>1855</v>
      </c>
      <c r="C1877">
        <v>39</v>
      </c>
      <c r="D1877" t="s">
        <v>1447</v>
      </c>
      <c r="E1877" t="s">
        <v>1857</v>
      </c>
      <c r="F1877" t="s">
        <v>1741</v>
      </c>
      <c r="G1877" t="str">
        <f>IF(ISBLANK('Q 5'!H241),"",IF('Q 5'!H241="&lt;please select&gt;","",'Q 5'!H241))</f>
        <v/>
      </c>
    </row>
    <row r="1878" spans="1:7" x14ac:dyDescent="0.3">
      <c r="A1878" t="s">
        <v>1847</v>
      </c>
      <c r="B1878" t="s">
        <v>1855</v>
      </c>
      <c r="C1878">
        <v>40</v>
      </c>
      <c r="D1878" t="s">
        <v>1447</v>
      </c>
      <c r="E1878" t="s">
        <v>1857</v>
      </c>
      <c r="F1878" t="s">
        <v>1741</v>
      </c>
      <c r="G1878" t="str">
        <f>IF(ISBLANK('Q 5'!H242),"",IF('Q 5'!H242="&lt;please select&gt;","",'Q 5'!H242))</f>
        <v/>
      </c>
    </row>
    <row r="1879" spans="1:7" x14ac:dyDescent="0.3">
      <c r="A1879" t="s">
        <v>1847</v>
      </c>
      <c r="B1879" t="s">
        <v>1855</v>
      </c>
      <c r="C1879">
        <v>41</v>
      </c>
      <c r="D1879" t="s">
        <v>1447</v>
      </c>
      <c r="E1879" t="s">
        <v>1857</v>
      </c>
      <c r="F1879" t="s">
        <v>1741</v>
      </c>
      <c r="G1879" t="str">
        <f>IF(ISBLANK('Q 5'!H243),"",IF('Q 5'!H243="&lt;please select&gt;","",'Q 5'!H243))</f>
        <v/>
      </c>
    </row>
    <row r="1880" spans="1:7" x14ac:dyDescent="0.3">
      <c r="A1880" t="s">
        <v>1847</v>
      </c>
      <c r="B1880" t="s">
        <v>1855</v>
      </c>
      <c r="C1880">
        <v>42</v>
      </c>
      <c r="D1880" t="s">
        <v>1447</v>
      </c>
      <c r="E1880" t="s">
        <v>1857</v>
      </c>
      <c r="F1880" t="s">
        <v>1741</v>
      </c>
      <c r="G1880" t="str">
        <f>IF(ISBLANK('Q 5'!H244),"",IF('Q 5'!H244="&lt;please select&gt;","",'Q 5'!H244))</f>
        <v/>
      </c>
    </row>
    <row r="1881" spans="1:7" x14ac:dyDescent="0.3">
      <c r="A1881" t="s">
        <v>1847</v>
      </c>
      <c r="B1881" t="s">
        <v>1855</v>
      </c>
      <c r="C1881">
        <v>43</v>
      </c>
      <c r="D1881" t="s">
        <v>1447</v>
      </c>
      <c r="E1881" t="s">
        <v>1857</v>
      </c>
      <c r="F1881" t="s">
        <v>1741</v>
      </c>
      <c r="G1881" t="str">
        <f>IF(ISBLANK('Q 5'!H245),"",IF('Q 5'!H245="&lt;please select&gt;","",'Q 5'!H245))</f>
        <v/>
      </c>
    </row>
    <row r="1882" spans="1:7" x14ac:dyDescent="0.3">
      <c r="A1882" t="s">
        <v>1847</v>
      </c>
      <c r="B1882" t="s">
        <v>1855</v>
      </c>
      <c r="C1882">
        <v>44</v>
      </c>
      <c r="D1882" t="s">
        <v>1447</v>
      </c>
      <c r="E1882" t="s">
        <v>1857</v>
      </c>
      <c r="F1882" t="s">
        <v>1741</v>
      </c>
      <c r="G1882" t="str">
        <f>IF(ISBLANK('Q 5'!H246),"",IF('Q 5'!H246="&lt;please select&gt;","",'Q 5'!H246))</f>
        <v/>
      </c>
    </row>
    <row r="1883" spans="1:7" x14ac:dyDescent="0.3">
      <c r="A1883" t="s">
        <v>1847</v>
      </c>
      <c r="B1883" t="s">
        <v>1855</v>
      </c>
      <c r="C1883">
        <v>45</v>
      </c>
      <c r="D1883" t="s">
        <v>1447</v>
      </c>
      <c r="E1883" t="s">
        <v>1857</v>
      </c>
      <c r="F1883" t="s">
        <v>1741</v>
      </c>
      <c r="G1883" t="str">
        <f>IF(ISBLANK('Q 5'!H247),"",IF('Q 5'!H247="&lt;please select&gt;","",'Q 5'!H247))</f>
        <v/>
      </c>
    </row>
    <row r="1884" spans="1:7" x14ac:dyDescent="0.3">
      <c r="A1884" t="s">
        <v>1847</v>
      </c>
      <c r="B1884" t="s">
        <v>1855</v>
      </c>
      <c r="C1884">
        <v>46</v>
      </c>
      <c r="D1884" t="s">
        <v>1447</v>
      </c>
      <c r="E1884" t="s">
        <v>1857</v>
      </c>
      <c r="F1884" t="s">
        <v>1741</v>
      </c>
      <c r="G1884" t="str">
        <f>IF(ISBLANK('Q 5'!H248),"",IF('Q 5'!H248="&lt;please select&gt;","",'Q 5'!H248))</f>
        <v/>
      </c>
    </row>
    <row r="1885" spans="1:7" x14ac:dyDescent="0.3">
      <c r="A1885" t="s">
        <v>1847</v>
      </c>
      <c r="B1885" t="s">
        <v>1855</v>
      </c>
      <c r="C1885">
        <v>47</v>
      </c>
      <c r="D1885" t="s">
        <v>1447</v>
      </c>
      <c r="E1885" t="s">
        <v>1857</v>
      </c>
      <c r="F1885" t="s">
        <v>1741</v>
      </c>
      <c r="G1885" t="str">
        <f>IF(ISBLANK('Q 5'!H249),"",IF('Q 5'!H249="&lt;please select&gt;","",'Q 5'!H249))</f>
        <v/>
      </c>
    </row>
    <row r="1886" spans="1:7" x14ac:dyDescent="0.3">
      <c r="A1886" t="s">
        <v>1847</v>
      </c>
      <c r="B1886" t="s">
        <v>1855</v>
      </c>
      <c r="C1886">
        <v>48</v>
      </c>
      <c r="D1886" t="s">
        <v>1447</v>
      </c>
      <c r="E1886" t="s">
        <v>1857</v>
      </c>
      <c r="F1886" t="s">
        <v>1741</v>
      </c>
      <c r="G1886" t="str">
        <f>IF(ISBLANK('Q 5'!H250),"",IF('Q 5'!H250="&lt;please select&gt;","",'Q 5'!H250))</f>
        <v/>
      </c>
    </row>
    <row r="1887" spans="1:7" x14ac:dyDescent="0.3">
      <c r="A1887" t="s">
        <v>1847</v>
      </c>
      <c r="B1887" t="s">
        <v>1855</v>
      </c>
      <c r="C1887">
        <v>49</v>
      </c>
      <c r="D1887" t="s">
        <v>1447</v>
      </c>
      <c r="E1887" t="s">
        <v>1857</v>
      </c>
      <c r="F1887" t="s">
        <v>1741</v>
      </c>
      <c r="G1887" t="str">
        <f>IF(ISBLANK('Q 5'!H251),"",IF('Q 5'!H251="&lt;please select&gt;","",'Q 5'!H251))</f>
        <v/>
      </c>
    </row>
    <row r="1888" spans="1:7" x14ac:dyDescent="0.3">
      <c r="A1888" t="s">
        <v>1847</v>
      </c>
      <c r="B1888" t="s">
        <v>1855</v>
      </c>
      <c r="C1888">
        <v>50</v>
      </c>
      <c r="D1888" t="s">
        <v>1447</v>
      </c>
      <c r="E1888" t="s">
        <v>1857</v>
      </c>
      <c r="F1888" t="s">
        <v>1741</v>
      </c>
      <c r="G1888" t="str">
        <f>IF(ISBLANK('Q 5'!H252),"",IF('Q 5'!H252="&lt;please select&gt;","",'Q 5'!H252))</f>
        <v/>
      </c>
    </row>
    <row r="1889" spans="1:7" x14ac:dyDescent="0.3">
      <c r="A1889" t="s">
        <v>1847</v>
      </c>
      <c r="B1889" t="s">
        <v>1855</v>
      </c>
      <c r="C1889">
        <v>51</v>
      </c>
      <c r="D1889" t="s">
        <v>1447</v>
      </c>
      <c r="E1889" t="s">
        <v>1857</v>
      </c>
      <c r="F1889" t="s">
        <v>1741</v>
      </c>
      <c r="G1889" t="str">
        <f>IF(ISBLANK('Q 5'!H253),"",IF('Q 5'!H253="&lt;please select&gt;","",'Q 5'!H253))</f>
        <v/>
      </c>
    </row>
    <row r="1890" spans="1:7" x14ac:dyDescent="0.3">
      <c r="A1890" t="s">
        <v>1847</v>
      </c>
      <c r="B1890" t="s">
        <v>1855</v>
      </c>
      <c r="C1890">
        <v>52</v>
      </c>
      <c r="D1890" t="s">
        <v>1447</v>
      </c>
      <c r="E1890" t="s">
        <v>1857</v>
      </c>
      <c r="F1890" t="s">
        <v>1741</v>
      </c>
      <c r="G1890" t="str">
        <f>IF(ISBLANK('Q 5'!H254),"",IF('Q 5'!H254="&lt;please select&gt;","",'Q 5'!H254))</f>
        <v/>
      </c>
    </row>
    <row r="1891" spans="1:7" x14ac:dyDescent="0.3">
      <c r="A1891" t="s">
        <v>1847</v>
      </c>
      <c r="B1891" t="s">
        <v>1855</v>
      </c>
      <c r="C1891">
        <v>53</v>
      </c>
      <c r="D1891" t="s">
        <v>1447</v>
      </c>
      <c r="E1891" t="s">
        <v>1857</v>
      </c>
      <c r="F1891" t="s">
        <v>1741</v>
      </c>
      <c r="G1891" t="str">
        <f>IF(ISBLANK('Q 5'!H255),"",IF('Q 5'!H255="&lt;please select&gt;","",'Q 5'!H255))</f>
        <v/>
      </c>
    </row>
    <row r="1892" spans="1:7" x14ac:dyDescent="0.3">
      <c r="A1892" t="s">
        <v>1847</v>
      </c>
      <c r="B1892" t="s">
        <v>1855</v>
      </c>
      <c r="C1892">
        <v>54</v>
      </c>
      <c r="D1892" t="s">
        <v>1447</v>
      </c>
      <c r="E1892" t="s">
        <v>1857</v>
      </c>
      <c r="F1892" t="s">
        <v>1741</v>
      </c>
      <c r="G1892" t="str">
        <f>IF(ISBLANK('Q 5'!H256),"",IF('Q 5'!H256="&lt;please select&gt;","",'Q 5'!H256))</f>
        <v/>
      </c>
    </row>
    <row r="1893" spans="1:7" x14ac:dyDescent="0.3">
      <c r="A1893" t="s">
        <v>1847</v>
      </c>
      <c r="B1893" t="s">
        <v>1855</v>
      </c>
      <c r="C1893">
        <v>55</v>
      </c>
      <c r="D1893" t="s">
        <v>1447</v>
      </c>
      <c r="E1893" t="s">
        <v>1857</v>
      </c>
      <c r="F1893" t="s">
        <v>1741</v>
      </c>
      <c r="G1893" t="str">
        <f>IF(ISBLANK('Q 5'!H257),"",IF('Q 5'!H257="&lt;please select&gt;","",'Q 5'!H257))</f>
        <v/>
      </c>
    </row>
    <row r="1894" spans="1:7" x14ac:dyDescent="0.3">
      <c r="A1894" t="s">
        <v>1847</v>
      </c>
      <c r="B1894" t="s">
        <v>1855</v>
      </c>
      <c r="C1894">
        <v>56</v>
      </c>
      <c r="D1894" t="s">
        <v>1447</v>
      </c>
      <c r="E1894" t="s">
        <v>1857</v>
      </c>
      <c r="F1894" t="s">
        <v>1741</v>
      </c>
      <c r="G1894" t="str">
        <f>IF(ISBLANK('Q 5'!H258),"",IF('Q 5'!H258="&lt;please select&gt;","",'Q 5'!H258))</f>
        <v/>
      </c>
    </row>
    <row r="1895" spans="1:7" x14ac:dyDescent="0.3">
      <c r="A1895" t="s">
        <v>1847</v>
      </c>
      <c r="B1895" t="s">
        <v>1855</v>
      </c>
      <c r="C1895">
        <v>57</v>
      </c>
      <c r="D1895" t="s">
        <v>1447</v>
      </c>
      <c r="E1895" t="s">
        <v>1857</v>
      </c>
      <c r="F1895" t="s">
        <v>1741</v>
      </c>
      <c r="G1895" t="str">
        <f>IF(ISBLANK('Q 5'!H259),"",IF('Q 5'!H259="&lt;please select&gt;","",'Q 5'!H259))</f>
        <v/>
      </c>
    </row>
    <row r="1896" spans="1:7" x14ac:dyDescent="0.3">
      <c r="A1896" t="s">
        <v>1847</v>
      </c>
      <c r="B1896" t="s">
        <v>1855</v>
      </c>
      <c r="C1896">
        <v>58</v>
      </c>
      <c r="D1896" t="s">
        <v>1447</v>
      </c>
      <c r="E1896" t="s">
        <v>1857</v>
      </c>
      <c r="F1896" t="s">
        <v>1741</v>
      </c>
      <c r="G1896" t="str">
        <f>IF(ISBLANK('Q 5'!H260),"",IF('Q 5'!H260="&lt;please select&gt;","",'Q 5'!H260))</f>
        <v/>
      </c>
    </row>
    <row r="1897" spans="1:7" x14ac:dyDescent="0.3">
      <c r="A1897" t="s">
        <v>1847</v>
      </c>
      <c r="B1897" t="s">
        <v>1855</v>
      </c>
      <c r="C1897">
        <v>59</v>
      </c>
      <c r="D1897" t="s">
        <v>1447</v>
      </c>
      <c r="E1897" t="s">
        <v>1857</v>
      </c>
      <c r="F1897" t="s">
        <v>1741</v>
      </c>
      <c r="G1897" t="str">
        <f>IF(ISBLANK('Q 5'!H261),"",IF('Q 5'!H261="&lt;please select&gt;","",'Q 5'!H261))</f>
        <v/>
      </c>
    </row>
    <row r="1898" spans="1:7" x14ac:dyDescent="0.3">
      <c r="A1898" t="s">
        <v>1847</v>
      </c>
      <c r="B1898" t="s">
        <v>1855</v>
      </c>
      <c r="C1898">
        <v>60</v>
      </c>
      <c r="D1898" t="s">
        <v>1447</v>
      </c>
      <c r="E1898" t="s">
        <v>1857</v>
      </c>
      <c r="F1898" t="s">
        <v>1741</v>
      </c>
      <c r="G1898" t="str">
        <f>IF(ISBLANK('Q 5'!H262),"",IF('Q 5'!H262="&lt;please select&gt;","",'Q 5'!H262))</f>
        <v/>
      </c>
    </row>
    <row r="1899" spans="1:7" x14ac:dyDescent="0.3">
      <c r="A1899" t="s">
        <v>1847</v>
      </c>
      <c r="B1899" t="s">
        <v>1855</v>
      </c>
      <c r="C1899">
        <v>61</v>
      </c>
      <c r="D1899" t="s">
        <v>1447</v>
      </c>
      <c r="E1899" t="s">
        <v>1857</v>
      </c>
      <c r="F1899" t="s">
        <v>1741</v>
      </c>
      <c r="G1899" t="str">
        <f>IF(ISBLANK('Q 5'!H263),"",IF('Q 5'!H263="&lt;please select&gt;","",'Q 5'!H263))</f>
        <v/>
      </c>
    </row>
    <row r="1900" spans="1:7" x14ac:dyDescent="0.3">
      <c r="A1900" t="s">
        <v>1847</v>
      </c>
      <c r="B1900" t="s">
        <v>1855</v>
      </c>
      <c r="C1900">
        <v>62</v>
      </c>
      <c r="D1900" t="s">
        <v>1447</v>
      </c>
      <c r="E1900" t="s">
        <v>1857</v>
      </c>
      <c r="F1900" t="s">
        <v>1741</v>
      </c>
      <c r="G1900" t="str">
        <f>IF(ISBLANK('Q 5'!H264),"",IF('Q 5'!H264="&lt;please select&gt;","",'Q 5'!H264))</f>
        <v/>
      </c>
    </row>
    <row r="1901" spans="1:7" x14ac:dyDescent="0.3">
      <c r="A1901" t="s">
        <v>1847</v>
      </c>
      <c r="B1901" t="s">
        <v>1855</v>
      </c>
      <c r="C1901">
        <v>63</v>
      </c>
      <c r="D1901" t="s">
        <v>1447</v>
      </c>
      <c r="E1901" t="s">
        <v>1857</v>
      </c>
      <c r="F1901" t="s">
        <v>1741</v>
      </c>
      <c r="G1901" t="str">
        <f>IF(ISBLANK('Q 5'!H265),"",IF('Q 5'!H265="&lt;please select&gt;","",'Q 5'!H265))</f>
        <v/>
      </c>
    </row>
    <row r="1902" spans="1:7" x14ac:dyDescent="0.3">
      <c r="A1902" t="s">
        <v>1847</v>
      </c>
      <c r="B1902" t="s">
        <v>1855</v>
      </c>
      <c r="C1902">
        <v>64</v>
      </c>
      <c r="D1902" t="s">
        <v>1447</v>
      </c>
      <c r="E1902" t="s">
        <v>1857</v>
      </c>
      <c r="F1902" t="s">
        <v>1741</v>
      </c>
      <c r="G1902" t="str">
        <f>IF(ISBLANK('Q 5'!H266),"",IF('Q 5'!H266="&lt;please select&gt;","",'Q 5'!H266))</f>
        <v/>
      </c>
    </row>
    <row r="1903" spans="1:7" x14ac:dyDescent="0.3">
      <c r="A1903" t="s">
        <v>1847</v>
      </c>
      <c r="B1903" t="s">
        <v>1855</v>
      </c>
      <c r="C1903">
        <v>65</v>
      </c>
      <c r="D1903" t="s">
        <v>1447</v>
      </c>
      <c r="E1903" t="s">
        <v>1857</v>
      </c>
      <c r="F1903" t="s">
        <v>1741</v>
      </c>
      <c r="G1903" t="str">
        <f>IF(ISBLANK('Q 5'!H267),"",IF('Q 5'!H267="&lt;please select&gt;","",'Q 5'!H267))</f>
        <v/>
      </c>
    </row>
    <row r="1904" spans="1:7" x14ac:dyDescent="0.3">
      <c r="A1904" t="s">
        <v>1847</v>
      </c>
      <c r="B1904" t="s">
        <v>1855</v>
      </c>
      <c r="C1904">
        <v>66</v>
      </c>
      <c r="D1904" t="s">
        <v>1447</v>
      </c>
      <c r="E1904" t="s">
        <v>1857</v>
      </c>
      <c r="F1904" t="s">
        <v>1741</v>
      </c>
      <c r="G1904" t="str">
        <f>IF(ISBLANK('Q 5'!H268),"",IF('Q 5'!H268="&lt;please select&gt;","",'Q 5'!H268))</f>
        <v/>
      </c>
    </row>
    <row r="1905" spans="1:7" x14ac:dyDescent="0.3">
      <c r="A1905" t="s">
        <v>1847</v>
      </c>
      <c r="B1905" t="s">
        <v>1855</v>
      </c>
      <c r="C1905">
        <v>67</v>
      </c>
      <c r="D1905" t="s">
        <v>1447</v>
      </c>
      <c r="E1905" t="s">
        <v>1857</v>
      </c>
      <c r="F1905" t="s">
        <v>1741</v>
      </c>
      <c r="G1905" t="str">
        <f>IF(ISBLANK('Q 5'!H269),"",IF('Q 5'!H269="&lt;please select&gt;","",'Q 5'!H269))</f>
        <v/>
      </c>
    </row>
    <row r="1906" spans="1:7" x14ac:dyDescent="0.3">
      <c r="A1906" t="s">
        <v>1847</v>
      </c>
      <c r="B1906" t="s">
        <v>1855</v>
      </c>
      <c r="C1906">
        <v>68</v>
      </c>
      <c r="D1906" t="s">
        <v>1447</v>
      </c>
      <c r="E1906" t="s">
        <v>1857</v>
      </c>
      <c r="F1906" t="s">
        <v>1741</v>
      </c>
      <c r="G1906" t="str">
        <f>IF(ISBLANK('Q 5'!H270),"",IF('Q 5'!H270="&lt;please select&gt;","",'Q 5'!H270))</f>
        <v/>
      </c>
    </row>
    <row r="1907" spans="1:7" x14ac:dyDescent="0.3">
      <c r="A1907" t="s">
        <v>1847</v>
      </c>
      <c r="B1907" t="s">
        <v>1855</v>
      </c>
      <c r="C1907">
        <v>69</v>
      </c>
      <c r="D1907" t="s">
        <v>1447</v>
      </c>
      <c r="E1907" t="s">
        <v>1857</v>
      </c>
      <c r="F1907" t="s">
        <v>1741</v>
      </c>
      <c r="G1907" t="str">
        <f>IF(ISBLANK('Q 5'!H271),"",IF('Q 5'!H271="&lt;please select&gt;","",'Q 5'!H271))</f>
        <v/>
      </c>
    </row>
    <row r="1908" spans="1:7" x14ac:dyDescent="0.3">
      <c r="A1908" t="s">
        <v>1847</v>
      </c>
      <c r="B1908" t="s">
        <v>1855</v>
      </c>
      <c r="C1908">
        <v>70</v>
      </c>
      <c r="D1908" t="s">
        <v>1447</v>
      </c>
      <c r="E1908" t="s">
        <v>1857</v>
      </c>
      <c r="F1908" t="s">
        <v>1741</v>
      </c>
      <c r="G1908" t="str">
        <f>IF(ISBLANK('Q 5'!H272),"",IF('Q 5'!H272="&lt;please select&gt;","",'Q 5'!H272))</f>
        <v/>
      </c>
    </row>
    <row r="1909" spans="1:7" x14ac:dyDescent="0.3">
      <c r="A1909" t="s">
        <v>1847</v>
      </c>
      <c r="B1909" t="s">
        <v>1855</v>
      </c>
      <c r="C1909">
        <v>71</v>
      </c>
      <c r="D1909" t="s">
        <v>1447</v>
      </c>
      <c r="E1909" t="s">
        <v>1857</v>
      </c>
      <c r="F1909" t="s">
        <v>1741</v>
      </c>
      <c r="G1909" t="str">
        <f>IF(ISBLANK('Q 5'!H273),"",IF('Q 5'!H273="&lt;please select&gt;","",'Q 5'!H273))</f>
        <v/>
      </c>
    </row>
    <row r="1910" spans="1:7" x14ac:dyDescent="0.3">
      <c r="A1910" t="s">
        <v>1847</v>
      </c>
      <c r="B1910" t="s">
        <v>1855</v>
      </c>
      <c r="C1910">
        <v>72</v>
      </c>
      <c r="D1910" t="s">
        <v>1447</v>
      </c>
      <c r="E1910" t="s">
        <v>1857</v>
      </c>
      <c r="F1910" t="s">
        <v>1741</v>
      </c>
      <c r="G1910" t="str">
        <f>IF(ISBLANK('Q 5'!H274),"",IF('Q 5'!H274="&lt;please select&gt;","",'Q 5'!H274))</f>
        <v/>
      </c>
    </row>
    <row r="1911" spans="1:7" x14ac:dyDescent="0.3">
      <c r="A1911" t="s">
        <v>1847</v>
      </c>
      <c r="B1911" t="s">
        <v>1855</v>
      </c>
      <c r="C1911">
        <v>73</v>
      </c>
      <c r="D1911" t="s">
        <v>1447</v>
      </c>
      <c r="E1911" t="s">
        <v>1857</v>
      </c>
      <c r="F1911" t="s">
        <v>1741</v>
      </c>
      <c r="G1911" t="str">
        <f>IF(ISBLANK('Q 5'!H275),"",IF('Q 5'!H275="&lt;please select&gt;","",'Q 5'!H275))</f>
        <v/>
      </c>
    </row>
    <row r="1912" spans="1:7" x14ac:dyDescent="0.3">
      <c r="A1912" t="s">
        <v>1847</v>
      </c>
      <c r="B1912" t="s">
        <v>1855</v>
      </c>
      <c r="C1912">
        <v>74</v>
      </c>
      <c r="D1912" t="s">
        <v>1447</v>
      </c>
      <c r="E1912" t="s">
        <v>1857</v>
      </c>
      <c r="F1912" t="s">
        <v>1741</v>
      </c>
      <c r="G1912" t="str">
        <f>IF(ISBLANK('Q 5'!H276),"",IF('Q 5'!H276="&lt;please select&gt;","",'Q 5'!H276))</f>
        <v/>
      </c>
    </row>
    <row r="1913" spans="1:7" x14ac:dyDescent="0.3">
      <c r="A1913" t="s">
        <v>1847</v>
      </c>
      <c r="B1913" t="s">
        <v>1855</v>
      </c>
      <c r="C1913">
        <v>75</v>
      </c>
      <c r="D1913" t="s">
        <v>1447</v>
      </c>
      <c r="E1913" t="s">
        <v>1857</v>
      </c>
      <c r="F1913" t="s">
        <v>1741</v>
      </c>
      <c r="G1913" t="str">
        <f>IF(ISBLANK('Q 5'!H277),"",IF('Q 5'!H277="&lt;please select&gt;","",'Q 5'!H277))</f>
        <v/>
      </c>
    </row>
    <row r="1914" spans="1:7" x14ac:dyDescent="0.3">
      <c r="A1914" t="s">
        <v>1847</v>
      </c>
      <c r="B1914" t="s">
        <v>1855</v>
      </c>
      <c r="C1914">
        <v>76</v>
      </c>
      <c r="D1914" t="s">
        <v>1447</v>
      </c>
      <c r="E1914" t="s">
        <v>1857</v>
      </c>
      <c r="F1914" t="s">
        <v>1741</v>
      </c>
      <c r="G1914" t="str">
        <f>IF(ISBLANK('Q 5'!H278),"",IF('Q 5'!H278="&lt;please select&gt;","",'Q 5'!H278))</f>
        <v/>
      </c>
    </row>
    <row r="1915" spans="1:7" x14ac:dyDescent="0.3">
      <c r="A1915" t="s">
        <v>1847</v>
      </c>
      <c r="B1915" t="s">
        <v>1855</v>
      </c>
      <c r="C1915">
        <v>77</v>
      </c>
      <c r="D1915" t="s">
        <v>1447</v>
      </c>
      <c r="E1915" t="s">
        <v>1857</v>
      </c>
      <c r="F1915" t="s">
        <v>1741</v>
      </c>
      <c r="G1915" t="str">
        <f>IF(ISBLANK('Q 5'!H279),"",IF('Q 5'!H279="&lt;please select&gt;","",'Q 5'!H279))</f>
        <v/>
      </c>
    </row>
    <row r="1916" spans="1:7" x14ac:dyDescent="0.3">
      <c r="A1916" t="s">
        <v>1847</v>
      </c>
      <c r="B1916" t="s">
        <v>1855</v>
      </c>
      <c r="C1916">
        <v>78</v>
      </c>
      <c r="D1916" t="s">
        <v>1447</v>
      </c>
      <c r="E1916" t="s">
        <v>1857</v>
      </c>
      <c r="F1916" t="s">
        <v>1741</v>
      </c>
      <c r="G1916" t="str">
        <f>IF(ISBLANK('Q 5'!H280),"",IF('Q 5'!H280="&lt;please select&gt;","",'Q 5'!H280))</f>
        <v/>
      </c>
    </row>
    <row r="1917" spans="1:7" x14ac:dyDescent="0.3">
      <c r="A1917" t="s">
        <v>1847</v>
      </c>
      <c r="B1917" t="s">
        <v>1855</v>
      </c>
      <c r="C1917">
        <v>79</v>
      </c>
      <c r="D1917" t="s">
        <v>1447</v>
      </c>
      <c r="E1917" t="s">
        <v>1857</v>
      </c>
      <c r="F1917" t="s">
        <v>1741</v>
      </c>
      <c r="G1917" t="str">
        <f>IF(ISBLANK('Q 5'!H281),"",IF('Q 5'!H281="&lt;please select&gt;","",'Q 5'!H281))</f>
        <v/>
      </c>
    </row>
    <row r="1918" spans="1:7" x14ac:dyDescent="0.3">
      <c r="A1918" t="s">
        <v>1847</v>
      </c>
      <c r="B1918" t="s">
        <v>1855</v>
      </c>
      <c r="C1918">
        <v>80</v>
      </c>
      <c r="D1918" t="s">
        <v>1447</v>
      </c>
      <c r="E1918" t="s">
        <v>1857</v>
      </c>
      <c r="F1918" t="s">
        <v>1741</v>
      </c>
      <c r="G1918" t="str">
        <f>IF(ISBLANK('Q 5'!H282),"",IF('Q 5'!H282="&lt;please select&gt;","",'Q 5'!H282))</f>
        <v/>
      </c>
    </row>
    <row r="1919" spans="1:7" x14ac:dyDescent="0.3">
      <c r="A1919" t="s">
        <v>1847</v>
      </c>
      <c r="B1919" t="s">
        <v>1855</v>
      </c>
      <c r="C1919">
        <v>81</v>
      </c>
      <c r="D1919" t="s">
        <v>1447</v>
      </c>
      <c r="E1919" t="s">
        <v>1857</v>
      </c>
      <c r="F1919" t="s">
        <v>1741</v>
      </c>
      <c r="G1919" t="str">
        <f>IF(ISBLANK('Q 5'!H283),"",IF('Q 5'!H283="&lt;please select&gt;","",'Q 5'!H283))</f>
        <v/>
      </c>
    </row>
    <row r="1920" spans="1:7" x14ac:dyDescent="0.3">
      <c r="A1920" t="s">
        <v>1847</v>
      </c>
      <c r="B1920" t="s">
        <v>1855</v>
      </c>
      <c r="C1920">
        <v>82</v>
      </c>
      <c r="D1920" t="s">
        <v>1447</v>
      </c>
      <c r="E1920" t="s">
        <v>1857</v>
      </c>
      <c r="F1920" t="s">
        <v>1741</v>
      </c>
      <c r="G1920" t="str">
        <f>IF(ISBLANK('Q 5'!H284),"",IF('Q 5'!H284="&lt;please select&gt;","",'Q 5'!H284))</f>
        <v/>
      </c>
    </row>
    <row r="1921" spans="1:7" x14ac:dyDescent="0.3">
      <c r="A1921" t="s">
        <v>1847</v>
      </c>
      <c r="B1921" t="s">
        <v>1855</v>
      </c>
      <c r="C1921">
        <v>83</v>
      </c>
      <c r="D1921" t="s">
        <v>1447</v>
      </c>
      <c r="E1921" t="s">
        <v>1857</v>
      </c>
      <c r="F1921" t="s">
        <v>1741</v>
      </c>
      <c r="G1921" t="str">
        <f>IF(ISBLANK('Q 5'!H285),"",IF('Q 5'!H285="&lt;please select&gt;","",'Q 5'!H285))</f>
        <v/>
      </c>
    </row>
    <row r="1922" spans="1:7" x14ac:dyDescent="0.3">
      <c r="A1922" t="s">
        <v>1847</v>
      </c>
      <c r="B1922" t="s">
        <v>1855</v>
      </c>
      <c r="C1922">
        <v>84</v>
      </c>
      <c r="D1922" t="s">
        <v>1447</v>
      </c>
      <c r="E1922" t="s">
        <v>1857</v>
      </c>
      <c r="F1922" t="s">
        <v>1741</v>
      </c>
      <c r="G1922" t="str">
        <f>IF(ISBLANK('Q 5'!H286),"",IF('Q 5'!H286="&lt;please select&gt;","",'Q 5'!H286))</f>
        <v/>
      </c>
    </row>
    <row r="1923" spans="1:7" x14ac:dyDescent="0.3">
      <c r="A1923" t="s">
        <v>1847</v>
      </c>
      <c r="B1923" t="s">
        <v>1855</v>
      </c>
      <c r="C1923">
        <v>85</v>
      </c>
      <c r="D1923" t="s">
        <v>1447</v>
      </c>
      <c r="E1923" t="s">
        <v>1857</v>
      </c>
      <c r="F1923" t="s">
        <v>1741</v>
      </c>
      <c r="G1923" t="str">
        <f>IF(ISBLANK('Q 5'!H287),"",IF('Q 5'!H287="&lt;please select&gt;","",'Q 5'!H287))</f>
        <v/>
      </c>
    </row>
    <row r="1924" spans="1:7" x14ac:dyDescent="0.3">
      <c r="A1924" t="s">
        <v>1847</v>
      </c>
      <c r="B1924" t="s">
        <v>1855</v>
      </c>
      <c r="C1924">
        <v>86</v>
      </c>
      <c r="D1924" t="s">
        <v>1447</v>
      </c>
      <c r="E1924" t="s">
        <v>1857</v>
      </c>
      <c r="F1924" t="s">
        <v>1741</v>
      </c>
      <c r="G1924" t="str">
        <f>IF(ISBLANK('Q 5'!H288),"",IF('Q 5'!H288="&lt;please select&gt;","",'Q 5'!H288))</f>
        <v/>
      </c>
    </row>
    <row r="1925" spans="1:7" x14ac:dyDescent="0.3">
      <c r="A1925" t="s">
        <v>1847</v>
      </c>
      <c r="B1925" t="s">
        <v>1855</v>
      </c>
      <c r="C1925">
        <v>87</v>
      </c>
      <c r="D1925" t="s">
        <v>1447</v>
      </c>
      <c r="E1925" t="s">
        <v>1857</v>
      </c>
      <c r="F1925" t="s">
        <v>1741</v>
      </c>
      <c r="G1925" t="str">
        <f>IF(ISBLANK('Q 5'!H289),"",IF('Q 5'!H289="&lt;please select&gt;","",'Q 5'!H289))</f>
        <v/>
      </c>
    </row>
    <row r="1926" spans="1:7" x14ac:dyDescent="0.3">
      <c r="A1926" t="s">
        <v>1847</v>
      </c>
      <c r="B1926" t="s">
        <v>1855</v>
      </c>
      <c r="C1926">
        <v>88</v>
      </c>
      <c r="D1926" t="s">
        <v>1447</v>
      </c>
      <c r="E1926" t="s">
        <v>1857</v>
      </c>
      <c r="F1926" t="s">
        <v>1741</v>
      </c>
      <c r="G1926" t="str">
        <f>IF(ISBLANK('Q 5'!H290),"",IF('Q 5'!H290="&lt;please select&gt;","",'Q 5'!H290))</f>
        <v/>
      </c>
    </row>
    <row r="1927" spans="1:7" x14ac:dyDescent="0.3">
      <c r="A1927" t="s">
        <v>1847</v>
      </c>
      <c r="B1927" t="s">
        <v>1855</v>
      </c>
      <c r="C1927">
        <v>89</v>
      </c>
      <c r="D1927" t="s">
        <v>1447</v>
      </c>
      <c r="E1927" t="s">
        <v>1857</v>
      </c>
      <c r="F1927" t="s">
        <v>1741</v>
      </c>
      <c r="G1927" t="str">
        <f>IF(ISBLANK('Q 5'!H291),"",IF('Q 5'!H291="&lt;please select&gt;","",'Q 5'!H291))</f>
        <v/>
      </c>
    </row>
    <row r="1928" spans="1:7" x14ac:dyDescent="0.3">
      <c r="A1928" t="s">
        <v>1847</v>
      </c>
      <c r="B1928" t="s">
        <v>1855</v>
      </c>
      <c r="C1928">
        <v>90</v>
      </c>
      <c r="D1928" t="s">
        <v>1447</v>
      </c>
      <c r="E1928" t="s">
        <v>1857</v>
      </c>
      <c r="F1928" t="s">
        <v>1741</v>
      </c>
      <c r="G1928" t="str">
        <f>IF(ISBLANK('Q 5'!H292),"",IF('Q 5'!H292="&lt;please select&gt;","",'Q 5'!H292))</f>
        <v/>
      </c>
    </row>
    <row r="1929" spans="1:7" x14ac:dyDescent="0.3">
      <c r="A1929" t="s">
        <v>1847</v>
      </c>
      <c r="B1929" t="s">
        <v>1855</v>
      </c>
      <c r="C1929">
        <v>91</v>
      </c>
      <c r="D1929" t="s">
        <v>1447</v>
      </c>
      <c r="E1929" t="s">
        <v>1857</v>
      </c>
      <c r="F1929" t="s">
        <v>1741</v>
      </c>
      <c r="G1929" t="str">
        <f>IF(ISBLANK('Q 5'!H293),"",IF('Q 5'!H293="&lt;please select&gt;","",'Q 5'!H293))</f>
        <v/>
      </c>
    </row>
    <row r="1930" spans="1:7" x14ac:dyDescent="0.3">
      <c r="A1930" t="s">
        <v>1847</v>
      </c>
      <c r="B1930" t="s">
        <v>1855</v>
      </c>
      <c r="C1930">
        <v>92</v>
      </c>
      <c r="D1930" t="s">
        <v>1447</v>
      </c>
      <c r="E1930" t="s">
        <v>1857</v>
      </c>
      <c r="F1930" t="s">
        <v>1741</v>
      </c>
      <c r="G1930" t="str">
        <f>IF(ISBLANK('Q 5'!H294),"",IF('Q 5'!H294="&lt;please select&gt;","",'Q 5'!H294))</f>
        <v/>
      </c>
    </row>
    <row r="1931" spans="1:7" x14ac:dyDescent="0.3">
      <c r="A1931" t="s">
        <v>1847</v>
      </c>
      <c r="B1931" t="s">
        <v>1855</v>
      </c>
      <c r="C1931">
        <v>93</v>
      </c>
      <c r="D1931" t="s">
        <v>1447</v>
      </c>
      <c r="E1931" t="s">
        <v>1857</v>
      </c>
      <c r="F1931" t="s">
        <v>1741</v>
      </c>
      <c r="G1931" t="str">
        <f>IF(ISBLANK('Q 5'!H295),"",IF('Q 5'!H295="&lt;please select&gt;","",'Q 5'!H295))</f>
        <v/>
      </c>
    </row>
    <row r="1932" spans="1:7" x14ac:dyDescent="0.3">
      <c r="A1932" t="s">
        <v>1847</v>
      </c>
      <c r="B1932" t="s">
        <v>1855</v>
      </c>
      <c r="C1932">
        <v>94</v>
      </c>
      <c r="D1932" t="s">
        <v>1447</v>
      </c>
      <c r="E1932" t="s">
        <v>1857</v>
      </c>
      <c r="F1932" t="s">
        <v>1741</v>
      </c>
      <c r="G1932" t="str">
        <f>IF(ISBLANK('Q 5'!H296),"",IF('Q 5'!H296="&lt;please select&gt;","",'Q 5'!H296))</f>
        <v/>
      </c>
    </row>
    <row r="1933" spans="1:7" x14ac:dyDescent="0.3">
      <c r="A1933" t="s">
        <v>1847</v>
      </c>
      <c r="B1933" t="s">
        <v>1855</v>
      </c>
      <c r="C1933">
        <v>95</v>
      </c>
      <c r="D1933" t="s">
        <v>1447</v>
      </c>
      <c r="E1933" t="s">
        <v>1857</v>
      </c>
      <c r="F1933" t="s">
        <v>1741</v>
      </c>
      <c r="G1933" t="str">
        <f>IF(ISBLANK('Q 5'!H297),"",IF('Q 5'!H297="&lt;please select&gt;","",'Q 5'!H297))</f>
        <v/>
      </c>
    </row>
    <row r="1934" spans="1:7" x14ac:dyDescent="0.3">
      <c r="A1934" t="s">
        <v>1847</v>
      </c>
      <c r="B1934" t="s">
        <v>1855</v>
      </c>
      <c r="C1934">
        <v>96</v>
      </c>
      <c r="D1934" t="s">
        <v>1447</v>
      </c>
      <c r="E1934" t="s">
        <v>1857</v>
      </c>
      <c r="F1934" t="s">
        <v>1741</v>
      </c>
      <c r="G1934" t="str">
        <f>IF(ISBLANK('Q 5'!H298),"",IF('Q 5'!H298="&lt;please select&gt;","",'Q 5'!H298))</f>
        <v/>
      </c>
    </row>
    <row r="1935" spans="1:7" x14ac:dyDescent="0.3">
      <c r="A1935" t="s">
        <v>1847</v>
      </c>
      <c r="B1935" t="s">
        <v>1855</v>
      </c>
      <c r="C1935">
        <v>97</v>
      </c>
      <c r="D1935" t="s">
        <v>1447</v>
      </c>
      <c r="E1935" t="s">
        <v>1857</v>
      </c>
      <c r="F1935" t="s">
        <v>1741</v>
      </c>
      <c r="G1935" t="str">
        <f>IF(ISBLANK('Q 5'!H299),"",IF('Q 5'!H299="&lt;please select&gt;","",'Q 5'!H299))</f>
        <v/>
      </c>
    </row>
    <row r="1936" spans="1:7" x14ac:dyDescent="0.3">
      <c r="A1936" t="s">
        <v>1847</v>
      </c>
      <c r="B1936" t="s">
        <v>1855</v>
      </c>
      <c r="C1936">
        <v>98</v>
      </c>
      <c r="D1936" t="s">
        <v>1447</v>
      </c>
      <c r="E1936" t="s">
        <v>1857</v>
      </c>
      <c r="F1936" t="s">
        <v>1741</v>
      </c>
      <c r="G1936" t="str">
        <f>IF(ISBLANK('Q 5'!H300),"",IF('Q 5'!H300="&lt;please select&gt;","",'Q 5'!H300))</f>
        <v/>
      </c>
    </row>
    <row r="1937" spans="1:7" x14ac:dyDescent="0.3">
      <c r="A1937" t="s">
        <v>1847</v>
      </c>
      <c r="B1937" t="s">
        <v>1855</v>
      </c>
      <c r="C1937">
        <v>99</v>
      </c>
      <c r="D1937" t="s">
        <v>1447</v>
      </c>
      <c r="E1937" t="s">
        <v>1857</v>
      </c>
      <c r="F1937" t="s">
        <v>1741</v>
      </c>
      <c r="G1937" t="str">
        <f>IF(ISBLANK('Q 5'!H301),"",IF('Q 5'!H301="&lt;please select&gt;","",'Q 5'!H301))</f>
        <v/>
      </c>
    </row>
    <row r="1938" spans="1:7" x14ac:dyDescent="0.3">
      <c r="A1938" t="s">
        <v>1847</v>
      </c>
      <c r="B1938" t="s">
        <v>1855</v>
      </c>
      <c r="C1938">
        <v>100</v>
      </c>
      <c r="D1938" t="s">
        <v>1447</v>
      </c>
      <c r="E1938" t="s">
        <v>1857</v>
      </c>
      <c r="F1938" t="s">
        <v>1741</v>
      </c>
      <c r="G1938" t="str">
        <f>IF(ISBLANK('Q 5'!H302),"",IF('Q 5'!H302="&lt;please select&gt;","",'Q 5'!H302))</f>
        <v/>
      </c>
    </row>
    <row r="1939" spans="1:7" x14ac:dyDescent="0.3">
      <c r="A1939" t="s">
        <v>1847</v>
      </c>
      <c r="B1939" t="s">
        <v>1855</v>
      </c>
      <c r="C1939">
        <v>101</v>
      </c>
      <c r="D1939" t="s">
        <v>1447</v>
      </c>
      <c r="E1939" t="s">
        <v>1857</v>
      </c>
      <c r="F1939" t="s">
        <v>1741</v>
      </c>
      <c r="G1939" t="str">
        <f>IF(ISBLANK('Q 5'!H303),"",IF('Q 5'!H303="&lt;please select&gt;","",'Q 5'!H303))</f>
        <v/>
      </c>
    </row>
    <row r="1940" spans="1:7" x14ac:dyDescent="0.3">
      <c r="A1940" t="s">
        <v>1847</v>
      </c>
      <c r="B1940" t="s">
        <v>1855</v>
      </c>
      <c r="C1940">
        <v>102</v>
      </c>
      <c r="D1940" t="s">
        <v>1447</v>
      </c>
      <c r="E1940" t="s">
        <v>1857</v>
      </c>
      <c r="F1940" t="s">
        <v>1741</v>
      </c>
      <c r="G1940" t="str">
        <f>IF(ISBLANK('Q 5'!H304),"",IF('Q 5'!H304="&lt;please select&gt;","",'Q 5'!H304))</f>
        <v/>
      </c>
    </row>
    <row r="1941" spans="1:7" x14ac:dyDescent="0.3">
      <c r="A1941" t="s">
        <v>1847</v>
      </c>
      <c r="B1941" t="s">
        <v>1855</v>
      </c>
      <c r="C1941">
        <v>103</v>
      </c>
      <c r="D1941" t="s">
        <v>1447</v>
      </c>
      <c r="E1941" t="s">
        <v>1857</v>
      </c>
      <c r="F1941" t="s">
        <v>1741</v>
      </c>
      <c r="G1941" t="str">
        <f>IF(ISBLANK('Q 5'!H305),"",IF('Q 5'!H305="&lt;please select&gt;","",'Q 5'!H305))</f>
        <v/>
      </c>
    </row>
    <row r="1942" spans="1:7" x14ac:dyDescent="0.3">
      <c r="A1942" t="s">
        <v>1847</v>
      </c>
      <c r="B1942" t="s">
        <v>1855</v>
      </c>
      <c r="C1942">
        <v>104</v>
      </c>
      <c r="D1942" t="s">
        <v>1447</v>
      </c>
      <c r="E1942" t="s">
        <v>1857</v>
      </c>
      <c r="F1942" t="s">
        <v>1741</v>
      </c>
      <c r="G1942" t="str">
        <f>IF(ISBLANK('Q 5'!H306),"",IF('Q 5'!H306="&lt;please select&gt;","",'Q 5'!H306))</f>
        <v/>
      </c>
    </row>
    <row r="1943" spans="1:7" x14ac:dyDescent="0.3">
      <c r="A1943" t="s">
        <v>1847</v>
      </c>
      <c r="B1943" t="s">
        <v>1855</v>
      </c>
      <c r="C1943">
        <v>105</v>
      </c>
      <c r="D1943" t="s">
        <v>1447</v>
      </c>
      <c r="E1943" t="s">
        <v>1857</v>
      </c>
      <c r="F1943" t="s">
        <v>1741</v>
      </c>
      <c r="G1943" t="str">
        <f>IF(ISBLANK('Q 5'!H307),"",IF('Q 5'!H307="&lt;please select&gt;","",'Q 5'!H307))</f>
        <v/>
      </c>
    </row>
    <row r="1944" spans="1:7" x14ac:dyDescent="0.3">
      <c r="A1944" t="s">
        <v>1847</v>
      </c>
      <c r="B1944" t="s">
        <v>1855</v>
      </c>
      <c r="C1944">
        <v>106</v>
      </c>
      <c r="D1944" t="s">
        <v>1447</v>
      </c>
      <c r="E1944" t="s">
        <v>1857</v>
      </c>
      <c r="F1944" t="s">
        <v>1741</v>
      </c>
      <c r="G1944" t="str">
        <f>IF(ISBLANK('Q 5'!H308),"",IF('Q 5'!H308="&lt;please select&gt;","",'Q 5'!H308))</f>
        <v/>
      </c>
    </row>
    <row r="1945" spans="1:7" x14ac:dyDescent="0.3">
      <c r="A1945" t="s">
        <v>1847</v>
      </c>
      <c r="B1945" t="s">
        <v>1855</v>
      </c>
      <c r="C1945">
        <v>107</v>
      </c>
      <c r="D1945" t="s">
        <v>1447</v>
      </c>
      <c r="E1945" t="s">
        <v>1857</v>
      </c>
      <c r="F1945" t="s">
        <v>1741</v>
      </c>
      <c r="G1945" t="str">
        <f>IF(ISBLANK('Q 5'!H309),"",IF('Q 5'!H309="&lt;please select&gt;","",'Q 5'!H309))</f>
        <v/>
      </c>
    </row>
    <row r="1946" spans="1:7" x14ac:dyDescent="0.3">
      <c r="A1946" t="s">
        <v>1847</v>
      </c>
      <c r="B1946" t="s">
        <v>1855</v>
      </c>
      <c r="C1946">
        <v>108</v>
      </c>
      <c r="D1946" t="s">
        <v>1447</v>
      </c>
      <c r="E1946" t="s">
        <v>1857</v>
      </c>
      <c r="F1946" t="s">
        <v>1741</v>
      </c>
      <c r="G1946" t="str">
        <f>IF(ISBLANK('Q 5'!H310),"",IF('Q 5'!H310="&lt;please select&gt;","",'Q 5'!H310))</f>
        <v/>
      </c>
    </row>
    <row r="1947" spans="1:7" x14ac:dyDescent="0.3">
      <c r="A1947" t="s">
        <v>1847</v>
      </c>
      <c r="B1947" t="s">
        <v>1855</v>
      </c>
      <c r="C1947">
        <v>109</v>
      </c>
      <c r="D1947" t="s">
        <v>1447</v>
      </c>
      <c r="E1947" t="s">
        <v>1857</v>
      </c>
      <c r="F1947" t="s">
        <v>1741</v>
      </c>
      <c r="G1947" t="str">
        <f>IF(ISBLANK('Q 5'!H311),"",IF('Q 5'!H311="&lt;please select&gt;","",'Q 5'!H311))</f>
        <v/>
      </c>
    </row>
    <row r="1948" spans="1:7" x14ac:dyDescent="0.3">
      <c r="A1948" t="s">
        <v>1847</v>
      </c>
      <c r="B1948" t="s">
        <v>1855</v>
      </c>
      <c r="C1948">
        <v>110</v>
      </c>
      <c r="D1948" t="s">
        <v>1447</v>
      </c>
      <c r="E1948" t="s">
        <v>1857</v>
      </c>
      <c r="F1948" t="s">
        <v>1741</v>
      </c>
      <c r="G1948" t="str">
        <f>IF(ISBLANK('Q 5'!H312),"",IF('Q 5'!H312="&lt;please select&gt;","",'Q 5'!H312))</f>
        <v/>
      </c>
    </row>
    <row r="1949" spans="1:7" x14ac:dyDescent="0.3">
      <c r="A1949" t="s">
        <v>1847</v>
      </c>
      <c r="B1949" t="s">
        <v>1855</v>
      </c>
      <c r="C1949">
        <v>111</v>
      </c>
      <c r="D1949" t="s">
        <v>1447</v>
      </c>
      <c r="E1949" t="s">
        <v>1857</v>
      </c>
      <c r="F1949" t="s">
        <v>1741</v>
      </c>
      <c r="G1949" t="str">
        <f>IF(ISBLANK('Q 5'!H313),"",IF('Q 5'!H313="&lt;please select&gt;","",'Q 5'!H313))</f>
        <v/>
      </c>
    </row>
    <row r="1950" spans="1:7" x14ac:dyDescent="0.3">
      <c r="A1950" t="s">
        <v>1847</v>
      </c>
      <c r="B1950" t="s">
        <v>1855</v>
      </c>
      <c r="C1950">
        <v>112</v>
      </c>
      <c r="D1950" t="s">
        <v>1447</v>
      </c>
      <c r="E1950" t="s">
        <v>1857</v>
      </c>
      <c r="F1950" t="s">
        <v>1741</v>
      </c>
      <c r="G1950" t="str">
        <f>IF(ISBLANK('Q 5'!H314),"",IF('Q 5'!H314="&lt;please select&gt;","",'Q 5'!H314))</f>
        <v/>
      </c>
    </row>
    <row r="1951" spans="1:7" x14ac:dyDescent="0.3">
      <c r="A1951" t="s">
        <v>1847</v>
      </c>
      <c r="B1951" t="s">
        <v>1855</v>
      </c>
      <c r="C1951">
        <v>113</v>
      </c>
      <c r="D1951" t="s">
        <v>1447</v>
      </c>
      <c r="E1951" t="s">
        <v>1857</v>
      </c>
      <c r="F1951" t="s">
        <v>1741</v>
      </c>
      <c r="G1951" t="str">
        <f>IF(ISBLANK('Q 5'!H315),"",IF('Q 5'!H315="&lt;please select&gt;","",'Q 5'!H315))</f>
        <v/>
      </c>
    </row>
    <row r="1952" spans="1:7" x14ac:dyDescent="0.3">
      <c r="A1952" t="s">
        <v>1847</v>
      </c>
      <c r="B1952" t="s">
        <v>1855</v>
      </c>
      <c r="C1952">
        <v>114</v>
      </c>
      <c r="D1952" t="s">
        <v>1447</v>
      </c>
      <c r="E1952" t="s">
        <v>1857</v>
      </c>
      <c r="F1952" t="s">
        <v>1741</v>
      </c>
      <c r="G1952" t="str">
        <f>IF(ISBLANK('Q 5'!H316),"",IF('Q 5'!H316="&lt;please select&gt;","",'Q 5'!H316))</f>
        <v/>
      </c>
    </row>
    <row r="1953" spans="1:7" x14ac:dyDescent="0.3">
      <c r="A1953" t="s">
        <v>1847</v>
      </c>
      <c r="B1953" t="s">
        <v>1855</v>
      </c>
      <c r="C1953">
        <v>115</v>
      </c>
      <c r="D1953" t="s">
        <v>1447</v>
      </c>
      <c r="E1953" t="s">
        <v>1857</v>
      </c>
      <c r="F1953" t="s">
        <v>1741</v>
      </c>
      <c r="G1953" t="str">
        <f>IF(ISBLANK('Q 5'!H317),"",IF('Q 5'!H317="&lt;please select&gt;","",'Q 5'!H317))</f>
        <v/>
      </c>
    </row>
    <row r="1954" spans="1:7" x14ac:dyDescent="0.3">
      <c r="A1954" t="s">
        <v>1847</v>
      </c>
      <c r="B1954" t="s">
        <v>1855</v>
      </c>
      <c r="C1954">
        <v>116</v>
      </c>
      <c r="D1954" t="s">
        <v>1447</v>
      </c>
      <c r="E1954" t="s">
        <v>1857</v>
      </c>
      <c r="F1954" t="s">
        <v>1741</v>
      </c>
      <c r="G1954" t="str">
        <f>IF(ISBLANK('Q 5'!H318),"",IF('Q 5'!H318="&lt;please select&gt;","",'Q 5'!H318))</f>
        <v/>
      </c>
    </row>
    <row r="1955" spans="1:7" x14ac:dyDescent="0.3">
      <c r="A1955" t="s">
        <v>1847</v>
      </c>
      <c r="B1955" t="s">
        <v>1855</v>
      </c>
      <c r="C1955">
        <v>117</v>
      </c>
      <c r="D1955" t="s">
        <v>1447</v>
      </c>
      <c r="E1955" t="s">
        <v>1857</v>
      </c>
      <c r="F1955" t="s">
        <v>1741</v>
      </c>
      <c r="G1955" t="str">
        <f>IF(ISBLANK('Q 5'!H319),"",IF('Q 5'!H319="&lt;please select&gt;","",'Q 5'!H319))</f>
        <v/>
      </c>
    </row>
    <row r="1956" spans="1:7" x14ac:dyDescent="0.3">
      <c r="A1956" t="s">
        <v>1847</v>
      </c>
      <c r="B1956" t="s">
        <v>1855</v>
      </c>
      <c r="C1956">
        <v>118</v>
      </c>
      <c r="D1956" t="s">
        <v>1447</v>
      </c>
      <c r="E1956" t="s">
        <v>1857</v>
      </c>
      <c r="F1956" t="s">
        <v>1741</v>
      </c>
      <c r="G1956" t="str">
        <f>IF(ISBLANK('Q 5'!H320),"",IF('Q 5'!H320="&lt;please select&gt;","",'Q 5'!H320))</f>
        <v/>
      </c>
    </row>
    <row r="1957" spans="1:7" x14ac:dyDescent="0.3">
      <c r="A1957" t="s">
        <v>1847</v>
      </c>
      <c r="B1957" t="s">
        <v>1855</v>
      </c>
      <c r="C1957">
        <v>119</v>
      </c>
      <c r="D1957" t="s">
        <v>1447</v>
      </c>
      <c r="E1957" t="s">
        <v>1857</v>
      </c>
      <c r="F1957" t="s">
        <v>1741</v>
      </c>
      <c r="G1957" t="str">
        <f>IF(ISBLANK('Q 5'!H321),"",IF('Q 5'!H321="&lt;please select&gt;","",'Q 5'!H321))</f>
        <v/>
      </c>
    </row>
    <row r="1958" spans="1:7" x14ac:dyDescent="0.3">
      <c r="A1958" t="s">
        <v>1847</v>
      </c>
      <c r="B1958" t="s">
        <v>1855</v>
      </c>
      <c r="C1958">
        <v>120</v>
      </c>
      <c r="D1958" t="s">
        <v>1447</v>
      </c>
      <c r="E1958" t="s">
        <v>1857</v>
      </c>
      <c r="F1958" t="s">
        <v>1741</v>
      </c>
      <c r="G1958" t="str">
        <f>IF(ISBLANK('Q 5'!H322),"",IF('Q 5'!H322="&lt;please select&gt;","",'Q 5'!H322))</f>
        <v/>
      </c>
    </row>
    <row r="1959" spans="1:7" x14ac:dyDescent="0.3">
      <c r="A1959" t="s">
        <v>1847</v>
      </c>
      <c r="B1959" t="s">
        <v>1855</v>
      </c>
      <c r="C1959">
        <v>121</v>
      </c>
      <c r="D1959" t="s">
        <v>1447</v>
      </c>
      <c r="E1959" t="s">
        <v>1857</v>
      </c>
      <c r="F1959" t="s">
        <v>1741</v>
      </c>
      <c r="G1959" t="str">
        <f>IF(ISBLANK('Q 5'!H323),"",IF('Q 5'!H323="&lt;please select&gt;","",'Q 5'!H323))</f>
        <v/>
      </c>
    </row>
    <row r="1960" spans="1:7" x14ac:dyDescent="0.3">
      <c r="A1960" t="s">
        <v>1847</v>
      </c>
      <c r="B1960" t="s">
        <v>1855</v>
      </c>
      <c r="C1960">
        <v>122</v>
      </c>
      <c r="D1960" t="s">
        <v>1447</v>
      </c>
      <c r="E1960" t="s">
        <v>1857</v>
      </c>
      <c r="F1960" t="s">
        <v>1741</v>
      </c>
      <c r="G1960" t="str">
        <f>IF(ISBLANK('Q 5'!H324),"",IF('Q 5'!H324="&lt;please select&gt;","",'Q 5'!H324))</f>
        <v/>
      </c>
    </row>
    <row r="1961" spans="1:7" x14ac:dyDescent="0.3">
      <c r="A1961" t="s">
        <v>1847</v>
      </c>
      <c r="B1961" t="s">
        <v>1855</v>
      </c>
      <c r="C1961">
        <v>123</v>
      </c>
      <c r="D1961" t="s">
        <v>1447</v>
      </c>
      <c r="E1961" t="s">
        <v>1857</v>
      </c>
      <c r="F1961" t="s">
        <v>1741</v>
      </c>
      <c r="G1961" t="str">
        <f>IF(ISBLANK('Q 5'!H325),"",IF('Q 5'!H325="&lt;please select&gt;","",'Q 5'!H325))</f>
        <v/>
      </c>
    </row>
    <row r="1962" spans="1:7" x14ac:dyDescent="0.3">
      <c r="A1962" t="s">
        <v>1847</v>
      </c>
      <c r="B1962" t="s">
        <v>1855</v>
      </c>
      <c r="C1962">
        <v>124</v>
      </c>
      <c r="D1962" t="s">
        <v>1447</v>
      </c>
      <c r="E1962" t="s">
        <v>1857</v>
      </c>
      <c r="F1962" t="s">
        <v>1741</v>
      </c>
      <c r="G1962" t="str">
        <f>IF(ISBLANK('Q 5'!H326),"",IF('Q 5'!H326="&lt;please select&gt;","",'Q 5'!H326))</f>
        <v/>
      </c>
    </row>
    <row r="1963" spans="1:7" x14ac:dyDescent="0.3">
      <c r="A1963" t="s">
        <v>1847</v>
      </c>
      <c r="B1963" t="s">
        <v>1855</v>
      </c>
      <c r="C1963">
        <v>125</v>
      </c>
      <c r="D1963" t="s">
        <v>1447</v>
      </c>
      <c r="E1963" t="s">
        <v>1857</v>
      </c>
      <c r="F1963" t="s">
        <v>1741</v>
      </c>
      <c r="G1963" t="str">
        <f>IF(ISBLANK('Q 5'!H327),"",IF('Q 5'!H327="&lt;please select&gt;","",'Q 5'!H327))</f>
        <v/>
      </c>
    </row>
    <row r="1964" spans="1:7" x14ac:dyDescent="0.3">
      <c r="A1964" t="s">
        <v>1847</v>
      </c>
      <c r="B1964" t="s">
        <v>1855</v>
      </c>
      <c r="C1964">
        <v>126</v>
      </c>
      <c r="D1964" t="s">
        <v>1447</v>
      </c>
      <c r="E1964" t="s">
        <v>1857</v>
      </c>
      <c r="F1964" t="s">
        <v>1741</v>
      </c>
      <c r="G1964" t="str">
        <f>IF(ISBLANK('Q 5'!H328),"",IF('Q 5'!H328="&lt;please select&gt;","",'Q 5'!H328))</f>
        <v/>
      </c>
    </row>
    <row r="1965" spans="1:7" x14ac:dyDescent="0.3">
      <c r="A1965" t="s">
        <v>1847</v>
      </c>
      <c r="B1965" t="s">
        <v>1855</v>
      </c>
      <c r="C1965">
        <v>127</v>
      </c>
      <c r="D1965" t="s">
        <v>1447</v>
      </c>
      <c r="E1965" t="s">
        <v>1857</v>
      </c>
      <c r="F1965" t="s">
        <v>1741</v>
      </c>
      <c r="G1965" t="str">
        <f>IF(ISBLANK('Q 5'!H329),"",IF('Q 5'!H329="&lt;please select&gt;","",'Q 5'!H329))</f>
        <v/>
      </c>
    </row>
    <row r="1966" spans="1:7" x14ac:dyDescent="0.3">
      <c r="A1966" t="s">
        <v>1847</v>
      </c>
      <c r="B1966" t="s">
        <v>1855</v>
      </c>
      <c r="C1966">
        <v>128</v>
      </c>
      <c r="D1966" t="s">
        <v>1447</v>
      </c>
      <c r="E1966" t="s">
        <v>1857</v>
      </c>
      <c r="F1966" t="s">
        <v>1741</v>
      </c>
      <c r="G1966" t="str">
        <f>IF(ISBLANK('Q 5'!H330),"",IF('Q 5'!H330="&lt;please select&gt;","",'Q 5'!H330))</f>
        <v/>
      </c>
    </row>
    <row r="1967" spans="1:7" x14ac:dyDescent="0.3">
      <c r="A1967" t="s">
        <v>1847</v>
      </c>
      <c r="B1967" t="s">
        <v>1855</v>
      </c>
      <c r="C1967">
        <v>129</v>
      </c>
      <c r="D1967" t="s">
        <v>1447</v>
      </c>
      <c r="E1967" t="s">
        <v>1857</v>
      </c>
      <c r="F1967" t="s">
        <v>1741</v>
      </c>
      <c r="G1967" t="str">
        <f>IF(ISBLANK('Q 5'!H331),"",IF('Q 5'!H331="&lt;please select&gt;","",'Q 5'!H331))</f>
        <v/>
      </c>
    </row>
    <row r="1968" spans="1:7" x14ac:dyDescent="0.3">
      <c r="A1968" t="s">
        <v>1847</v>
      </c>
      <c r="B1968" t="s">
        <v>1855</v>
      </c>
      <c r="C1968">
        <v>130</v>
      </c>
      <c r="D1968" t="s">
        <v>1447</v>
      </c>
      <c r="E1968" t="s">
        <v>1857</v>
      </c>
      <c r="F1968" t="s">
        <v>1741</v>
      </c>
      <c r="G1968" t="str">
        <f>IF(ISBLANK('Q 5'!H332),"",IF('Q 5'!H332="&lt;please select&gt;","",'Q 5'!H332))</f>
        <v/>
      </c>
    </row>
    <row r="1969" spans="1:7" x14ac:dyDescent="0.3">
      <c r="A1969" t="s">
        <v>1847</v>
      </c>
      <c r="B1969" t="s">
        <v>1855</v>
      </c>
      <c r="C1969">
        <v>131</v>
      </c>
      <c r="D1969" t="s">
        <v>1447</v>
      </c>
      <c r="E1969" t="s">
        <v>1857</v>
      </c>
      <c r="F1969" t="s">
        <v>1741</v>
      </c>
      <c r="G1969" t="str">
        <f>IF(ISBLANK('Q 5'!H333),"",IF('Q 5'!H333="&lt;please select&gt;","",'Q 5'!H333))</f>
        <v/>
      </c>
    </row>
    <row r="1970" spans="1:7" x14ac:dyDescent="0.3">
      <c r="A1970" t="s">
        <v>1847</v>
      </c>
      <c r="B1970" t="s">
        <v>1855</v>
      </c>
      <c r="C1970">
        <v>132</v>
      </c>
      <c r="D1970" t="s">
        <v>1447</v>
      </c>
      <c r="E1970" t="s">
        <v>1857</v>
      </c>
      <c r="F1970" t="s">
        <v>1741</v>
      </c>
      <c r="G1970" t="str">
        <f>IF(ISBLANK('Q 5'!H334),"",IF('Q 5'!H334="&lt;please select&gt;","",'Q 5'!H334))</f>
        <v/>
      </c>
    </row>
    <row r="1971" spans="1:7" x14ac:dyDescent="0.3">
      <c r="A1971" t="s">
        <v>1847</v>
      </c>
      <c r="B1971" t="s">
        <v>1855</v>
      </c>
      <c r="C1971">
        <v>133</v>
      </c>
      <c r="D1971" t="s">
        <v>1447</v>
      </c>
      <c r="E1971" t="s">
        <v>1857</v>
      </c>
      <c r="F1971" t="s">
        <v>1741</v>
      </c>
      <c r="G1971" t="str">
        <f>IF(ISBLANK('Q 5'!H335),"",IF('Q 5'!H335="&lt;please select&gt;","",'Q 5'!H335))</f>
        <v/>
      </c>
    </row>
    <row r="1972" spans="1:7" x14ac:dyDescent="0.3">
      <c r="A1972" t="s">
        <v>1847</v>
      </c>
      <c r="B1972" t="s">
        <v>1855</v>
      </c>
      <c r="C1972">
        <v>134</v>
      </c>
      <c r="D1972" t="s">
        <v>1447</v>
      </c>
      <c r="E1972" t="s">
        <v>1857</v>
      </c>
      <c r="F1972" t="s">
        <v>1741</v>
      </c>
      <c r="G1972" t="str">
        <f>IF(ISBLANK('Q 5'!H336),"",IF('Q 5'!H336="&lt;please select&gt;","",'Q 5'!H336))</f>
        <v/>
      </c>
    </row>
    <row r="1973" spans="1:7" x14ac:dyDescent="0.3">
      <c r="A1973" t="s">
        <v>1847</v>
      </c>
      <c r="B1973" t="s">
        <v>1855</v>
      </c>
      <c r="C1973">
        <v>135</v>
      </c>
      <c r="D1973" t="s">
        <v>1447</v>
      </c>
      <c r="E1973" t="s">
        <v>1857</v>
      </c>
      <c r="F1973" t="s">
        <v>1741</v>
      </c>
      <c r="G1973" t="str">
        <f>IF(ISBLANK('Q 5'!H337),"",IF('Q 5'!H337="&lt;please select&gt;","",'Q 5'!H337))</f>
        <v/>
      </c>
    </row>
    <row r="1974" spans="1:7" x14ac:dyDescent="0.3">
      <c r="A1974" t="s">
        <v>1847</v>
      </c>
      <c r="B1974" t="s">
        <v>1855</v>
      </c>
      <c r="C1974">
        <v>136</v>
      </c>
      <c r="D1974" t="s">
        <v>1447</v>
      </c>
      <c r="E1974" t="s">
        <v>1857</v>
      </c>
      <c r="F1974" t="s">
        <v>1741</v>
      </c>
      <c r="G1974" t="str">
        <f>IF(ISBLANK('Q 5'!H338),"",IF('Q 5'!H338="&lt;please select&gt;","",'Q 5'!H338))</f>
        <v/>
      </c>
    </row>
    <row r="1975" spans="1:7" x14ac:dyDescent="0.3">
      <c r="A1975" t="s">
        <v>1847</v>
      </c>
      <c r="B1975" t="s">
        <v>1855</v>
      </c>
      <c r="C1975">
        <v>137</v>
      </c>
      <c r="D1975" t="s">
        <v>1447</v>
      </c>
      <c r="E1975" t="s">
        <v>1857</v>
      </c>
      <c r="F1975" t="s">
        <v>1741</v>
      </c>
      <c r="G1975" t="str">
        <f>IF(ISBLANK('Q 5'!H339),"",IF('Q 5'!H339="&lt;please select&gt;","",'Q 5'!H339))</f>
        <v/>
      </c>
    </row>
    <row r="1976" spans="1:7" x14ac:dyDescent="0.3">
      <c r="A1976" t="s">
        <v>1847</v>
      </c>
      <c r="B1976" t="s">
        <v>1855</v>
      </c>
      <c r="C1976">
        <v>138</v>
      </c>
      <c r="D1976" t="s">
        <v>1447</v>
      </c>
      <c r="E1976" t="s">
        <v>1857</v>
      </c>
      <c r="F1976" t="s">
        <v>1741</v>
      </c>
      <c r="G1976" t="str">
        <f>IF(ISBLANK('Q 5'!H340),"",IF('Q 5'!H340="&lt;please select&gt;","",'Q 5'!H340))</f>
        <v/>
      </c>
    </row>
    <row r="1977" spans="1:7" x14ac:dyDescent="0.3">
      <c r="A1977" t="s">
        <v>1847</v>
      </c>
      <c r="B1977" t="s">
        <v>1855</v>
      </c>
      <c r="C1977">
        <v>139</v>
      </c>
      <c r="D1977" t="s">
        <v>1447</v>
      </c>
      <c r="E1977" t="s">
        <v>1857</v>
      </c>
      <c r="F1977" t="s">
        <v>1741</v>
      </c>
      <c r="G1977" t="str">
        <f>IF(ISBLANK('Q 5'!H341),"",IF('Q 5'!H341="&lt;please select&gt;","",'Q 5'!H341))</f>
        <v/>
      </c>
    </row>
    <row r="1978" spans="1:7" x14ac:dyDescent="0.3">
      <c r="A1978" t="s">
        <v>1847</v>
      </c>
      <c r="B1978" t="s">
        <v>1855</v>
      </c>
      <c r="C1978">
        <v>140</v>
      </c>
      <c r="D1978" t="s">
        <v>1447</v>
      </c>
      <c r="E1978" t="s">
        <v>1857</v>
      </c>
      <c r="F1978" t="s">
        <v>1741</v>
      </c>
      <c r="G1978" t="str">
        <f>IF(ISBLANK('Q 5'!H342),"",IF('Q 5'!H342="&lt;please select&gt;","",'Q 5'!H342))</f>
        <v/>
      </c>
    </row>
    <row r="1979" spans="1:7" x14ac:dyDescent="0.3">
      <c r="A1979" t="s">
        <v>1847</v>
      </c>
      <c r="B1979" t="s">
        <v>1855</v>
      </c>
      <c r="C1979">
        <v>141</v>
      </c>
      <c r="D1979" t="s">
        <v>1447</v>
      </c>
      <c r="E1979" t="s">
        <v>1857</v>
      </c>
      <c r="F1979" t="s">
        <v>1741</v>
      </c>
      <c r="G1979" t="str">
        <f>IF(ISBLANK('Q 5'!H343),"",IF('Q 5'!H343="&lt;please select&gt;","",'Q 5'!H343))</f>
        <v/>
      </c>
    </row>
    <row r="1980" spans="1:7" x14ac:dyDescent="0.3">
      <c r="A1980" t="s">
        <v>1847</v>
      </c>
      <c r="B1980" t="s">
        <v>1855</v>
      </c>
      <c r="C1980">
        <v>142</v>
      </c>
      <c r="D1980" t="s">
        <v>1447</v>
      </c>
      <c r="E1980" t="s">
        <v>1857</v>
      </c>
      <c r="F1980" t="s">
        <v>1741</v>
      </c>
      <c r="G1980" t="str">
        <f>IF(ISBLANK('Q 5'!H344),"",IF('Q 5'!H344="&lt;please select&gt;","",'Q 5'!H344))</f>
        <v/>
      </c>
    </row>
    <row r="1981" spans="1:7" x14ac:dyDescent="0.3">
      <c r="A1981" t="s">
        <v>1847</v>
      </c>
      <c r="B1981" t="s">
        <v>1855</v>
      </c>
      <c r="C1981">
        <v>143</v>
      </c>
      <c r="D1981" t="s">
        <v>1447</v>
      </c>
      <c r="E1981" t="s">
        <v>1857</v>
      </c>
      <c r="F1981" t="s">
        <v>1741</v>
      </c>
      <c r="G1981" t="str">
        <f>IF(ISBLANK('Q 5'!H345),"",IF('Q 5'!H345="&lt;please select&gt;","",'Q 5'!H345))</f>
        <v/>
      </c>
    </row>
    <row r="1982" spans="1:7" x14ac:dyDescent="0.3">
      <c r="A1982" t="s">
        <v>1847</v>
      </c>
      <c r="B1982" t="s">
        <v>1855</v>
      </c>
      <c r="C1982">
        <v>144</v>
      </c>
      <c r="D1982" t="s">
        <v>1447</v>
      </c>
      <c r="E1982" t="s">
        <v>1857</v>
      </c>
      <c r="F1982" t="s">
        <v>1741</v>
      </c>
      <c r="G1982" t="str">
        <f>IF(ISBLANK('Q 5'!H346),"",IF('Q 5'!H346="&lt;please select&gt;","",'Q 5'!H346))</f>
        <v/>
      </c>
    </row>
    <row r="1983" spans="1:7" x14ac:dyDescent="0.3">
      <c r="A1983" t="s">
        <v>1847</v>
      </c>
      <c r="B1983" t="s">
        <v>1855</v>
      </c>
      <c r="C1983">
        <v>145</v>
      </c>
      <c r="D1983" t="s">
        <v>1447</v>
      </c>
      <c r="E1983" t="s">
        <v>1857</v>
      </c>
      <c r="F1983" t="s">
        <v>1741</v>
      </c>
      <c r="G1983" t="str">
        <f>IF(ISBLANK('Q 5'!H347),"",IF('Q 5'!H347="&lt;please select&gt;","",'Q 5'!H347))</f>
        <v/>
      </c>
    </row>
    <row r="1984" spans="1:7" x14ac:dyDescent="0.3">
      <c r="A1984" t="s">
        <v>1847</v>
      </c>
      <c r="B1984" t="s">
        <v>1855</v>
      </c>
      <c r="C1984">
        <v>146</v>
      </c>
      <c r="D1984" t="s">
        <v>1447</v>
      </c>
      <c r="E1984" t="s">
        <v>1857</v>
      </c>
      <c r="F1984" t="s">
        <v>1741</v>
      </c>
      <c r="G1984" t="str">
        <f>IF(ISBLANK('Q 5'!H348),"",IF('Q 5'!H348="&lt;please select&gt;","",'Q 5'!H348))</f>
        <v/>
      </c>
    </row>
    <row r="1985" spans="1:7" x14ac:dyDescent="0.3">
      <c r="A1985" t="s">
        <v>1847</v>
      </c>
      <c r="B1985" t="s">
        <v>1855</v>
      </c>
      <c r="C1985">
        <v>147</v>
      </c>
      <c r="D1985" t="s">
        <v>1447</v>
      </c>
      <c r="E1985" t="s">
        <v>1857</v>
      </c>
      <c r="F1985" t="s">
        <v>1741</v>
      </c>
      <c r="G1985" t="str">
        <f>IF(ISBLANK('Q 5'!H349),"",IF('Q 5'!H349="&lt;please select&gt;","",'Q 5'!H349))</f>
        <v/>
      </c>
    </row>
    <row r="1986" spans="1:7" x14ac:dyDescent="0.3">
      <c r="A1986" t="s">
        <v>1847</v>
      </c>
      <c r="B1986" t="s">
        <v>1855</v>
      </c>
      <c r="C1986">
        <v>148</v>
      </c>
      <c r="D1986" t="s">
        <v>1447</v>
      </c>
      <c r="E1986" t="s">
        <v>1857</v>
      </c>
      <c r="F1986" t="s">
        <v>1741</v>
      </c>
      <c r="G1986" t="str">
        <f>IF(ISBLANK('Q 5'!H350),"",IF('Q 5'!H350="&lt;please select&gt;","",'Q 5'!H350))</f>
        <v/>
      </c>
    </row>
    <row r="1987" spans="1:7" x14ac:dyDescent="0.3">
      <c r="A1987" t="s">
        <v>1847</v>
      </c>
      <c r="B1987" t="s">
        <v>1855</v>
      </c>
      <c r="C1987">
        <v>149</v>
      </c>
      <c r="D1987" t="s">
        <v>1447</v>
      </c>
      <c r="E1987" t="s">
        <v>1857</v>
      </c>
      <c r="F1987" t="s">
        <v>1741</v>
      </c>
      <c r="G1987" t="str">
        <f>IF(ISBLANK('Q 5'!H351),"",IF('Q 5'!H351="&lt;please select&gt;","",'Q 5'!H351))</f>
        <v/>
      </c>
    </row>
    <row r="1988" spans="1:7" x14ac:dyDescent="0.3">
      <c r="A1988" t="s">
        <v>1847</v>
      </c>
      <c r="B1988" t="s">
        <v>1855</v>
      </c>
      <c r="C1988">
        <v>150</v>
      </c>
      <c r="D1988" t="s">
        <v>1447</v>
      </c>
      <c r="E1988" t="s">
        <v>1857</v>
      </c>
      <c r="F1988" t="s">
        <v>1741</v>
      </c>
      <c r="G1988" t="str">
        <f>IF(ISBLANK('Q 5'!H352),"",IF('Q 5'!H352="&lt;please select&gt;","",'Q 5'!H352))</f>
        <v/>
      </c>
    </row>
    <row r="1989" spans="1:7" x14ac:dyDescent="0.3">
      <c r="A1989" t="s">
        <v>1847</v>
      </c>
      <c r="B1989" t="s">
        <v>1855</v>
      </c>
      <c r="C1989">
        <v>151</v>
      </c>
      <c r="D1989" t="s">
        <v>1447</v>
      </c>
      <c r="E1989" t="s">
        <v>1857</v>
      </c>
      <c r="F1989" t="s">
        <v>1741</v>
      </c>
      <c r="G1989" t="str">
        <f>IF(ISBLANK('Q 5'!H353),"",IF('Q 5'!H353="&lt;please select&gt;","",'Q 5'!H353))</f>
        <v/>
      </c>
    </row>
    <row r="1990" spans="1:7" x14ac:dyDescent="0.3">
      <c r="A1990" t="s">
        <v>1847</v>
      </c>
      <c r="B1990" t="s">
        <v>1855</v>
      </c>
      <c r="C1990">
        <v>152</v>
      </c>
      <c r="D1990" t="s">
        <v>1447</v>
      </c>
      <c r="E1990" t="s">
        <v>1857</v>
      </c>
      <c r="F1990" t="s">
        <v>1741</v>
      </c>
      <c r="G1990" t="str">
        <f>IF(ISBLANK('Q 5'!H354),"",IF('Q 5'!H354="&lt;please select&gt;","",'Q 5'!H354))</f>
        <v/>
      </c>
    </row>
    <row r="1991" spans="1:7" x14ac:dyDescent="0.3">
      <c r="A1991" t="s">
        <v>1847</v>
      </c>
      <c r="B1991" t="s">
        <v>1855</v>
      </c>
      <c r="C1991">
        <v>153</v>
      </c>
      <c r="D1991" t="s">
        <v>1447</v>
      </c>
      <c r="E1991" t="s">
        <v>1857</v>
      </c>
      <c r="F1991" t="s">
        <v>1741</v>
      </c>
      <c r="G1991" t="str">
        <f>IF(ISBLANK('Q 5'!H355),"",IF('Q 5'!H355="&lt;please select&gt;","",'Q 5'!H355))</f>
        <v/>
      </c>
    </row>
    <row r="1992" spans="1:7" x14ac:dyDescent="0.3">
      <c r="A1992" t="s">
        <v>1847</v>
      </c>
      <c r="B1992" t="s">
        <v>1855</v>
      </c>
      <c r="C1992">
        <v>154</v>
      </c>
      <c r="D1992" t="s">
        <v>1447</v>
      </c>
      <c r="E1992" t="s">
        <v>1857</v>
      </c>
      <c r="F1992" t="s">
        <v>1741</v>
      </c>
      <c r="G1992" t="str">
        <f>IF(ISBLANK('Q 5'!H356),"",IF('Q 5'!H356="&lt;please select&gt;","",'Q 5'!H356))</f>
        <v/>
      </c>
    </row>
    <row r="1993" spans="1:7" x14ac:dyDescent="0.3">
      <c r="A1993" t="s">
        <v>1847</v>
      </c>
      <c r="B1993" t="s">
        <v>1855</v>
      </c>
      <c r="C1993">
        <v>155</v>
      </c>
      <c r="D1993" t="s">
        <v>1447</v>
      </c>
      <c r="E1993" t="s">
        <v>1857</v>
      </c>
      <c r="F1993" t="s">
        <v>1741</v>
      </c>
      <c r="G1993" t="str">
        <f>IF(ISBLANK('Q 5'!H357),"",IF('Q 5'!H357="&lt;please select&gt;","",'Q 5'!H357))</f>
        <v/>
      </c>
    </row>
    <row r="1994" spans="1:7" x14ac:dyDescent="0.3">
      <c r="A1994" t="s">
        <v>1847</v>
      </c>
      <c r="B1994" t="s">
        <v>1855</v>
      </c>
      <c r="C1994">
        <v>156</v>
      </c>
      <c r="D1994" t="s">
        <v>1447</v>
      </c>
      <c r="E1994" t="s">
        <v>1857</v>
      </c>
      <c r="F1994" t="s">
        <v>1741</v>
      </c>
      <c r="G1994" t="str">
        <f>IF(ISBLANK('Q 5'!H358),"",IF('Q 5'!H358="&lt;please select&gt;","",'Q 5'!H358))</f>
        <v/>
      </c>
    </row>
    <row r="1995" spans="1:7" x14ac:dyDescent="0.3">
      <c r="A1995" t="s">
        <v>1847</v>
      </c>
      <c r="B1995" t="s">
        <v>1855</v>
      </c>
      <c r="C1995">
        <v>157</v>
      </c>
      <c r="D1995" t="s">
        <v>1447</v>
      </c>
      <c r="E1995" t="s">
        <v>1857</v>
      </c>
      <c r="F1995" t="s">
        <v>1741</v>
      </c>
      <c r="G1995" t="str">
        <f>IF(ISBLANK('Q 5'!H359),"",IF('Q 5'!H359="&lt;please select&gt;","",'Q 5'!H359))</f>
        <v/>
      </c>
    </row>
    <row r="1996" spans="1:7" x14ac:dyDescent="0.3">
      <c r="A1996" t="s">
        <v>1847</v>
      </c>
      <c r="B1996" t="s">
        <v>1855</v>
      </c>
      <c r="C1996">
        <v>158</v>
      </c>
      <c r="D1996" t="s">
        <v>1447</v>
      </c>
      <c r="E1996" t="s">
        <v>1857</v>
      </c>
      <c r="F1996" t="s">
        <v>1741</v>
      </c>
      <c r="G1996" t="str">
        <f>IF(ISBLANK('Q 5'!H360),"",IF('Q 5'!H360="&lt;please select&gt;","",'Q 5'!H360))</f>
        <v/>
      </c>
    </row>
    <row r="1997" spans="1:7" x14ac:dyDescent="0.3">
      <c r="A1997" t="s">
        <v>1847</v>
      </c>
      <c r="B1997" t="s">
        <v>1855</v>
      </c>
      <c r="C1997">
        <v>159</v>
      </c>
      <c r="D1997" t="s">
        <v>1447</v>
      </c>
      <c r="E1997" t="s">
        <v>1857</v>
      </c>
      <c r="F1997" t="s">
        <v>1741</v>
      </c>
      <c r="G1997" t="str">
        <f>IF(ISBLANK('Q 5'!H361),"",IF('Q 5'!H361="&lt;please select&gt;","",'Q 5'!H361))</f>
        <v/>
      </c>
    </row>
    <row r="1998" spans="1:7" x14ac:dyDescent="0.3">
      <c r="A1998" t="s">
        <v>1847</v>
      </c>
      <c r="B1998" t="s">
        <v>1855</v>
      </c>
      <c r="C1998">
        <v>160</v>
      </c>
      <c r="D1998" t="s">
        <v>1447</v>
      </c>
      <c r="E1998" t="s">
        <v>1857</v>
      </c>
      <c r="F1998" t="s">
        <v>1741</v>
      </c>
      <c r="G1998" t="str">
        <f>IF(ISBLANK('Q 5'!H362),"",IF('Q 5'!H362="&lt;please select&gt;","",'Q 5'!H362))</f>
        <v/>
      </c>
    </row>
    <row r="1999" spans="1:7" x14ac:dyDescent="0.3">
      <c r="A1999" t="s">
        <v>1847</v>
      </c>
      <c r="B1999" t="s">
        <v>1855</v>
      </c>
      <c r="C1999">
        <v>161</v>
      </c>
      <c r="D1999" t="s">
        <v>1447</v>
      </c>
      <c r="E1999" t="s">
        <v>1857</v>
      </c>
      <c r="F1999" t="s">
        <v>1741</v>
      </c>
      <c r="G1999" t="str">
        <f>IF(ISBLANK('Q 5'!H363),"",IF('Q 5'!H363="&lt;please select&gt;","",'Q 5'!H363))</f>
        <v/>
      </c>
    </row>
    <row r="2000" spans="1:7" x14ac:dyDescent="0.3">
      <c r="A2000" t="s">
        <v>1847</v>
      </c>
      <c r="B2000" t="s">
        <v>1855</v>
      </c>
      <c r="C2000">
        <v>162</v>
      </c>
      <c r="D2000" t="s">
        <v>1447</v>
      </c>
      <c r="E2000" t="s">
        <v>1857</v>
      </c>
      <c r="F2000" t="s">
        <v>1741</v>
      </c>
      <c r="G2000" t="str">
        <f>IF(ISBLANK('Q 5'!H364),"",IF('Q 5'!H364="&lt;please select&gt;","",'Q 5'!H364))</f>
        <v/>
      </c>
    </row>
    <row r="2001" spans="1:7" x14ac:dyDescent="0.3">
      <c r="A2001" t="s">
        <v>1847</v>
      </c>
      <c r="B2001" t="s">
        <v>1855</v>
      </c>
      <c r="C2001">
        <v>163</v>
      </c>
      <c r="D2001" t="s">
        <v>1447</v>
      </c>
      <c r="E2001" t="s">
        <v>1857</v>
      </c>
      <c r="F2001" t="s">
        <v>1741</v>
      </c>
      <c r="G2001" t="str">
        <f>IF(ISBLANK('Q 5'!H365),"",IF('Q 5'!H365="&lt;please select&gt;","",'Q 5'!H365))</f>
        <v/>
      </c>
    </row>
    <row r="2002" spans="1:7" x14ac:dyDescent="0.3">
      <c r="A2002" t="s">
        <v>1847</v>
      </c>
      <c r="B2002" t="s">
        <v>1855</v>
      </c>
      <c r="C2002">
        <v>164</v>
      </c>
      <c r="D2002" t="s">
        <v>1447</v>
      </c>
      <c r="E2002" t="s">
        <v>1857</v>
      </c>
      <c r="F2002" t="s">
        <v>1741</v>
      </c>
      <c r="G2002" t="str">
        <f>IF(ISBLANK('Q 5'!H366),"",IF('Q 5'!H366="&lt;please select&gt;","",'Q 5'!H366))</f>
        <v/>
      </c>
    </row>
    <row r="2003" spans="1:7" x14ac:dyDescent="0.3">
      <c r="A2003" t="s">
        <v>1847</v>
      </c>
      <c r="B2003" t="s">
        <v>1855</v>
      </c>
      <c r="C2003">
        <v>165</v>
      </c>
      <c r="D2003" t="s">
        <v>1447</v>
      </c>
      <c r="E2003" t="s">
        <v>1857</v>
      </c>
      <c r="F2003" t="s">
        <v>1741</v>
      </c>
      <c r="G2003" t="str">
        <f>IF(ISBLANK('Q 5'!H367),"",IF('Q 5'!H367="&lt;please select&gt;","",'Q 5'!H367))</f>
        <v/>
      </c>
    </row>
    <row r="2004" spans="1:7" x14ac:dyDescent="0.3">
      <c r="A2004" t="s">
        <v>1847</v>
      </c>
      <c r="B2004" t="s">
        <v>1855</v>
      </c>
      <c r="C2004">
        <v>166</v>
      </c>
      <c r="D2004" t="s">
        <v>1447</v>
      </c>
      <c r="E2004" t="s">
        <v>1857</v>
      </c>
      <c r="F2004" t="s">
        <v>1741</v>
      </c>
      <c r="G2004" t="str">
        <f>IF(ISBLANK('Q 5'!H368),"",IF('Q 5'!H368="&lt;please select&gt;","",'Q 5'!H368))</f>
        <v/>
      </c>
    </row>
    <row r="2005" spans="1:7" x14ac:dyDescent="0.3">
      <c r="A2005" t="s">
        <v>1847</v>
      </c>
      <c r="B2005" t="s">
        <v>1855</v>
      </c>
      <c r="C2005">
        <v>167</v>
      </c>
      <c r="D2005" t="s">
        <v>1447</v>
      </c>
      <c r="E2005" t="s">
        <v>1857</v>
      </c>
      <c r="F2005" t="s">
        <v>1741</v>
      </c>
      <c r="G2005" t="str">
        <f>IF(ISBLANK('Q 5'!H369),"",IF('Q 5'!H369="&lt;please select&gt;","",'Q 5'!H369))</f>
        <v/>
      </c>
    </row>
    <row r="2006" spans="1:7" x14ac:dyDescent="0.3">
      <c r="A2006" t="s">
        <v>1847</v>
      </c>
      <c r="B2006" t="s">
        <v>1855</v>
      </c>
      <c r="C2006">
        <v>168</v>
      </c>
      <c r="D2006" t="s">
        <v>1447</v>
      </c>
      <c r="E2006" t="s">
        <v>1857</v>
      </c>
      <c r="F2006" t="s">
        <v>1741</v>
      </c>
      <c r="G2006" t="str">
        <f>IF(ISBLANK('Q 5'!H370),"",IF('Q 5'!H370="&lt;please select&gt;","",'Q 5'!H370))</f>
        <v/>
      </c>
    </row>
    <row r="2007" spans="1:7" x14ac:dyDescent="0.3">
      <c r="A2007" t="s">
        <v>1847</v>
      </c>
      <c r="B2007" t="s">
        <v>1855</v>
      </c>
      <c r="C2007">
        <v>169</v>
      </c>
      <c r="D2007" t="s">
        <v>1447</v>
      </c>
      <c r="E2007" t="s">
        <v>1857</v>
      </c>
      <c r="F2007" t="s">
        <v>1741</v>
      </c>
      <c r="G2007" t="str">
        <f>IF(ISBLANK('Q 5'!H371),"",IF('Q 5'!H371="&lt;please select&gt;","",'Q 5'!H371))</f>
        <v/>
      </c>
    </row>
    <row r="2008" spans="1:7" x14ac:dyDescent="0.3">
      <c r="A2008" t="s">
        <v>1847</v>
      </c>
      <c r="B2008" t="s">
        <v>1855</v>
      </c>
      <c r="C2008">
        <v>170</v>
      </c>
      <c r="D2008" t="s">
        <v>1447</v>
      </c>
      <c r="E2008" t="s">
        <v>1857</v>
      </c>
      <c r="F2008" t="s">
        <v>1741</v>
      </c>
      <c r="G2008" t="str">
        <f>IF(ISBLANK('Q 5'!H372),"",IF('Q 5'!H372="&lt;please select&gt;","",'Q 5'!H372))</f>
        <v/>
      </c>
    </row>
    <row r="2009" spans="1:7" x14ac:dyDescent="0.3">
      <c r="A2009" t="s">
        <v>1847</v>
      </c>
      <c r="B2009" t="s">
        <v>1855</v>
      </c>
      <c r="C2009">
        <v>171</v>
      </c>
      <c r="D2009" t="s">
        <v>1447</v>
      </c>
      <c r="E2009" t="s">
        <v>1857</v>
      </c>
      <c r="F2009" t="s">
        <v>1741</v>
      </c>
      <c r="G2009" t="str">
        <f>IF(ISBLANK('Q 5'!H373),"",IF('Q 5'!H373="&lt;please select&gt;","",'Q 5'!H373))</f>
        <v/>
      </c>
    </row>
    <row r="2010" spans="1:7" x14ac:dyDescent="0.3">
      <c r="A2010" t="s">
        <v>1847</v>
      </c>
      <c r="B2010" t="s">
        <v>1855</v>
      </c>
      <c r="C2010">
        <v>172</v>
      </c>
      <c r="D2010" t="s">
        <v>1447</v>
      </c>
      <c r="E2010" t="s">
        <v>1857</v>
      </c>
      <c r="F2010" t="s">
        <v>1741</v>
      </c>
      <c r="G2010" t="str">
        <f>IF(ISBLANK('Q 5'!H374),"",IF('Q 5'!H374="&lt;please select&gt;","",'Q 5'!H374))</f>
        <v/>
      </c>
    </row>
    <row r="2011" spans="1:7" x14ac:dyDescent="0.3">
      <c r="A2011" t="s">
        <v>1847</v>
      </c>
      <c r="B2011" t="s">
        <v>1855</v>
      </c>
      <c r="C2011">
        <v>173</v>
      </c>
      <c r="D2011" t="s">
        <v>1447</v>
      </c>
      <c r="E2011" t="s">
        <v>1857</v>
      </c>
      <c r="F2011" t="s">
        <v>1741</v>
      </c>
      <c r="G2011" t="str">
        <f>IF(ISBLANK('Q 5'!H375),"",IF('Q 5'!H375="&lt;please select&gt;","",'Q 5'!H375))</f>
        <v/>
      </c>
    </row>
    <row r="2012" spans="1:7" x14ac:dyDescent="0.3">
      <c r="A2012" t="s">
        <v>1847</v>
      </c>
      <c r="B2012" t="s">
        <v>1855</v>
      </c>
      <c r="C2012">
        <v>174</v>
      </c>
      <c r="D2012" t="s">
        <v>1447</v>
      </c>
      <c r="E2012" t="s">
        <v>1857</v>
      </c>
      <c r="F2012" t="s">
        <v>1741</v>
      </c>
      <c r="G2012" t="str">
        <f>IF(ISBLANK('Q 5'!H376),"",IF('Q 5'!H376="&lt;please select&gt;","",'Q 5'!H376))</f>
        <v/>
      </c>
    </row>
    <row r="2013" spans="1:7" x14ac:dyDescent="0.3">
      <c r="A2013" t="s">
        <v>1847</v>
      </c>
      <c r="B2013" t="s">
        <v>1855</v>
      </c>
      <c r="C2013">
        <v>175</v>
      </c>
      <c r="D2013" t="s">
        <v>1447</v>
      </c>
      <c r="E2013" t="s">
        <v>1857</v>
      </c>
      <c r="F2013" t="s">
        <v>1741</v>
      </c>
      <c r="G2013" t="str">
        <f>IF(ISBLANK('Q 5'!H377),"",IF('Q 5'!H377="&lt;please select&gt;","",'Q 5'!H377))</f>
        <v/>
      </c>
    </row>
    <row r="2014" spans="1:7" x14ac:dyDescent="0.3">
      <c r="A2014" t="s">
        <v>1847</v>
      </c>
      <c r="B2014" t="s">
        <v>1855</v>
      </c>
      <c r="C2014">
        <v>176</v>
      </c>
      <c r="D2014" t="s">
        <v>1447</v>
      </c>
      <c r="E2014" t="s">
        <v>1857</v>
      </c>
      <c r="F2014" t="s">
        <v>1741</v>
      </c>
      <c r="G2014" t="str">
        <f>IF(ISBLANK('Q 5'!H378),"",IF('Q 5'!H378="&lt;please select&gt;","",'Q 5'!H378))</f>
        <v/>
      </c>
    </row>
    <row r="2015" spans="1:7" x14ac:dyDescent="0.3">
      <c r="A2015" t="s">
        <v>1847</v>
      </c>
      <c r="B2015" t="s">
        <v>1855</v>
      </c>
      <c r="C2015">
        <v>177</v>
      </c>
      <c r="D2015" t="s">
        <v>1447</v>
      </c>
      <c r="E2015" t="s">
        <v>1857</v>
      </c>
      <c r="F2015" t="s">
        <v>1741</v>
      </c>
      <c r="G2015" t="str">
        <f>IF(ISBLANK('Q 5'!H379),"",IF('Q 5'!H379="&lt;please select&gt;","",'Q 5'!H379))</f>
        <v/>
      </c>
    </row>
    <row r="2016" spans="1:7" x14ac:dyDescent="0.3">
      <c r="A2016" t="s">
        <v>1847</v>
      </c>
      <c r="B2016" t="s">
        <v>1855</v>
      </c>
      <c r="C2016">
        <v>178</v>
      </c>
      <c r="D2016" t="s">
        <v>1447</v>
      </c>
      <c r="E2016" t="s">
        <v>1857</v>
      </c>
      <c r="F2016" t="s">
        <v>1741</v>
      </c>
      <c r="G2016" t="str">
        <f>IF(ISBLANK('Q 5'!H380),"",IF('Q 5'!H380="&lt;please select&gt;","",'Q 5'!H380))</f>
        <v/>
      </c>
    </row>
    <row r="2017" spans="1:7" x14ac:dyDescent="0.3">
      <c r="A2017" t="s">
        <v>1847</v>
      </c>
      <c r="B2017" t="s">
        <v>1855</v>
      </c>
      <c r="C2017">
        <v>179</v>
      </c>
      <c r="D2017" t="s">
        <v>1447</v>
      </c>
      <c r="E2017" t="s">
        <v>1857</v>
      </c>
      <c r="F2017" t="s">
        <v>1741</v>
      </c>
      <c r="G2017" t="str">
        <f>IF(ISBLANK('Q 5'!H381),"",IF('Q 5'!H381="&lt;please select&gt;","",'Q 5'!H381))</f>
        <v/>
      </c>
    </row>
    <row r="2018" spans="1:7" x14ac:dyDescent="0.3">
      <c r="A2018" t="s">
        <v>1847</v>
      </c>
      <c r="B2018" t="s">
        <v>1855</v>
      </c>
      <c r="C2018">
        <v>180</v>
      </c>
      <c r="D2018" t="s">
        <v>1447</v>
      </c>
      <c r="E2018" t="s">
        <v>1857</v>
      </c>
      <c r="F2018" t="s">
        <v>1741</v>
      </c>
      <c r="G2018" t="str">
        <f>IF(ISBLANK('Q 5'!H382),"",IF('Q 5'!H382="&lt;please select&gt;","",'Q 5'!H382))</f>
        <v/>
      </c>
    </row>
    <row r="2019" spans="1:7" x14ac:dyDescent="0.3">
      <c r="A2019" t="s">
        <v>1847</v>
      </c>
      <c r="B2019" t="s">
        <v>1855</v>
      </c>
      <c r="C2019">
        <v>181</v>
      </c>
      <c r="D2019" t="s">
        <v>1447</v>
      </c>
      <c r="E2019" t="s">
        <v>1857</v>
      </c>
      <c r="F2019" t="s">
        <v>1741</v>
      </c>
      <c r="G2019" t="str">
        <f>IF(ISBLANK('Q 5'!H383),"",IF('Q 5'!H383="&lt;please select&gt;","",'Q 5'!H383))</f>
        <v/>
      </c>
    </row>
    <row r="2020" spans="1:7" x14ac:dyDescent="0.3">
      <c r="A2020" t="s">
        <v>1847</v>
      </c>
      <c r="B2020" t="s">
        <v>1855</v>
      </c>
      <c r="C2020">
        <v>182</v>
      </c>
      <c r="D2020" t="s">
        <v>1447</v>
      </c>
      <c r="E2020" t="s">
        <v>1857</v>
      </c>
      <c r="F2020" t="s">
        <v>1741</v>
      </c>
      <c r="G2020" t="str">
        <f>IF(ISBLANK('Q 5'!H384),"",IF('Q 5'!H384="&lt;please select&gt;","",'Q 5'!H384))</f>
        <v/>
      </c>
    </row>
    <row r="2021" spans="1:7" x14ac:dyDescent="0.3">
      <c r="A2021" t="s">
        <v>1847</v>
      </c>
      <c r="B2021" t="s">
        <v>1855</v>
      </c>
      <c r="C2021">
        <v>183</v>
      </c>
      <c r="D2021" t="s">
        <v>1447</v>
      </c>
      <c r="E2021" t="s">
        <v>1857</v>
      </c>
      <c r="F2021" t="s">
        <v>1741</v>
      </c>
      <c r="G2021" t="str">
        <f>IF(ISBLANK('Q 5'!H385),"",IF('Q 5'!H385="&lt;please select&gt;","",'Q 5'!H385))</f>
        <v/>
      </c>
    </row>
    <row r="2022" spans="1:7" x14ac:dyDescent="0.3">
      <c r="A2022" t="s">
        <v>1847</v>
      </c>
      <c r="B2022" t="s">
        <v>1855</v>
      </c>
      <c r="C2022">
        <v>184</v>
      </c>
      <c r="D2022" t="s">
        <v>1447</v>
      </c>
      <c r="E2022" t="s">
        <v>1857</v>
      </c>
      <c r="F2022" t="s">
        <v>1741</v>
      </c>
      <c r="G2022" t="str">
        <f>IF(ISBLANK('Q 5'!H386),"",IF('Q 5'!H386="&lt;please select&gt;","",'Q 5'!H386))</f>
        <v/>
      </c>
    </row>
    <row r="2023" spans="1:7" x14ac:dyDescent="0.3">
      <c r="A2023" t="s">
        <v>1847</v>
      </c>
      <c r="B2023" t="s">
        <v>1855</v>
      </c>
      <c r="C2023">
        <v>185</v>
      </c>
      <c r="D2023" t="s">
        <v>1447</v>
      </c>
      <c r="E2023" t="s">
        <v>1857</v>
      </c>
      <c r="F2023" t="s">
        <v>1741</v>
      </c>
      <c r="G2023" t="str">
        <f>IF(ISBLANK('Q 5'!H387),"",IF('Q 5'!H387="&lt;please select&gt;","",'Q 5'!H387))</f>
        <v/>
      </c>
    </row>
    <row r="2024" spans="1:7" x14ac:dyDescent="0.3">
      <c r="A2024" t="s">
        <v>1847</v>
      </c>
      <c r="B2024" t="s">
        <v>1855</v>
      </c>
      <c r="C2024">
        <v>186</v>
      </c>
      <c r="D2024" t="s">
        <v>1447</v>
      </c>
      <c r="E2024" t="s">
        <v>1857</v>
      </c>
      <c r="F2024" t="s">
        <v>1741</v>
      </c>
      <c r="G2024" t="str">
        <f>IF(ISBLANK('Q 5'!H388),"",IF('Q 5'!H388="&lt;please select&gt;","",'Q 5'!H388))</f>
        <v/>
      </c>
    </row>
    <row r="2025" spans="1:7" x14ac:dyDescent="0.3">
      <c r="A2025" t="s">
        <v>1847</v>
      </c>
      <c r="B2025" t="s">
        <v>1855</v>
      </c>
      <c r="C2025">
        <v>187</v>
      </c>
      <c r="D2025" t="s">
        <v>1447</v>
      </c>
      <c r="E2025" t="s">
        <v>1857</v>
      </c>
      <c r="F2025" t="s">
        <v>1741</v>
      </c>
      <c r="G2025" t="str">
        <f>IF(ISBLANK('Q 5'!H389),"",IF('Q 5'!H389="&lt;please select&gt;","",'Q 5'!H389))</f>
        <v/>
      </c>
    </row>
    <row r="2026" spans="1:7" x14ac:dyDescent="0.3">
      <c r="A2026" t="s">
        <v>1847</v>
      </c>
      <c r="B2026" t="s">
        <v>1855</v>
      </c>
      <c r="C2026">
        <v>188</v>
      </c>
      <c r="D2026" t="s">
        <v>1447</v>
      </c>
      <c r="E2026" t="s">
        <v>1857</v>
      </c>
      <c r="F2026" t="s">
        <v>1741</v>
      </c>
      <c r="G2026" t="str">
        <f>IF(ISBLANK('Q 5'!H390),"",IF('Q 5'!H390="&lt;please select&gt;","",'Q 5'!H390))</f>
        <v/>
      </c>
    </row>
    <row r="2027" spans="1:7" x14ac:dyDescent="0.3">
      <c r="A2027" t="s">
        <v>1847</v>
      </c>
      <c r="B2027" t="s">
        <v>1855</v>
      </c>
      <c r="C2027">
        <v>189</v>
      </c>
      <c r="D2027" t="s">
        <v>1447</v>
      </c>
      <c r="E2027" t="s">
        <v>1857</v>
      </c>
      <c r="F2027" t="s">
        <v>1741</v>
      </c>
      <c r="G2027" t="str">
        <f>IF(ISBLANK('Q 5'!H391),"",IF('Q 5'!H391="&lt;please select&gt;","",'Q 5'!H391))</f>
        <v/>
      </c>
    </row>
    <row r="2028" spans="1:7" x14ac:dyDescent="0.3">
      <c r="A2028" t="s">
        <v>1847</v>
      </c>
      <c r="B2028" t="s">
        <v>1855</v>
      </c>
      <c r="C2028">
        <v>190</v>
      </c>
      <c r="D2028" t="s">
        <v>1447</v>
      </c>
      <c r="E2028" t="s">
        <v>1857</v>
      </c>
      <c r="F2028" t="s">
        <v>1741</v>
      </c>
      <c r="G2028" t="str">
        <f>IF(ISBLANK('Q 5'!H392),"",IF('Q 5'!H392="&lt;please select&gt;","",'Q 5'!H392))</f>
        <v/>
      </c>
    </row>
    <row r="2029" spans="1:7" x14ac:dyDescent="0.3">
      <c r="A2029" t="s">
        <v>1847</v>
      </c>
      <c r="B2029" t="s">
        <v>1855</v>
      </c>
      <c r="C2029">
        <v>191</v>
      </c>
      <c r="D2029" t="s">
        <v>1447</v>
      </c>
      <c r="E2029" t="s">
        <v>1857</v>
      </c>
      <c r="F2029" t="s">
        <v>1741</v>
      </c>
      <c r="G2029" t="str">
        <f>IF(ISBLANK('Q 5'!H393),"",IF('Q 5'!H393="&lt;please select&gt;","",'Q 5'!H393))</f>
        <v/>
      </c>
    </row>
    <row r="2030" spans="1:7" x14ac:dyDescent="0.3">
      <c r="A2030" t="s">
        <v>1847</v>
      </c>
      <c r="B2030" t="s">
        <v>1855</v>
      </c>
      <c r="C2030">
        <v>192</v>
      </c>
      <c r="D2030" t="s">
        <v>1447</v>
      </c>
      <c r="E2030" t="s">
        <v>1857</v>
      </c>
      <c r="F2030" t="s">
        <v>1741</v>
      </c>
      <c r="G2030" t="str">
        <f>IF(ISBLANK('Q 5'!H394),"",IF('Q 5'!H394="&lt;please select&gt;","",'Q 5'!H394))</f>
        <v/>
      </c>
    </row>
    <row r="2031" spans="1:7" x14ac:dyDescent="0.3">
      <c r="A2031" t="s">
        <v>1847</v>
      </c>
      <c r="B2031" t="s">
        <v>1855</v>
      </c>
      <c r="C2031">
        <v>193</v>
      </c>
      <c r="D2031" t="s">
        <v>1447</v>
      </c>
      <c r="E2031" t="s">
        <v>1857</v>
      </c>
      <c r="F2031" t="s">
        <v>1741</v>
      </c>
      <c r="G2031" t="str">
        <f>IF(ISBLANK('Q 5'!H395),"",IF('Q 5'!H395="&lt;please select&gt;","",'Q 5'!H395))</f>
        <v/>
      </c>
    </row>
    <row r="2032" spans="1:7" x14ac:dyDescent="0.3">
      <c r="A2032" t="s">
        <v>1847</v>
      </c>
      <c r="B2032" t="s">
        <v>1855</v>
      </c>
      <c r="C2032">
        <v>194</v>
      </c>
      <c r="D2032" t="s">
        <v>1447</v>
      </c>
      <c r="E2032" t="s">
        <v>1857</v>
      </c>
      <c r="F2032" t="s">
        <v>1741</v>
      </c>
      <c r="G2032" t="str">
        <f>IF(ISBLANK('Q 5'!H396),"",IF('Q 5'!H396="&lt;please select&gt;","",'Q 5'!H396))</f>
        <v/>
      </c>
    </row>
    <row r="2033" spans="1:7" x14ac:dyDescent="0.3">
      <c r="A2033" t="s">
        <v>1847</v>
      </c>
      <c r="B2033" t="s">
        <v>1855</v>
      </c>
      <c r="C2033">
        <v>195</v>
      </c>
      <c r="D2033" t="s">
        <v>1447</v>
      </c>
      <c r="E2033" t="s">
        <v>1857</v>
      </c>
      <c r="F2033" t="s">
        <v>1741</v>
      </c>
      <c r="G2033" t="str">
        <f>IF(ISBLANK('Q 5'!H397),"",IF('Q 5'!H397="&lt;please select&gt;","",'Q 5'!H397))</f>
        <v/>
      </c>
    </row>
    <row r="2034" spans="1:7" x14ac:dyDescent="0.3">
      <c r="A2034" t="s">
        <v>1847</v>
      </c>
      <c r="B2034" t="s">
        <v>1855</v>
      </c>
      <c r="C2034">
        <v>196</v>
      </c>
      <c r="D2034" t="s">
        <v>1447</v>
      </c>
      <c r="E2034" t="s">
        <v>1857</v>
      </c>
      <c r="F2034" t="s">
        <v>1741</v>
      </c>
      <c r="G2034" t="str">
        <f>IF(ISBLANK('Q 5'!H398),"",IF('Q 5'!H398="&lt;please select&gt;","",'Q 5'!H398))</f>
        <v/>
      </c>
    </row>
    <row r="2035" spans="1:7" x14ac:dyDescent="0.3">
      <c r="A2035" t="s">
        <v>1847</v>
      </c>
      <c r="B2035" t="s">
        <v>1855</v>
      </c>
      <c r="C2035">
        <v>197</v>
      </c>
      <c r="D2035" t="s">
        <v>1447</v>
      </c>
      <c r="E2035" t="s">
        <v>1857</v>
      </c>
      <c r="F2035" t="s">
        <v>1741</v>
      </c>
      <c r="G2035" t="str">
        <f>IF(ISBLANK('Q 5'!H399),"",IF('Q 5'!H399="&lt;please select&gt;","",'Q 5'!H399))</f>
        <v/>
      </c>
    </row>
    <row r="2036" spans="1:7" x14ac:dyDescent="0.3">
      <c r="A2036" t="s">
        <v>1847</v>
      </c>
      <c r="B2036" t="s">
        <v>1855</v>
      </c>
      <c r="C2036">
        <v>198</v>
      </c>
      <c r="D2036" t="s">
        <v>1447</v>
      </c>
      <c r="E2036" t="s">
        <v>1857</v>
      </c>
      <c r="F2036" t="s">
        <v>1741</v>
      </c>
      <c r="G2036" t="str">
        <f>IF(ISBLANK('Q 5'!H400),"",IF('Q 5'!H400="&lt;please select&gt;","",'Q 5'!H400))</f>
        <v/>
      </c>
    </row>
    <row r="2037" spans="1:7" x14ac:dyDescent="0.3">
      <c r="A2037" t="s">
        <v>1847</v>
      </c>
      <c r="B2037" t="s">
        <v>1855</v>
      </c>
      <c r="C2037">
        <v>199</v>
      </c>
      <c r="D2037" t="s">
        <v>1447</v>
      </c>
      <c r="E2037" t="s">
        <v>1857</v>
      </c>
      <c r="F2037" t="s">
        <v>1741</v>
      </c>
      <c r="G2037" t="str">
        <f>IF(ISBLANK('Q 5'!H401),"",IF('Q 5'!H401="&lt;please select&gt;","",'Q 5'!H401))</f>
        <v/>
      </c>
    </row>
    <row r="2038" spans="1:7" x14ac:dyDescent="0.3">
      <c r="A2038" t="s">
        <v>1847</v>
      </c>
      <c r="B2038" t="s">
        <v>1855</v>
      </c>
      <c r="C2038">
        <v>200</v>
      </c>
      <c r="D2038" t="s">
        <v>1447</v>
      </c>
      <c r="E2038" t="s">
        <v>1857</v>
      </c>
      <c r="F2038" t="s">
        <v>1741</v>
      </c>
      <c r="G2038" t="str">
        <f>IF(ISBLANK('Q 5'!H402),"",IF('Q 5'!H402="&lt;please select&gt;","",'Q 5'!H402))</f>
        <v/>
      </c>
    </row>
    <row r="2039" spans="1:7" x14ac:dyDescent="0.3">
      <c r="A2039" t="s">
        <v>1847</v>
      </c>
      <c r="B2039" t="s">
        <v>1855</v>
      </c>
      <c r="C2039">
        <v>201</v>
      </c>
      <c r="D2039" t="s">
        <v>1447</v>
      </c>
      <c r="E2039" t="s">
        <v>1857</v>
      </c>
      <c r="F2039" t="s">
        <v>1741</v>
      </c>
      <c r="G2039" t="str">
        <f>IF(ISBLANK('Q 5'!H403),"",IF('Q 5'!H403="&lt;please select&gt;","",'Q 5'!H403))</f>
        <v/>
      </c>
    </row>
    <row r="2040" spans="1:7" x14ac:dyDescent="0.3">
      <c r="A2040" t="s">
        <v>1847</v>
      </c>
      <c r="B2040" t="s">
        <v>1855</v>
      </c>
      <c r="C2040">
        <v>202</v>
      </c>
      <c r="D2040" t="s">
        <v>1447</v>
      </c>
      <c r="E2040" t="s">
        <v>1857</v>
      </c>
      <c r="F2040" t="s">
        <v>1741</v>
      </c>
      <c r="G2040" t="str">
        <f>IF(ISBLANK('Q 5'!H404),"",IF('Q 5'!H404="&lt;please select&gt;","",'Q 5'!H404))</f>
        <v/>
      </c>
    </row>
    <row r="2041" spans="1:7" x14ac:dyDescent="0.3">
      <c r="A2041" t="s">
        <v>1847</v>
      </c>
      <c r="B2041" t="s">
        <v>1855</v>
      </c>
      <c r="C2041">
        <v>203</v>
      </c>
      <c r="D2041" t="s">
        <v>1447</v>
      </c>
      <c r="E2041" t="s">
        <v>1857</v>
      </c>
      <c r="F2041" t="s">
        <v>1741</v>
      </c>
      <c r="G2041" t="str">
        <f>IF(ISBLANK('Q 5'!H405),"",IF('Q 5'!H405="&lt;please select&gt;","",'Q 5'!H405))</f>
        <v/>
      </c>
    </row>
    <row r="2042" spans="1:7" x14ac:dyDescent="0.3">
      <c r="A2042" t="s">
        <v>1847</v>
      </c>
      <c r="B2042" t="s">
        <v>1855</v>
      </c>
      <c r="C2042">
        <v>204</v>
      </c>
      <c r="D2042" t="s">
        <v>1447</v>
      </c>
      <c r="E2042" t="s">
        <v>1857</v>
      </c>
      <c r="F2042" t="s">
        <v>1741</v>
      </c>
      <c r="G2042" t="str">
        <f>IF(ISBLANK('Q 5'!H406),"",IF('Q 5'!H406="&lt;please select&gt;","",'Q 5'!H406))</f>
        <v/>
      </c>
    </row>
    <row r="2043" spans="1:7" x14ac:dyDescent="0.3">
      <c r="A2043" t="s">
        <v>1847</v>
      </c>
      <c r="B2043" t="s">
        <v>1855</v>
      </c>
      <c r="C2043">
        <v>205</v>
      </c>
      <c r="D2043" t="s">
        <v>1447</v>
      </c>
      <c r="E2043" t="s">
        <v>1857</v>
      </c>
      <c r="F2043" t="s">
        <v>1741</v>
      </c>
      <c r="G2043" t="str">
        <f>IF(ISBLANK('Q 5'!H407),"",IF('Q 5'!H407="&lt;please select&gt;","",'Q 5'!H407))</f>
        <v/>
      </c>
    </row>
    <row r="2044" spans="1:7" x14ac:dyDescent="0.3">
      <c r="A2044" t="s">
        <v>1847</v>
      </c>
      <c r="B2044" t="s">
        <v>1855</v>
      </c>
      <c r="C2044">
        <v>206</v>
      </c>
      <c r="D2044" t="s">
        <v>1447</v>
      </c>
      <c r="E2044" t="s">
        <v>1857</v>
      </c>
      <c r="F2044" t="s">
        <v>1741</v>
      </c>
      <c r="G2044" t="str">
        <f>IF(ISBLANK('Q 5'!H408),"",IF('Q 5'!H408="&lt;please select&gt;","",'Q 5'!H408))</f>
        <v/>
      </c>
    </row>
    <row r="2045" spans="1:7" x14ac:dyDescent="0.3">
      <c r="A2045" t="s">
        <v>1847</v>
      </c>
      <c r="B2045" t="s">
        <v>1855</v>
      </c>
      <c r="C2045">
        <v>207</v>
      </c>
      <c r="D2045" t="s">
        <v>1447</v>
      </c>
      <c r="E2045" t="s">
        <v>1857</v>
      </c>
      <c r="F2045" t="s">
        <v>1741</v>
      </c>
      <c r="G2045" t="str">
        <f>IF(ISBLANK('Q 5'!H409),"",IF('Q 5'!H409="&lt;please select&gt;","",'Q 5'!H409))</f>
        <v/>
      </c>
    </row>
    <row r="2046" spans="1:7" x14ac:dyDescent="0.3">
      <c r="A2046" t="s">
        <v>1847</v>
      </c>
      <c r="B2046" t="s">
        <v>1855</v>
      </c>
      <c r="C2046">
        <v>208</v>
      </c>
      <c r="D2046" t="s">
        <v>1447</v>
      </c>
      <c r="E2046" t="s">
        <v>1857</v>
      </c>
      <c r="F2046" t="s">
        <v>1741</v>
      </c>
      <c r="G2046" t="str">
        <f>IF(ISBLANK('Q 5'!H410),"",IF('Q 5'!H410="&lt;please select&gt;","",'Q 5'!H410))</f>
        <v/>
      </c>
    </row>
    <row r="2047" spans="1:7" x14ac:dyDescent="0.3">
      <c r="A2047" t="s">
        <v>1847</v>
      </c>
      <c r="B2047" t="s">
        <v>1855</v>
      </c>
      <c r="C2047">
        <v>209</v>
      </c>
      <c r="D2047" t="s">
        <v>1447</v>
      </c>
      <c r="E2047" t="s">
        <v>1857</v>
      </c>
      <c r="F2047" t="s">
        <v>1741</v>
      </c>
      <c r="G2047" t="str">
        <f>IF(ISBLANK('Q 5'!H411),"",IF('Q 5'!H411="&lt;please select&gt;","",'Q 5'!H411))</f>
        <v/>
      </c>
    </row>
    <row r="2048" spans="1:7" x14ac:dyDescent="0.3">
      <c r="A2048" t="s">
        <v>1847</v>
      </c>
      <c r="B2048" t="s">
        <v>1855</v>
      </c>
      <c r="C2048">
        <v>210</v>
      </c>
      <c r="D2048" t="s">
        <v>1447</v>
      </c>
      <c r="E2048" t="s">
        <v>1857</v>
      </c>
      <c r="F2048" t="s">
        <v>1741</v>
      </c>
      <c r="G2048" t="str">
        <f>IF(ISBLANK('Q 5'!H412),"",IF('Q 5'!H412="&lt;please select&gt;","",'Q 5'!H412))</f>
        <v/>
      </c>
    </row>
    <row r="2049" spans="1:7" x14ac:dyDescent="0.3">
      <c r="A2049" t="s">
        <v>1847</v>
      </c>
      <c r="B2049" t="s">
        <v>1855</v>
      </c>
      <c r="C2049">
        <v>211</v>
      </c>
      <c r="D2049" t="s">
        <v>1447</v>
      </c>
      <c r="E2049" t="s">
        <v>1857</v>
      </c>
      <c r="F2049" t="s">
        <v>1741</v>
      </c>
      <c r="G2049" t="str">
        <f>IF(ISBLANK('Q 5'!H413),"",IF('Q 5'!H413="&lt;please select&gt;","",'Q 5'!H413))</f>
        <v/>
      </c>
    </row>
    <row r="2050" spans="1:7" x14ac:dyDescent="0.3">
      <c r="A2050" t="s">
        <v>1847</v>
      </c>
      <c r="B2050" t="s">
        <v>1855</v>
      </c>
      <c r="C2050">
        <v>212</v>
      </c>
      <c r="D2050" t="s">
        <v>1447</v>
      </c>
      <c r="E2050" t="s">
        <v>1857</v>
      </c>
      <c r="F2050" t="s">
        <v>1741</v>
      </c>
      <c r="G2050" t="str">
        <f>IF(ISBLANK('Q 5'!H414),"",IF('Q 5'!H414="&lt;please select&gt;","",'Q 5'!H414))</f>
        <v/>
      </c>
    </row>
    <row r="2051" spans="1:7" x14ac:dyDescent="0.3">
      <c r="A2051" t="s">
        <v>1847</v>
      </c>
      <c r="B2051" t="s">
        <v>1855</v>
      </c>
      <c r="C2051">
        <v>213</v>
      </c>
      <c r="D2051" t="s">
        <v>1447</v>
      </c>
      <c r="E2051" t="s">
        <v>1857</v>
      </c>
      <c r="F2051" t="s">
        <v>1741</v>
      </c>
      <c r="G2051" t="str">
        <f>IF(ISBLANK('Q 5'!H415),"",IF('Q 5'!H415="&lt;please select&gt;","",'Q 5'!H415))</f>
        <v/>
      </c>
    </row>
    <row r="2052" spans="1:7" x14ac:dyDescent="0.3">
      <c r="A2052" t="s">
        <v>1847</v>
      </c>
      <c r="B2052" t="s">
        <v>1855</v>
      </c>
      <c r="C2052">
        <v>214</v>
      </c>
      <c r="D2052" t="s">
        <v>1447</v>
      </c>
      <c r="E2052" t="s">
        <v>1857</v>
      </c>
      <c r="F2052" t="s">
        <v>1741</v>
      </c>
      <c r="G2052" t="str">
        <f>IF(ISBLANK('Q 5'!H416),"",IF('Q 5'!H416="&lt;please select&gt;","",'Q 5'!H416))</f>
        <v/>
      </c>
    </row>
    <row r="2053" spans="1:7" x14ac:dyDescent="0.3">
      <c r="A2053" t="s">
        <v>1847</v>
      </c>
      <c r="B2053" t="s">
        <v>1855</v>
      </c>
      <c r="C2053">
        <v>215</v>
      </c>
      <c r="D2053" t="s">
        <v>1447</v>
      </c>
      <c r="E2053" t="s">
        <v>1857</v>
      </c>
      <c r="F2053" t="s">
        <v>1741</v>
      </c>
      <c r="G2053" t="str">
        <f>IF(ISBLANK('Q 5'!H417),"",IF('Q 5'!H417="&lt;please select&gt;","",'Q 5'!H417))</f>
        <v/>
      </c>
    </row>
    <row r="2054" spans="1:7" x14ac:dyDescent="0.3">
      <c r="A2054" t="s">
        <v>1847</v>
      </c>
      <c r="B2054" t="s">
        <v>1855</v>
      </c>
      <c r="C2054">
        <v>216</v>
      </c>
      <c r="D2054" t="s">
        <v>1447</v>
      </c>
      <c r="E2054" t="s">
        <v>1857</v>
      </c>
      <c r="F2054" t="s">
        <v>1741</v>
      </c>
      <c r="G2054" t="str">
        <f>IF(ISBLANK('Q 5'!H418),"",IF('Q 5'!H418="&lt;please select&gt;","",'Q 5'!H418))</f>
        <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
      </c>
    </row>
    <row r="2640" spans="1:8" x14ac:dyDescent="0.3">
      <c r="A2640" t="s">
        <v>1847</v>
      </c>
      <c r="B2640" t="s">
        <v>1855</v>
      </c>
      <c r="C2640">
        <v>2</v>
      </c>
      <c r="D2640" t="s">
        <v>1447</v>
      </c>
      <c r="E2640" t="s">
        <v>1858</v>
      </c>
      <c r="F2640" t="s">
        <v>1748</v>
      </c>
      <c r="H2640" s="165" t="str">
        <f>IF(ISBLANK('Q 5'!I204),"",IF('Q 5'!I204="&lt;please select&gt;","",'Q 5'!I204))</f>
        <v/>
      </c>
    </row>
    <row r="2641" spans="1:8" x14ac:dyDescent="0.3">
      <c r="A2641" t="s">
        <v>1847</v>
      </c>
      <c r="B2641" t="s">
        <v>1855</v>
      </c>
      <c r="C2641">
        <v>3</v>
      </c>
      <c r="D2641" t="s">
        <v>1447</v>
      </c>
      <c r="E2641" t="s">
        <v>1858</v>
      </c>
      <c r="F2641" t="s">
        <v>1748</v>
      </c>
      <c r="H2641" s="165" t="str">
        <f>IF(ISBLANK('Q 5'!I205),"",IF('Q 5'!I205="&lt;please select&gt;","",'Q 5'!I205))</f>
        <v/>
      </c>
    </row>
    <row r="2642" spans="1:8" x14ac:dyDescent="0.3">
      <c r="A2642" t="s">
        <v>1847</v>
      </c>
      <c r="B2642" t="s">
        <v>1855</v>
      </c>
      <c r="C2642">
        <v>4</v>
      </c>
      <c r="D2642" t="s">
        <v>1447</v>
      </c>
      <c r="E2642" t="s">
        <v>1858</v>
      </c>
      <c r="F2642" t="s">
        <v>1748</v>
      </c>
      <c r="H2642" s="165" t="str">
        <f>IF(ISBLANK('Q 5'!I206),"",IF('Q 5'!I206="&lt;please select&gt;","",'Q 5'!I206))</f>
        <v/>
      </c>
    </row>
    <row r="2643" spans="1:8" x14ac:dyDescent="0.3">
      <c r="A2643" t="s">
        <v>1847</v>
      </c>
      <c r="B2643" t="s">
        <v>1855</v>
      </c>
      <c r="C2643">
        <v>5</v>
      </c>
      <c r="D2643" t="s">
        <v>1447</v>
      </c>
      <c r="E2643" t="s">
        <v>1858</v>
      </c>
      <c r="F2643" t="s">
        <v>1748</v>
      </c>
      <c r="H2643" s="165" t="str">
        <f>IF(ISBLANK('Q 5'!I207),"",IF('Q 5'!I207="&lt;please select&gt;","",'Q 5'!I207))</f>
        <v/>
      </c>
    </row>
    <row r="2644" spans="1:8" x14ac:dyDescent="0.3">
      <c r="A2644" t="s">
        <v>1847</v>
      </c>
      <c r="B2644" t="s">
        <v>1855</v>
      </c>
      <c r="C2644">
        <v>6</v>
      </c>
      <c r="D2644" t="s">
        <v>1447</v>
      </c>
      <c r="E2644" t="s">
        <v>1858</v>
      </c>
      <c r="F2644" t="s">
        <v>1748</v>
      </c>
      <c r="H2644" s="165" t="str">
        <f>IF(ISBLANK('Q 5'!I208),"",IF('Q 5'!I208="&lt;please select&gt;","",'Q 5'!I208))</f>
        <v/>
      </c>
    </row>
    <row r="2645" spans="1:8" x14ac:dyDescent="0.3">
      <c r="A2645" t="s">
        <v>1847</v>
      </c>
      <c r="B2645" t="s">
        <v>1855</v>
      </c>
      <c r="C2645">
        <v>7</v>
      </c>
      <c r="D2645" t="s">
        <v>1447</v>
      </c>
      <c r="E2645" t="s">
        <v>1858</v>
      </c>
      <c r="F2645" t="s">
        <v>1748</v>
      </c>
      <c r="H2645" s="165" t="str">
        <f>IF(ISBLANK('Q 5'!I209),"",IF('Q 5'!I209="&lt;please select&gt;","",'Q 5'!I209))</f>
        <v/>
      </c>
    </row>
    <row r="2646" spans="1:8" x14ac:dyDescent="0.3">
      <c r="A2646" t="s">
        <v>1847</v>
      </c>
      <c r="B2646" t="s">
        <v>1855</v>
      </c>
      <c r="C2646">
        <v>8</v>
      </c>
      <c r="D2646" t="s">
        <v>1447</v>
      </c>
      <c r="E2646" t="s">
        <v>1858</v>
      </c>
      <c r="F2646" t="s">
        <v>1748</v>
      </c>
      <c r="H2646" s="165" t="str">
        <f>IF(ISBLANK('Q 5'!I210),"",IF('Q 5'!I210="&lt;please select&gt;","",'Q 5'!I210))</f>
        <v/>
      </c>
    </row>
    <row r="2647" spans="1:8" x14ac:dyDescent="0.3">
      <c r="A2647" t="s">
        <v>1847</v>
      </c>
      <c r="B2647" t="s">
        <v>1855</v>
      </c>
      <c r="C2647">
        <v>9</v>
      </c>
      <c r="D2647" t="s">
        <v>1447</v>
      </c>
      <c r="E2647" t="s">
        <v>1858</v>
      </c>
      <c r="F2647" t="s">
        <v>1748</v>
      </c>
      <c r="H2647" s="165" t="str">
        <f>IF(ISBLANK('Q 5'!I211),"",IF('Q 5'!I211="&lt;please select&gt;","",'Q 5'!I211))</f>
        <v/>
      </c>
    </row>
    <row r="2648" spans="1:8" x14ac:dyDescent="0.3">
      <c r="A2648" t="s">
        <v>1847</v>
      </c>
      <c r="B2648" t="s">
        <v>1855</v>
      </c>
      <c r="C2648">
        <v>10</v>
      </c>
      <c r="D2648" t="s">
        <v>1447</v>
      </c>
      <c r="E2648" t="s">
        <v>1858</v>
      </c>
      <c r="F2648" t="s">
        <v>1748</v>
      </c>
      <c r="H2648" s="165" t="str">
        <f>IF(ISBLANK('Q 5'!I212),"",IF('Q 5'!I212="&lt;please select&gt;","",'Q 5'!I212))</f>
        <v/>
      </c>
    </row>
    <row r="2649" spans="1:8" x14ac:dyDescent="0.3">
      <c r="A2649" t="s">
        <v>1847</v>
      </c>
      <c r="B2649" t="s">
        <v>1855</v>
      </c>
      <c r="C2649">
        <v>11</v>
      </c>
      <c r="D2649" t="s">
        <v>1447</v>
      </c>
      <c r="E2649" t="s">
        <v>1858</v>
      </c>
      <c r="F2649" t="s">
        <v>1748</v>
      </c>
      <c r="H2649" s="165" t="str">
        <f>IF(ISBLANK('Q 5'!I213),"",IF('Q 5'!I213="&lt;please select&gt;","",'Q 5'!I213))</f>
        <v/>
      </c>
    </row>
    <row r="2650" spans="1:8" x14ac:dyDescent="0.3">
      <c r="A2650" t="s">
        <v>1847</v>
      </c>
      <c r="B2650" t="s">
        <v>1855</v>
      </c>
      <c r="C2650">
        <v>12</v>
      </c>
      <c r="D2650" t="s">
        <v>1447</v>
      </c>
      <c r="E2650" t="s">
        <v>1858</v>
      </c>
      <c r="F2650" t="s">
        <v>1748</v>
      </c>
      <c r="H2650" s="165" t="str">
        <f>IF(ISBLANK('Q 5'!I214),"",IF('Q 5'!I214="&lt;please select&gt;","",'Q 5'!I214))</f>
        <v/>
      </c>
    </row>
    <row r="2651" spans="1:8" x14ac:dyDescent="0.3">
      <c r="A2651" t="s">
        <v>1847</v>
      </c>
      <c r="B2651" t="s">
        <v>1855</v>
      </c>
      <c r="C2651">
        <v>13</v>
      </c>
      <c r="D2651" t="s">
        <v>1447</v>
      </c>
      <c r="E2651" t="s">
        <v>1858</v>
      </c>
      <c r="F2651" t="s">
        <v>1748</v>
      </c>
      <c r="H2651" s="165" t="str">
        <f>IF(ISBLANK('Q 5'!I215),"",IF('Q 5'!I215="&lt;please select&gt;","",'Q 5'!I215))</f>
        <v/>
      </c>
    </row>
    <row r="2652" spans="1:8" x14ac:dyDescent="0.3">
      <c r="A2652" t="s">
        <v>1847</v>
      </c>
      <c r="B2652" t="s">
        <v>1855</v>
      </c>
      <c r="C2652">
        <v>14</v>
      </c>
      <c r="D2652" t="s">
        <v>1447</v>
      </c>
      <c r="E2652" t="s">
        <v>1858</v>
      </c>
      <c r="F2652" t="s">
        <v>1748</v>
      </c>
      <c r="H2652" s="165" t="str">
        <f>IF(ISBLANK('Q 5'!I216),"",IF('Q 5'!I216="&lt;please select&gt;","",'Q 5'!I216))</f>
        <v/>
      </c>
    </row>
    <row r="2653" spans="1:8" x14ac:dyDescent="0.3">
      <c r="A2653" t="s">
        <v>1847</v>
      </c>
      <c r="B2653" t="s">
        <v>1855</v>
      </c>
      <c r="C2653">
        <v>15</v>
      </c>
      <c r="D2653" t="s">
        <v>1447</v>
      </c>
      <c r="E2653" t="s">
        <v>1858</v>
      </c>
      <c r="F2653" t="s">
        <v>1748</v>
      </c>
      <c r="H2653" s="165" t="str">
        <f>IF(ISBLANK('Q 5'!I217),"",IF('Q 5'!I217="&lt;please select&gt;","",'Q 5'!I217))</f>
        <v/>
      </c>
    </row>
    <row r="2654" spans="1:8" x14ac:dyDescent="0.3">
      <c r="A2654" t="s">
        <v>1847</v>
      </c>
      <c r="B2654" t="s">
        <v>1855</v>
      </c>
      <c r="C2654">
        <v>16</v>
      </c>
      <c r="D2654" t="s">
        <v>1447</v>
      </c>
      <c r="E2654" t="s">
        <v>1858</v>
      </c>
      <c r="F2654" t="s">
        <v>1748</v>
      </c>
      <c r="H2654" s="165" t="str">
        <f>IF(ISBLANK('Q 5'!I218),"",IF('Q 5'!I218="&lt;please select&gt;","",'Q 5'!I218))</f>
        <v/>
      </c>
    </row>
    <row r="2655" spans="1:8" x14ac:dyDescent="0.3">
      <c r="A2655" t="s">
        <v>1847</v>
      </c>
      <c r="B2655" t="s">
        <v>1855</v>
      </c>
      <c r="C2655">
        <v>17</v>
      </c>
      <c r="D2655" t="s">
        <v>1447</v>
      </c>
      <c r="E2655" t="s">
        <v>1858</v>
      </c>
      <c r="F2655" t="s">
        <v>1748</v>
      </c>
      <c r="H2655" s="165" t="str">
        <f>IF(ISBLANK('Q 5'!I219),"",IF('Q 5'!I219="&lt;please select&gt;","",'Q 5'!I219))</f>
        <v/>
      </c>
    </row>
    <row r="2656" spans="1:8" x14ac:dyDescent="0.3">
      <c r="A2656" t="s">
        <v>1847</v>
      </c>
      <c r="B2656" t="s">
        <v>1855</v>
      </c>
      <c r="C2656">
        <v>18</v>
      </c>
      <c r="D2656" t="s">
        <v>1447</v>
      </c>
      <c r="E2656" t="s">
        <v>1858</v>
      </c>
      <c r="F2656" t="s">
        <v>1748</v>
      </c>
      <c r="H2656" s="165" t="str">
        <f>IF(ISBLANK('Q 5'!I220),"",IF('Q 5'!I220="&lt;please select&gt;","",'Q 5'!I220))</f>
        <v/>
      </c>
    </row>
    <row r="2657" spans="1:8" x14ac:dyDescent="0.3">
      <c r="A2657" t="s">
        <v>1847</v>
      </c>
      <c r="B2657" t="s">
        <v>1855</v>
      </c>
      <c r="C2657">
        <v>19</v>
      </c>
      <c r="D2657" t="s">
        <v>1447</v>
      </c>
      <c r="E2657" t="s">
        <v>1858</v>
      </c>
      <c r="F2657" t="s">
        <v>1748</v>
      </c>
      <c r="H2657" s="165" t="str">
        <f>IF(ISBLANK('Q 5'!I221),"",IF('Q 5'!I221="&lt;please select&gt;","",'Q 5'!I221))</f>
        <v/>
      </c>
    </row>
    <row r="2658" spans="1:8" x14ac:dyDescent="0.3">
      <c r="A2658" t="s">
        <v>1847</v>
      </c>
      <c r="B2658" t="s">
        <v>1855</v>
      </c>
      <c r="C2658">
        <v>20</v>
      </c>
      <c r="D2658" t="s">
        <v>1447</v>
      </c>
      <c r="E2658" t="s">
        <v>1858</v>
      </c>
      <c r="F2658" t="s">
        <v>1748</v>
      </c>
      <c r="H2658" s="165" t="str">
        <f>IF(ISBLANK('Q 5'!I222),"",IF('Q 5'!I222="&lt;please select&gt;","",'Q 5'!I222))</f>
        <v/>
      </c>
    </row>
    <row r="2659" spans="1:8" x14ac:dyDescent="0.3">
      <c r="A2659" t="s">
        <v>1847</v>
      </c>
      <c r="B2659" t="s">
        <v>1855</v>
      </c>
      <c r="C2659">
        <v>21</v>
      </c>
      <c r="D2659" t="s">
        <v>1447</v>
      </c>
      <c r="E2659" t="s">
        <v>1858</v>
      </c>
      <c r="F2659" t="s">
        <v>1748</v>
      </c>
      <c r="H2659" s="165" t="str">
        <f>IF(ISBLANK('Q 5'!I223),"",IF('Q 5'!I223="&lt;please select&gt;","",'Q 5'!I223))</f>
        <v/>
      </c>
    </row>
    <row r="2660" spans="1:8" x14ac:dyDescent="0.3">
      <c r="A2660" t="s">
        <v>1847</v>
      </c>
      <c r="B2660" t="s">
        <v>1855</v>
      </c>
      <c r="C2660">
        <v>22</v>
      </c>
      <c r="D2660" t="s">
        <v>1447</v>
      </c>
      <c r="E2660" t="s">
        <v>1858</v>
      </c>
      <c r="F2660" t="s">
        <v>1748</v>
      </c>
      <c r="H2660" s="165" t="str">
        <f>IF(ISBLANK('Q 5'!I224),"",IF('Q 5'!I224="&lt;please select&gt;","",'Q 5'!I224))</f>
        <v/>
      </c>
    </row>
    <row r="2661" spans="1:8" x14ac:dyDescent="0.3">
      <c r="A2661" t="s">
        <v>1847</v>
      </c>
      <c r="B2661" t="s">
        <v>1855</v>
      </c>
      <c r="C2661">
        <v>23</v>
      </c>
      <c r="D2661" t="s">
        <v>1447</v>
      </c>
      <c r="E2661" t="s">
        <v>1858</v>
      </c>
      <c r="F2661" t="s">
        <v>1748</v>
      </c>
      <c r="H2661" s="165" t="str">
        <f>IF(ISBLANK('Q 5'!I225),"",IF('Q 5'!I225="&lt;please select&gt;","",'Q 5'!I225))</f>
        <v/>
      </c>
    </row>
    <row r="2662" spans="1:8" x14ac:dyDescent="0.3">
      <c r="A2662" t="s">
        <v>1847</v>
      </c>
      <c r="B2662" t="s">
        <v>1855</v>
      </c>
      <c r="C2662">
        <v>24</v>
      </c>
      <c r="D2662" t="s">
        <v>1447</v>
      </c>
      <c r="E2662" t="s">
        <v>1858</v>
      </c>
      <c r="F2662" t="s">
        <v>1748</v>
      </c>
      <c r="H2662" s="165" t="str">
        <f>IF(ISBLANK('Q 5'!I226),"",IF('Q 5'!I226="&lt;please select&gt;","",'Q 5'!I226))</f>
        <v/>
      </c>
    </row>
    <row r="2663" spans="1:8" x14ac:dyDescent="0.3">
      <c r="A2663" t="s">
        <v>1847</v>
      </c>
      <c r="B2663" t="s">
        <v>1855</v>
      </c>
      <c r="C2663">
        <v>25</v>
      </c>
      <c r="D2663" t="s">
        <v>1447</v>
      </c>
      <c r="E2663" t="s">
        <v>1858</v>
      </c>
      <c r="F2663" t="s">
        <v>1748</v>
      </c>
      <c r="H2663" s="165" t="str">
        <f>IF(ISBLANK('Q 5'!I227),"",IF('Q 5'!I227="&lt;please select&gt;","",'Q 5'!I227))</f>
        <v/>
      </c>
    </row>
    <row r="2664" spans="1:8" x14ac:dyDescent="0.3">
      <c r="A2664" t="s">
        <v>1847</v>
      </c>
      <c r="B2664" t="s">
        <v>1855</v>
      </c>
      <c r="C2664">
        <v>26</v>
      </c>
      <c r="D2664" t="s">
        <v>1447</v>
      </c>
      <c r="E2664" t="s">
        <v>1858</v>
      </c>
      <c r="F2664" t="s">
        <v>1748</v>
      </c>
      <c r="H2664" s="165" t="str">
        <f>IF(ISBLANK('Q 5'!I228),"",IF('Q 5'!I228="&lt;please select&gt;","",'Q 5'!I228))</f>
        <v/>
      </c>
    </row>
    <row r="2665" spans="1:8" x14ac:dyDescent="0.3">
      <c r="A2665" t="s">
        <v>1847</v>
      </c>
      <c r="B2665" t="s">
        <v>1855</v>
      </c>
      <c r="C2665">
        <v>27</v>
      </c>
      <c r="D2665" t="s">
        <v>1447</v>
      </c>
      <c r="E2665" t="s">
        <v>1858</v>
      </c>
      <c r="F2665" t="s">
        <v>1748</v>
      </c>
      <c r="H2665" s="165" t="str">
        <f>IF(ISBLANK('Q 5'!I229),"",IF('Q 5'!I229="&lt;please select&gt;","",'Q 5'!I229))</f>
        <v/>
      </c>
    </row>
    <row r="2666" spans="1:8" x14ac:dyDescent="0.3">
      <c r="A2666" t="s">
        <v>1847</v>
      </c>
      <c r="B2666" t="s">
        <v>1855</v>
      </c>
      <c r="C2666">
        <v>28</v>
      </c>
      <c r="D2666" t="s">
        <v>1447</v>
      </c>
      <c r="E2666" t="s">
        <v>1858</v>
      </c>
      <c r="F2666" t="s">
        <v>1748</v>
      </c>
      <c r="H2666" s="165" t="str">
        <f>IF(ISBLANK('Q 5'!I230),"",IF('Q 5'!I230="&lt;please select&gt;","",'Q 5'!I230))</f>
        <v/>
      </c>
    </row>
    <row r="2667" spans="1:8" x14ac:dyDescent="0.3">
      <c r="A2667" t="s">
        <v>1847</v>
      </c>
      <c r="B2667" t="s">
        <v>1855</v>
      </c>
      <c r="C2667">
        <v>29</v>
      </c>
      <c r="D2667" t="s">
        <v>1447</v>
      </c>
      <c r="E2667" t="s">
        <v>1858</v>
      </c>
      <c r="F2667" t="s">
        <v>1748</v>
      </c>
      <c r="H2667" s="165" t="str">
        <f>IF(ISBLANK('Q 5'!I231),"",IF('Q 5'!I231="&lt;please select&gt;","",'Q 5'!I231))</f>
        <v/>
      </c>
    </row>
    <row r="2668" spans="1:8" x14ac:dyDescent="0.3">
      <c r="A2668" t="s">
        <v>1847</v>
      </c>
      <c r="B2668" t="s">
        <v>1855</v>
      </c>
      <c r="C2668">
        <v>30</v>
      </c>
      <c r="D2668" t="s">
        <v>1447</v>
      </c>
      <c r="E2668" t="s">
        <v>1858</v>
      </c>
      <c r="F2668" t="s">
        <v>1748</v>
      </c>
      <c r="H2668" s="165" t="str">
        <f>IF(ISBLANK('Q 5'!I232),"",IF('Q 5'!I232="&lt;please select&gt;","",'Q 5'!I232))</f>
        <v/>
      </c>
    </row>
    <row r="2669" spans="1:8" x14ac:dyDescent="0.3">
      <c r="A2669" t="s">
        <v>1847</v>
      </c>
      <c r="B2669" t="s">
        <v>1855</v>
      </c>
      <c r="C2669">
        <v>31</v>
      </c>
      <c r="D2669" t="s">
        <v>1447</v>
      </c>
      <c r="E2669" t="s">
        <v>1858</v>
      </c>
      <c r="F2669" t="s">
        <v>1748</v>
      </c>
      <c r="H2669" s="165" t="str">
        <f>IF(ISBLANK('Q 5'!I233),"",IF('Q 5'!I233="&lt;please select&gt;","",'Q 5'!I233))</f>
        <v/>
      </c>
    </row>
    <row r="2670" spans="1:8" x14ac:dyDescent="0.3">
      <c r="A2670" t="s">
        <v>1847</v>
      </c>
      <c r="B2670" t="s">
        <v>1855</v>
      </c>
      <c r="C2670">
        <v>32</v>
      </c>
      <c r="D2670" t="s">
        <v>1447</v>
      </c>
      <c r="E2670" t="s">
        <v>1858</v>
      </c>
      <c r="F2670" t="s">
        <v>1748</v>
      </c>
      <c r="H2670" s="165" t="str">
        <f>IF(ISBLANK('Q 5'!I234),"",IF('Q 5'!I234="&lt;please select&gt;","",'Q 5'!I234))</f>
        <v/>
      </c>
    </row>
    <row r="2671" spans="1:8" x14ac:dyDescent="0.3">
      <c r="A2671" t="s">
        <v>1847</v>
      </c>
      <c r="B2671" t="s">
        <v>1855</v>
      </c>
      <c r="C2671">
        <v>33</v>
      </c>
      <c r="D2671" t="s">
        <v>1447</v>
      </c>
      <c r="E2671" t="s">
        <v>1858</v>
      </c>
      <c r="F2671" t="s">
        <v>1748</v>
      </c>
      <c r="H2671" s="165" t="str">
        <f>IF(ISBLANK('Q 5'!I235),"",IF('Q 5'!I235="&lt;please select&gt;","",'Q 5'!I235))</f>
        <v/>
      </c>
    </row>
    <row r="2672" spans="1:8" x14ac:dyDescent="0.3">
      <c r="A2672" t="s">
        <v>1847</v>
      </c>
      <c r="B2672" t="s">
        <v>1855</v>
      </c>
      <c r="C2672">
        <v>34</v>
      </c>
      <c r="D2672" t="s">
        <v>1447</v>
      </c>
      <c r="E2672" t="s">
        <v>1858</v>
      </c>
      <c r="F2672" t="s">
        <v>1748</v>
      </c>
      <c r="H2672" s="165" t="str">
        <f>IF(ISBLANK('Q 5'!I236),"",IF('Q 5'!I236="&lt;please select&gt;","",'Q 5'!I236))</f>
        <v/>
      </c>
    </row>
    <row r="2673" spans="1:8" x14ac:dyDescent="0.3">
      <c r="A2673" t="s">
        <v>1847</v>
      </c>
      <c r="B2673" t="s">
        <v>1855</v>
      </c>
      <c r="C2673">
        <v>35</v>
      </c>
      <c r="D2673" t="s">
        <v>1447</v>
      </c>
      <c r="E2673" t="s">
        <v>1858</v>
      </c>
      <c r="F2673" t="s">
        <v>1748</v>
      </c>
      <c r="H2673" s="165" t="str">
        <f>IF(ISBLANK('Q 5'!I237),"",IF('Q 5'!I237="&lt;please select&gt;","",'Q 5'!I237))</f>
        <v/>
      </c>
    </row>
    <row r="2674" spans="1:8" x14ac:dyDescent="0.3">
      <c r="A2674" t="s">
        <v>1847</v>
      </c>
      <c r="B2674" t="s">
        <v>1855</v>
      </c>
      <c r="C2674">
        <v>36</v>
      </c>
      <c r="D2674" t="s">
        <v>1447</v>
      </c>
      <c r="E2674" t="s">
        <v>1858</v>
      </c>
      <c r="F2674" t="s">
        <v>1748</v>
      </c>
      <c r="H2674" s="165" t="str">
        <f>IF(ISBLANK('Q 5'!I238),"",IF('Q 5'!I238="&lt;please select&gt;","",'Q 5'!I238))</f>
        <v/>
      </c>
    </row>
    <row r="2675" spans="1:8" x14ac:dyDescent="0.3">
      <c r="A2675" t="s">
        <v>1847</v>
      </c>
      <c r="B2675" t="s">
        <v>1855</v>
      </c>
      <c r="C2675">
        <v>37</v>
      </c>
      <c r="D2675" t="s">
        <v>1447</v>
      </c>
      <c r="E2675" t="s">
        <v>1858</v>
      </c>
      <c r="F2675" t="s">
        <v>1748</v>
      </c>
      <c r="H2675" s="165" t="str">
        <f>IF(ISBLANK('Q 5'!I239),"",IF('Q 5'!I239="&lt;please select&gt;","",'Q 5'!I239))</f>
        <v/>
      </c>
    </row>
    <row r="2676" spans="1:8" x14ac:dyDescent="0.3">
      <c r="A2676" t="s">
        <v>1847</v>
      </c>
      <c r="B2676" t="s">
        <v>1855</v>
      </c>
      <c r="C2676">
        <v>38</v>
      </c>
      <c r="D2676" t="s">
        <v>1447</v>
      </c>
      <c r="E2676" t="s">
        <v>1858</v>
      </c>
      <c r="F2676" t="s">
        <v>1748</v>
      </c>
      <c r="H2676" s="165" t="str">
        <f>IF(ISBLANK('Q 5'!I240),"",IF('Q 5'!I240="&lt;please select&gt;","",'Q 5'!I240))</f>
        <v/>
      </c>
    </row>
    <row r="2677" spans="1:8" x14ac:dyDescent="0.3">
      <c r="A2677" t="s">
        <v>1847</v>
      </c>
      <c r="B2677" t="s">
        <v>1855</v>
      </c>
      <c r="C2677">
        <v>39</v>
      </c>
      <c r="D2677" t="s">
        <v>1447</v>
      </c>
      <c r="E2677" t="s">
        <v>1858</v>
      </c>
      <c r="F2677" t="s">
        <v>1748</v>
      </c>
      <c r="H2677" s="165" t="str">
        <f>IF(ISBLANK('Q 5'!I241),"",IF('Q 5'!I241="&lt;please select&gt;","",'Q 5'!I241))</f>
        <v/>
      </c>
    </row>
    <row r="2678" spans="1:8" x14ac:dyDescent="0.3">
      <c r="A2678" t="s">
        <v>1847</v>
      </c>
      <c r="B2678" t="s">
        <v>1855</v>
      </c>
      <c r="C2678">
        <v>40</v>
      </c>
      <c r="D2678" t="s">
        <v>1447</v>
      </c>
      <c r="E2678" t="s">
        <v>1858</v>
      </c>
      <c r="F2678" t="s">
        <v>1748</v>
      </c>
      <c r="H2678" s="165" t="str">
        <f>IF(ISBLANK('Q 5'!I242),"",IF('Q 5'!I242="&lt;please select&gt;","",'Q 5'!I242))</f>
        <v/>
      </c>
    </row>
    <row r="2679" spans="1:8" x14ac:dyDescent="0.3">
      <c r="A2679" t="s">
        <v>1847</v>
      </c>
      <c r="B2679" t="s">
        <v>1855</v>
      </c>
      <c r="C2679">
        <v>41</v>
      </c>
      <c r="D2679" t="s">
        <v>1447</v>
      </c>
      <c r="E2679" t="s">
        <v>1858</v>
      </c>
      <c r="F2679" t="s">
        <v>1748</v>
      </c>
      <c r="H2679" s="165" t="str">
        <f>IF(ISBLANK('Q 5'!I243),"",IF('Q 5'!I243="&lt;please select&gt;","",'Q 5'!I243))</f>
        <v/>
      </c>
    </row>
    <row r="2680" spans="1:8" x14ac:dyDescent="0.3">
      <c r="A2680" t="s">
        <v>1847</v>
      </c>
      <c r="B2680" t="s">
        <v>1855</v>
      </c>
      <c r="C2680">
        <v>42</v>
      </c>
      <c r="D2680" t="s">
        <v>1447</v>
      </c>
      <c r="E2680" t="s">
        <v>1858</v>
      </c>
      <c r="F2680" t="s">
        <v>1748</v>
      </c>
      <c r="H2680" s="165" t="str">
        <f>IF(ISBLANK('Q 5'!I244),"",IF('Q 5'!I244="&lt;please select&gt;","",'Q 5'!I244))</f>
        <v/>
      </c>
    </row>
    <row r="2681" spans="1:8" x14ac:dyDescent="0.3">
      <c r="A2681" t="s">
        <v>1847</v>
      </c>
      <c r="B2681" t="s">
        <v>1855</v>
      </c>
      <c r="C2681">
        <v>43</v>
      </c>
      <c r="D2681" t="s">
        <v>1447</v>
      </c>
      <c r="E2681" t="s">
        <v>1858</v>
      </c>
      <c r="F2681" t="s">
        <v>1748</v>
      </c>
      <c r="H2681" s="165" t="str">
        <f>IF(ISBLANK('Q 5'!I245),"",IF('Q 5'!I245="&lt;please select&gt;","",'Q 5'!I245))</f>
        <v/>
      </c>
    </row>
    <row r="2682" spans="1:8" x14ac:dyDescent="0.3">
      <c r="A2682" t="s">
        <v>1847</v>
      </c>
      <c r="B2682" t="s">
        <v>1855</v>
      </c>
      <c r="C2682">
        <v>44</v>
      </c>
      <c r="D2682" t="s">
        <v>1447</v>
      </c>
      <c r="E2682" t="s">
        <v>1858</v>
      </c>
      <c r="F2682" t="s">
        <v>1748</v>
      </c>
      <c r="H2682" s="165" t="str">
        <f>IF(ISBLANK('Q 5'!I246),"",IF('Q 5'!I246="&lt;please select&gt;","",'Q 5'!I246))</f>
        <v/>
      </c>
    </row>
    <row r="2683" spans="1:8" x14ac:dyDescent="0.3">
      <c r="A2683" t="s">
        <v>1847</v>
      </c>
      <c r="B2683" t="s">
        <v>1855</v>
      </c>
      <c r="C2683">
        <v>45</v>
      </c>
      <c r="D2683" t="s">
        <v>1447</v>
      </c>
      <c r="E2683" t="s">
        <v>1858</v>
      </c>
      <c r="F2683" t="s">
        <v>1748</v>
      </c>
      <c r="H2683" s="165" t="str">
        <f>IF(ISBLANK('Q 5'!I247),"",IF('Q 5'!I247="&lt;please select&gt;","",'Q 5'!I247))</f>
        <v/>
      </c>
    </row>
    <row r="2684" spans="1:8" x14ac:dyDescent="0.3">
      <c r="A2684" t="s">
        <v>1847</v>
      </c>
      <c r="B2684" t="s">
        <v>1855</v>
      </c>
      <c r="C2684">
        <v>46</v>
      </c>
      <c r="D2684" t="s">
        <v>1447</v>
      </c>
      <c r="E2684" t="s">
        <v>1858</v>
      </c>
      <c r="F2684" t="s">
        <v>1748</v>
      </c>
      <c r="H2684" s="165" t="str">
        <f>IF(ISBLANK('Q 5'!I248),"",IF('Q 5'!I248="&lt;please select&gt;","",'Q 5'!I248))</f>
        <v/>
      </c>
    </row>
    <row r="2685" spans="1:8" x14ac:dyDescent="0.3">
      <c r="A2685" t="s">
        <v>1847</v>
      </c>
      <c r="B2685" t="s">
        <v>1855</v>
      </c>
      <c r="C2685">
        <v>47</v>
      </c>
      <c r="D2685" t="s">
        <v>1447</v>
      </c>
      <c r="E2685" t="s">
        <v>1858</v>
      </c>
      <c r="F2685" t="s">
        <v>1748</v>
      </c>
      <c r="H2685" s="165" t="str">
        <f>IF(ISBLANK('Q 5'!I249),"",IF('Q 5'!I249="&lt;please select&gt;","",'Q 5'!I249))</f>
        <v/>
      </c>
    </row>
    <row r="2686" spans="1:8" x14ac:dyDescent="0.3">
      <c r="A2686" t="s">
        <v>1847</v>
      </c>
      <c r="B2686" t="s">
        <v>1855</v>
      </c>
      <c r="C2686">
        <v>48</v>
      </c>
      <c r="D2686" t="s">
        <v>1447</v>
      </c>
      <c r="E2686" t="s">
        <v>1858</v>
      </c>
      <c r="F2686" t="s">
        <v>1748</v>
      </c>
      <c r="H2686" s="165" t="str">
        <f>IF(ISBLANK('Q 5'!I250),"",IF('Q 5'!I250="&lt;please select&gt;","",'Q 5'!I250))</f>
        <v/>
      </c>
    </row>
    <row r="2687" spans="1:8" x14ac:dyDescent="0.3">
      <c r="A2687" t="s">
        <v>1847</v>
      </c>
      <c r="B2687" t="s">
        <v>1855</v>
      </c>
      <c r="C2687">
        <v>49</v>
      </c>
      <c r="D2687" t="s">
        <v>1447</v>
      </c>
      <c r="E2687" t="s">
        <v>1858</v>
      </c>
      <c r="F2687" t="s">
        <v>1748</v>
      </c>
      <c r="H2687" s="165" t="str">
        <f>IF(ISBLANK('Q 5'!I251),"",IF('Q 5'!I251="&lt;please select&gt;","",'Q 5'!I251))</f>
        <v/>
      </c>
    </row>
    <row r="2688" spans="1:8" x14ac:dyDescent="0.3">
      <c r="A2688" t="s">
        <v>1847</v>
      </c>
      <c r="B2688" t="s">
        <v>1855</v>
      </c>
      <c r="C2688">
        <v>50</v>
      </c>
      <c r="D2688" t="s">
        <v>1447</v>
      </c>
      <c r="E2688" t="s">
        <v>1858</v>
      </c>
      <c r="F2688" t="s">
        <v>1748</v>
      </c>
      <c r="H2688" s="165" t="str">
        <f>IF(ISBLANK('Q 5'!I252),"",IF('Q 5'!I252="&lt;please select&gt;","",'Q 5'!I252))</f>
        <v/>
      </c>
    </row>
    <row r="2689" spans="1:8" x14ac:dyDescent="0.3">
      <c r="A2689" t="s">
        <v>1847</v>
      </c>
      <c r="B2689" t="s">
        <v>1855</v>
      </c>
      <c r="C2689">
        <v>51</v>
      </c>
      <c r="D2689" t="s">
        <v>1447</v>
      </c>
      <c r="E2689" t="s">
        <v>1858</v>
      </c>
      <c r="F2689" t="s">
        <v>1748</v>
      </c>
      <c r="H2689" s="165" t="str">
        <f>IF(ISBLANK('Q 5'!I253),"",IF('Q 5'!I253="&lt;please select&gt;","",'Q 5'!I253))</f>
        <v/>
      </c>
    </row>
    <row r="2690" spans="1:8" x14ac:dyDescent="0.3">
      <c r="A2690" t="s">
        <v>1847</v>
      </c>
      <c r="B2690" t="s">
        <v>1855</v>
      </c>
      <c r="C2690">
        <v>52</v>
      </c>
      <c r="D2690" t="s">
        <v>1447</v>
      </c>
      <c r="E2690" t="s">
        <v>1858</v>
      </c>
      <c r="F2690" t="s">
        <v>1748</v>
      </c>
      <c r="H2690" s="165" t="str">
        <f>IF(ISBLANK('Q 5'!I254),"",IF('Q 5'!I254="&lt;please select&gt;","",'Q 5'!I254))</f>
        <v/>
      </c>
    </row>
    <row r="2691" spans="1:8" x14ac:dyDescent="0.3">
      <c r="A2691" t="s">
        <v>1847</v>
      </c>
      <c r="B2691" t="s">
        <v>1855</v>
      </c>
      <c r="C2691">
        <v>53</v>
      </c>
      <c r="D2691" t="s">
        <v>1447</v>
      </c>
      <c r="E2691" t="s">
        <v>1858</v>
      </c>
      <c r="F2691" t="s">
        <v>1748</v>
      </c>
      <c r="H2691" s="165" t="str">
        <f>IF(ISBLANK('Q 5'!I255),"",IF('Q 5'!I255="&lt;please select&gt;","",'Q 5'!I255))</f>
        <v/>
      </c>
    </row>
    <row r="2692" spans="1:8" x14ac:dyDescent="0.3">
      <c r="A2692" t="s">
        <v>1847</v>
      </c>
      <c r="B2692" t="s">
        <v>1855</v>
      </c>
      <c r="C2692">
        <v>54</v>
      </c>
      <c r="D2692" t="s">
        <v>1447</v>
      </c>
      <c r="E2692" t="s">
        <v>1858</v>
      </c>
      <c r="F2692" t="s">
        <v>1748</v>
      </c>
      <c r="H2692" s="165" t="str">
        <f>IF(ISBLANK('Q 5'!I256),"",IF('Q 5'!I256="&lt;please select&gt;","",'Q 5'!I256))</f>
        <v/>
      </c>
    </row>
    <row r="2693" spans="1:8" x14ac:dyDescent="0.3">
      <c r="A2693" t="s">
        <v>1847</v>
      </c>
      <c r="B2693" t="s">
        <v>1855</v>
      </c>
      <c r="C2693">
        <v>55</v>
      </c>
      <c r="D2693" t="s">
        <v>1447</v>
      </c>
      <c r="E2693" t="s">
        <v>1858</v>
      </c>
      <c r="F2693" t="s">
        <v>1748</v>
      </c>
      <c r="H2693" s="165" t="str">
        <f>IF(ISBLANK('Q 5'!I257),"",IF('Q 5'!I257="&lt;please select&gt;","",'Q 5'!I257))</f>
        <v/>
      </c>
    </row>
    <row r="2694" spans="1:8" x14ac:dyDescent="0.3">
      <c r="A2694" t="s">
        <v>1847</v>
      </c>
      <c r="B2694" t="s">
        <v>1855</v>
      </c>
      <c r="C2694">
        <v>56</v>
      </c>
      <c r="D2694" t="s">
        <v>1447</v>
      </c>
      <c r="E2694" t="s">
        <v>1858</v>
      </c>
      <c r="F2694" t="s">
        <v>1748</v>
      </c>
      <c r="H2694" s="165" t="str">
        <f>IF(ISBLANK('Q 5'!I258),"",IF('Q 5'!I258="&lt;please select&gt;","",'Q 5'!I258))</f>
        <v/>
      </c>
    </row>
    <row r="2695" spans="1:8" x14ac:dyDescent="0.3">
      <c r="A2695" t="s">
        <v>1847</v>
      </c>
      <c r="B2695" t="s">
        <v>1855</v>
      </c>
      <c r="C2695">
        <v>57</v>
      </c>
      <c r="D2695" t="s">
        <v>1447</v>
      </c>
      <c r="E2695" t="s">
        <v>1858</v>
      </c>
      <c r="F2695" t="s">
        <v>1748</v>
      </c>
      <c r="H2695" s="165" t="str">
        <f>IF(ISBLANK('Q 5'!I259),"",IF('Q 5'!I259="&lt;please select&gt;","",'Q 5'!I259))</f>
        <v/>
      </c>
    </row>
    <row r="2696" spans="1:8" x14ac:dyDescent="0.3">
      <c r="A2696" t="s">
        <v>1847</v>
      </c>
      <c r="B2696" t="s">
        <v>1855</v>
      </c>
      <c r="C2696">
        <v>58</v>
      </c>
      <c r="D2696" t="s">
        <v>1447</v>
      </c>
      <c r="E2696" t="s">
        <v>1858</v>
      </c>
      <c r="F2696" t="s">
        <v>1748</v>
      </c>
      <c r="H2696" s="165" t="str">
        <f>IF(ISBLANK('Q 5'!I260),"",IF('Q 5'!I260="&lt;please select&gt;","",'Q 5'!I260))</f>
        <v/>
      </c>
    </row>
    <row r="2697" spans="1:8" x14ac:dyDescent="0.3">
      <c r="A2697" t="s">
        <v>1847</v>
      </c>
      <c r="B2697" t="s">
        <v>1855</v>
      </c>
      <c r="C2697">
        <v>59</v>
      </c>
      <c r="D2697" t="s">
        <v>1447</v>
      </c>
      <c r="E2697" t="s">
        <v>1858</v>
      </c>
      <c r="F2697" t="s">
        <v>1748</v>
      </c>
      <c r="H2697" s="165" t="str">
        <f>IF(ISBLANK('Q 5'!I261),"",IF('Q 5'!I261="&lt;please select&gt;","",'Q 5'!I261))</f>
        <v/>
      </c>
    </row>
    <row r="2698" spans="1:8" x14ac:dyDescent="0.3">
      <c r="A2698" t="s">
        <v>1847</v>
      </c>
      <c r="B2698" t="s">
        <v>1855</v>
      </c>
      <c r="C2698">
        <v>60</v>
      </c>
      <c r="D2698" t="s">
        <v>1447</v>
      </c>
      <c r="E2698" t="s">
        <v>1858</v>
      </c>
      <c r="F2698" t="s">
        <v>1748</v>
      </c>
      <c r="H2698" s="165" t="str">
        <f>IF(ISBLANK('Q 5'!I262),"",IF('Q 5'!I262="&lt;please select&gt;","",'Q 5'!I262))</f>
        <v/>
      </c>
    </row>
    <row r="2699" spans="1:8" x14ac:dyDescent="0.3">
      <c r="A2699" t="s">
        <v>1847</v>
      </c>
      <c r="B2699" t="s">
        <v>1855</v>
      </c>
      <c r="C2699">
        <v>61</v>
      </c>
      <c r="D2699" t="s">
        <v>1447</v>
      </c>
      <c r="E2699" t="s">
        <v>1858</v>
      </c>
      <c r="F2699" t="s">
        <v>1748</v>
      </c>
      <c r="H2699" s="165" t="str">
        <f>IF(ISBLANK('Q 5'!I263),"",IF('Q 5'!I263="&lt;please select&gt;","",'Q 5'!I263))</f>
        <v/>
      </c>
    </row>
    <row r="2700" spans="1:8" x14ac:dyDescent="0.3">
      <c r="A2700" t="s">
        <v>1847</v>
      </c>
      <c r="B2700" t="s">
        <v>1855</v>
      </c>
      <c r="C2700">
        <v>62</v>
      </c>
      <c r="D2700" t="s">
        <v>1447</v>
      </c>
      <c r="E2700" t="s">
        <v>1858</v>
      </c>
      <c r="F2700" t="s">
        <v>1748</v>
      </c>
      <c r="H2700" s="165" t="str">
        <f>IF(ISBLANK('Q 5'!I264),"",IF('Q 5'!I264="&lt;please select&gt;","",'Q 5'!I264))</f>
        <v/>
      </c>
    </row>
    <row r="2701" spans="1:8" x14ac:dyDescent="0.3">
      <c r="A2701" t="s">
        <v>1847</v>
      </c>
      <c r="B2701" t="s">
        <v>1855</v>
      </c>
      <c r="C2701">
        <v>63</v>
      </c>
      <c r="D2701" t="s">
        <v>1447</v>
      </c>
      <c r="E2701" t="s">
        <v>1858</v>
      </c>
      <c r="F2701" t="s">
        <v>1748</v>
      </c>
      <c r="H2701" s="165" t="str">
        <f>IF(ISBLANK('Q 5'!I265),"",IF('Q 5'!I265="&lt;please select&gt;","",'Q 5'!I265))</f>
        <v/>
      </c>
    </row>
    <row r="2702" spans="1:8" x14ac:dyDescent="0.3">
      <c r="A2702" t="s">
        <v>1847</v>
      </c>
      <c r="B2702" t="s">
        <v>1855</v>
      </c>
      <c r="C2702">
        <v>64</v>
      </c>
      <c r="D2702" t="s">
        <v>1447</v>
      </c>
      <c r="E2702" t="s">
        <v>1858</v>
      </c>
      <c r="F2702" t="s">
        <v>1748</v>
      </c>
      <c r="H2702" s="165" t="str">
        <f>IF(ISBLANK('Q 5'!I266),"",IF('Q 5'!I266="&lt;please select&gt;","",'Q 5'!I266))</f>
        <v/>
      </c>
    </row>
    <row r="2703" spans="1:8" x14ac:dyDescent="0.3">
      <c r="A2703" t="s">
        <v>1847</v>
      </c>
      <c r="B2703" t="s">
        <v>1855</v>
      </c>
      <c r="C2703">
        <v>65</v>
      </c>
      <c r="D2703" t="s">
        <v>1447</v>
      </c>
      <c r="E2703" t="s">
        <v>1858</v>
      </c>
      <c r="F2703" t="s">
        <v>1748</v>
      </c>
      <c r="H2703" s="165" t="str">
        <f>IF(ISBLANK('Q 5'!I267),"",IF('Q 5'!I267="&lt;please select&gt;","",'Q 5'!I267))</f>
        <v/>
      </c>
    </row>
    <row r="2704" spans="1:8" x14ac:dyDescent="0.3">
      <c r="A2704" t="s">
        <v>1847</v>
      </c>
      <c r="B2704" t="s">
        <v>1855</v>
      </c>
      <c r="C2704">
        <v>66</v>
      </c>
      <c r="D2704" t="s">
        <v>1447</v>
      </c>
      <c r="E2704" t="s">
        <v>1858</v>
      </c>
      <c r="F2704" t="s">
        <v>1748</v>
      </c>
      <c r="H2704" s="165" t="str">
        <f>IF(ISBLANK('Q 5'!I268),"",IF('Q 5'!I268="&lt;please select&gt;","",'Q 5'!I268))</f>
        <v/>
      </c>
    </row>
    <row r="2705" spans="1:8" x14ac:dyDescent="0.3">
      <c r="A2705" t="s">
        <v>1847</v>
      </c>
      <c r="B2705" t="s">
        <v>1855</v>
      </c>
      <c r="C2705">
        <v>67</v>
      </c>
      <c r="D2705" t="s">
        <v>1447</v>
      </c>
      <c r="E2705" t="s">
        <v>1858</v>
      </c>
      <c r="F2705" t="s">
        <v>1748</v>
      </c>
      <c r="H2705" s="165" t="str">
        <f>IF(ISBLANK('Q 5'!I269),"",IF('Q 5'!I269="&lt;please select&gt;","",'Q 5'!I269))</f>
        <v/>
      </c>
    </row>
    <row r="2706" spans="1:8" x14ac:dyDescent="0.3">
      <c r="A2706" t="s">
        <v>1847</v>
      </c>
      <c r="B2706" t="s">
        <v>1855</v>
      </c>
      <c r="C2706">
        <v>68</v>
      </c>
      <c r="D2706" t="s">
        <v>1447</v>
      </c>
      <c r="E2706" t="s">
        <v>1858</v>
      </c>
      <c r="F2706" t="s">
        <v>1748</v>
      </c>
      <c r="H2706" s="165" t="str">
        <f>IF(ISBLANK('Q 5'!I270),"",IF('Q 5'!I270="&lt;please select&gt;","",'Q 5'!I270))</f>
        <v/>
      </c>
    </row>
    <row r="2707" spans="1:8" x14ac:dyDescent="0.3">
      <c r="A2707" t="s">
        <v>1847</v>
      </c>
      <c r="B2707" t="s">
        <v>1855</v>
      </c>
      <c r="C2707">
        <v>69</v>
      </c>
      <c r="D2707" t="s">
        <v>1447</v>
      </c>
      <c r="E2707" t="s">
        <v>1858</v>
      </c>
      <c r="F2707" t="s">
        <v>1748</v>
      </c>
      <c r="H2707" s="165" t="str">
        <f>IF(ISBLANK('Q 5'!I271),"",IF('Q 5'!I271="&lt;please select&gt;","",'Q 5'!I271))</f>
        <v/>
      </c>
    </row>
    <row r="2708" spans="1:8" x14ac:dyDescent="0.3">
      <c r="A2708" t="s">
        <v>1847</v>
      </c>
      <c r="B2708" t="s">
        <v>1855</v>
      </c>
      <c r="C2708">
        <v>70</v>
      </c>
      <c r="D2708" t="s">
        <v>1447</v>
      </c>
      <c r="E2708" t="s">
        <v>1858</v>
      </c>
      <c r="F2708" t="s">
        <v>1748</v>
      </c>
      <c r="H2708" s="165" t="str">
        <f>IF(ISBLANK('Q 5'!I272),"",IF('Q 5'!I272="&lt;please select&gt;","",'Q 5'!I272))</f>
        <v/>
      </c>
    </row>
    <row r="2709" spans="1:8" x14ac:dyDescent="0.3">
      <c r="A2709" t="s">
        <v>1847</v>
      </c>
      <c r="B2709" t="s">
        <v>1855</v>
      </c>
      <c r="C2709">
        <v>71</v>
      </c>
      <c r="D2709" t="s">
        <v>1447</v>
      </c>
      <c r="E2709" t="s">
        <v>1858</v>
      </c>
      <c r="F2709" t="s">
        <v>1748</v>
      </c>
      <c r="H2709" s="165" t="str">
        <f>IF(ISBLANK('Q 5'!I273),"",IF('Q 5'!I273="&lt;please select&gt;","",'Q 5'!I273))</f>
        <v/>
      </c>
    </row>
    <row r="2710" spans="1:8" x14ac:dyDescent="0.3">
      <c r="A2710" t="s">
        <v>1847</v>
      </c>
      <c r="B2710" t="s">
        <v>1855</v>
      </c>
      <c r="C2710">
        <v>72</v>
      </c>
      <c r="D2710" t="s">
        <v>1447</v>
      </c>
      <c r="E2710" t="s">
        <v>1858</v>
      </c>
      <c r="F2710" t="s">
        <v>1748</v>
      </c>
      <c r="H2710" s="165" t="str">
        <f>IF(ISBLANK('Q 5'!I274),"",IF('Q 5'!I274="&lt;please select&gt;","",'Q 5'!I274))</f>
        <v/>
      </c>
    </row>
    <row r="2711" spans="1:8" x14ac:dyDescent="0.3">
      <c r="A2711" t="s">
        <v>1847</v>
      </c>
      <c r="B2711" t="s">
        <v>1855</v>
      </c>
      <c r="C2711">
        <v>73</v>
      </c>
      <c r="D2711" t="s">
        <v>1447</v>
      </c>
      <c r="E2711" t="s">
        <v>1858</v>
      </c>
      <c r="F2711" t="s">
        <v>1748</v>
      </c>
      <c r="H2711" s="165" t="str">
        <f>IF(ISBLANK('Q 5'!I275),"",IF('Q 5'!I275="&lt;please select&gt;","",'Q 5'!I275))</f>
        <v/>
      </c>
    </row>
    <row r="2712" spans="1:8" x14ac:dyDescent="0.3">
      <c r="A2712" t="s">
        <v>1847</v>
      </c>
      <c r="B2712" t="s">
        <v>1855</v>
      </c>
      <c r="C2712">
        <v>74</v>
      </c>
      <c r="D2712" t="s">
        <v>1447</v>
      </c>
      <c r="E2712" t="s">
        <v>1858</v>
      </c>
      <c r="F2712" t="s">
        <v>1748</v>
      </c>
      <c r="H2712" s="165" t="str">
        <f>IF(ISBLANK('Q 5'!I276),"",IF('Q 5'!I276="&lt;please select&gt;","",'Q 5'!I276))</f>
        <v/>
      </c>
    </row>
    <row r="2713" spans="1:8" x14ac:dyDescent="0.3">
      <c r="A2713" t="s">
        <v>1847</v>
      </c>
      <c r="B2713" t="s">
        <v>1855</v>
      </c>
      <c r="C2713">
        <v>75</v>
      </c>
      <c r="D2713" t="s">
        <v>1447</v>
      </c>
      <c r="E2713" t="s">
        <v>1858</v>
      </c>
      <c r="F2713" t="s">
        <v>1748</v>
      </c>
      <c r="H2713" s="165" t="str">
        <f>IF(ISBLANK('Q 5'!I277),"",IF('Q 5'!I277="&lt;please select&gt;","",'Q 5'!I277))</f>
        <v/>
      </c>
    </row>
    <row r="2714" spans="1:8" x14ac:dyDescent="0.3">
      <c r="A2714" t="s">
        <v>1847</v>
      </c>
      <c r="B2714" t="s">
        <v>1855</v>
      </c>
      <c r="C2714">
        <v>76</v>
      </c>
      <c r="D2714" t="s">
        <v>1447</v>
      </c>
      <c r="E2714" t="s">
        <v>1858</v>
      </c>
      <c r="F2714" t="s">
        <v>1748</v>
      </c>
      <c r="H2714" s="165" t="str">
        <f>IF(ISBLANK('Q 5'!I278),"",IF('Q 5'!I278="&lt;please select&gt;","",'Q 5'!I278))</f>
        <v/>
      </c>
    </row>
    <row r="2715" spans="1:8" x14ac:dyDescent="0.3">
      <c r="A2715" t="s">
        <v>1847</v>
      </c>
      <c r="B2715" t="s">
        <v>1855</v>
      </c>
      <c r="C2715">
        <v>77</v>
      </c>
      <c r="D2715" t="s">
        <v>1447</v>
      </c>
      <c r="E2715" t="s">
        <v>1858</v>
      </c>
      <c r="F2715" t="s">
        <v>1748</v>
      </c>
      <c r="H2715" s="165" t="str">
        <f>IF(ISBLANK('Q 5'!I279),"",IF('Q 5'!I279="&lt;please select&gt;","",'Q 5'!I279))</f>
        <v/>
      </c>
    </row>
    <row r="2716" spans="1:8" x14ac:dyDescent="0.3">
      <c r="A2716" t="s">
        <v>1847</v>
      </c>
      <c r="B2716" t="s">
        <v>1855</v>
      </c>
      <c r="C2716">
        <v>78</v>
      </c>
      <c r="D2716" t="s">
        <v>1447</v>
      </c>
      <c r="E2716" t="s">
        <v>1858</v>
      </c>
      <c r="F2716" t="s">
        <v>1748</v>
      </c>
      <c r="H2716" s="165" t="str">
        <f>IF(ISBLANK('Q 5'!I280),"",IF('Q 5'!I280="&lt;please select&gt;","",'Q 5'!I280))</f>
        <v/>
      </c>
    </row>
    <row r="2717" spans="1:8" x14ac:dyDescent="0.3">
      <c r="A2717" t="s">
        <v>1847</v>
      </c>
      <c r="B2717" t="s">
        <v>1855</v>
      </c>
      <c r="C2717">
        <v>79</v>
      </c>
      <c r="D2717" t="s">
        <v>1447</v>
      </c>
      <c r="E2717" t="s">
        <v>1858</v>
      </c>
      <c r="F2717" t="s">
        <v>1748</v>
      </c>
      <c r="H2717" s="165" t="str">
        <f>IF(ISBLANK('Q 5'!I281),"",IF('Q 5'!I281="&lt;please select&gt;","",'Q 5'!I281))</f>
        <v/>
      </c>
    </row>
    <row r="2718" spans="1:8" x14ac:dyDescent="0.3">
      <c r="A2718" t="s">
        <v>1847</v>
      </c>
      <c r="B2718" t="s">
        <v>1855</v>
      </c>
      <c r="C2718">
        <v>80</v>
      </c>
      <c r="D2718" t="s">
        <v>1447</v>
      </c>
      <c r="E2718" t="s">
        <v>1858</v>
      </c>
      <c r="F2718" t="s">
        <v>1748</v>
      </c>
      <c r="H2718" s="165" t="str">
        <f>IF(ISBLANK('Q 5'!I282),"",IF('Q 5'!I282="&lt;please select&gt;","",'Q 5'!I282))</f>
        <v/>
      </c>
    </row>
    <row r="2719" spans="1:8" x14ac:dyDescent="0.3">
      <c r="A2719" t="s">
        <v>1847</v>
      </c>
      <c r="B2719" t="s">
        <v>1855</v>
      </c>
      <c r="C2719">
        <v>81</v>
      </c>
      <c r="D2719" t="s">
        <v>1447</v>
      </c>
      <c r="E2719" t="s">
        <v>1858</v>
      </c>
      <c r="F2719" t="s">
        <v>1748</v>
      </c>
      <c r="H2719" s="165" t="str">
        <f>IF(ISBLANK('Q 5'!I283),"",IF('Q 5'!I283="&lt;please select&gt;","",'Q 5'!I283))</f>
        <v/>
      </c>
    </row>
    <row r="2720" spans="1:8" x14ac:dyDescent="0.3">
      <c r="A2720" t="s">
        <v>1847</v>
      </c>
      <c r="B2720" t="s">
        <v>1855</v>
      </c>
      <c r="C2720">
        <v>82</v>
      </c>
      <c r="D2720" t="s">
        <v>1447</v>
      </c>
      <c r="E2720" t="s">
        <v>1858</v>
      </c>
      <c r="F2720" t="s">
        <v>1748</v>
      </c>
      <c r="H2720" s="165" t="str">
        <f>IF(ISBLANK('Q 5'!I284),"",IF('Q 5'!I284="&lt;please select&gt;","",'Q 5'!I284))</f>
        <v/>
      </c>
    </row>
    <row r="2721" spans="1:8" x14ac:dyDescent="0.3">
      <c r="A2721" t="s">
        <v>1847</v>
      </c>
      <c r="B2721" t="s">
        <v>1855</v>
      </c>
      <c r="C2721">
        <v>83</v>
      </c>
      <c r="D2721" t="s">
        <v>1447</v>
      </c>
      <c r="E2721" t="s">
        <v>1858</v>
      </c>
      <c r="F2721" t="s">
        <v>1748</v>
      </c>
      <c r="H2721" s="165" t="str">
        <f>IF(ISBLANK('Q 5'!I285),"",IF('Q 5'!I285="&lt;please select&gt;","",'Q 5'!I285))</f>
        <v/>
      </c>
    </row>
    <row r="2722" spans="1:8" x14ac:dyDescent="0.3">
      <c r="A2722" t="s">
        <v>1847</v>
      </c>
      <c r="B2722" t="s">
        <v>1855</v>
      </c>
      <c r="C2722">
        <v>84</v>
      </c>
      <c r="D2722" t="s">
        <v>1447</v>
      </c>
      <c r="E2722" t="s">
        <v>1858</v>
      </c>
      <c r="F2722" t="s">
        <v>1748</v>
      </c>
      <c r="H2722" s="165" t="str">
        <f>IF(ISBLANK('Q 5'!I286),"",IF('Q 5'!I286="&lt;please select&gt;","",'Q 5'!I286))</f>
        <v/>
      </c>
    </row>
    <row r="2723" spans="1:8" x14ac:dyDescent="0.3">
      <c r="A2723" t="s">
        <v>1847</v>
      </c>
      <c r="B2723" t="s">
        <v>1855</v>
      </c>
      <c r="C2723">
        <v>85</v>
      </c>
      <c r="D2723" t="s">
        <v>1447</v>
      </c>
      <c r="E2723" t="s">
        <v>1858</v>
      </c>
      <c r="F2723" t="s">
        <v>1748</v>
      </c>
      <c r="H2723" s="165" t="str">
        <f>IF(ISBLANK('Q 5'!I287),"",IF('Q 5'!I287="&lt;please select&gt;","",'Q 5'!I287))</f>
        <v/>
      </c>
    </row>
    <row r="2724" spans="1:8" x14ac:dyDescent="0.3">
      <c r="A2724" t="s">
        <v>1847</v>
      </c>
      <c r="B2724" t="s">
        <v>1855</v>
      </c>
      <c r="C2724">
        <v>86</v>
      </c>
      <c r="D2724" t="s">
        <v>1447</v>
      </c>
      <c r="E2724" t="s">
        <v>1858</v>
      </c>
      <c r="F2724" t="s">
        <v>1748</v>
      </c>
      <c r="H2724" s="165" t="str">
        <f>IF(ISBLANK('Q 5'!I288),"",IF('Q 5'!I288="&lt;please select&gt;","",'Q 5'!I288))</f>
        <v/>
      </c>
    </row>
    <row r="2725" spans="1:8" x14ac:dyDescent="0.3">
      <c r="A2725" t="s">
        <v>1847</v>
      </c>
      <c r="B2725" t="s">
        <v>1855</v>
      </c>
      <c r="C2725">
        <v>87</v>
      </c>
      <c r="D2725" t="s">
        <v>1447</v>
      </c>
      <c r="E2725" t="s">
        <v>1858</v>
      </c>
      <c r="F2725" t="s">
        <v>1748</v>
      </c>
      <c r="H2725" s="165" t="str">
        <f>IF(ISBLANK('Q 5'!I289),"",IF('Q 5'!I289="&lt;please select&gt;","",'Q 5'!I289))</f>
        <v/>
      </c>
    </row>
    <row r="2726" spans="1:8" x14ac:dyDescent="0.3">
      <c r="A2726" t="s">
        <v>1847</v>
      </c>
      <c r="B2726" t="s">
        <v>1855</v>
      </c>
      <c r="C2726">
        <v>88</v>
      </c>
      <c r="D2726" t="s">
        <v>1447</v>
      </c>
      <c r="E2726" t="s">
        <v>1858</v>
      </c>
      <c r="F2726" t="s">
        <v>1748</v>
      </c>
      <c r="H2726" s="165" t="str">
        <f>IF(ISBLANK('Q 5'!I290),"",IF('Q 5'!I290="&lt;please select&gt;","",'Q 5'!I290))</f>
        <v/>
      </c>
    </row>
    <row r="2727" spans="1:8" x14ac:dyDescent="0.3">
      <c r="A2727" t="s">
        <v>1847</v>
      </c>
      <c r="B2727" t="s">
        <v>1855</v>
      </c>
      <c r="C2727">
        <v>89</v>
      </c>
      <c r="D2727" t="s">
        <v>1447</v>
      </c>
      <c r="E2727" t="s">
        <v>1858</v>
      </c>
      <c r="F2727" t="s">
        <v>1748</v>
      </c>
      <c r="H2727" s="165" t="str">
        <f>IF(ISBLANK('Q 5'!I291),"",IF('Q 5'!I291="&lt;please select&gt;","",'Q 5'!I291))</f>
        <v/>
      </c>
    </row>
    <row r="2728" spans="1:8" x14ac:dyDescent="0.3">
      <c r="A2728" t="s">
        <v>1847</v>
      </c>
      <c r="B2728" t="s">
        <v>1855</v>
      </c>
      <c r="C2728">
        <v>90</v>
      </c>
      <c r="D2728" t="s">
        <v>1447</v>
      </c>
      <c r="E2728" t="s">
        <v>1858</v>
      </c>
      <c r="F2728" t="s">
        <v>1748</v>
      </c>
      <c r="H2728" s="165" t="str">
        <f>IF(ISBLANK('Q 5'!I292),"",IF('Q 5'!I292="&lt;please select&gt;","",'Q 5'!I292))</f>
        <v/>
      </c>
    </row>
    <row r="2729" spans="1:8" x14ac:dyDescent="0.3">
      <c r="A2729" t="s">
        <v>1847</v>
      </c>
      <c r="B2729" t="s">
        <v>1855</v>
      </c>
      <c r="C2729">
        <v>91</v>
      </c>
      <c r="D2729" t="s">
        <v>1447</v>
      </c>
      <c r="E2729" t="s">
        <v>1858</v>
      </c>
      <c r="F2729" t="s">
        <v>1748</v>
      </c>
      <c r="H2729" s="165" t="str">
        <f>IF(ISBLANK('Q 5'!I293),"",IF('Q 5'!I293="&lt;please select&gt;","",'Q 5'!I293))</f>
        <v/>
      </c>
    </row>
    <row r="2730" spans="1:8" x14ac:dyDescent="0.3">
      <c r="A2730" t="s">
        <v>1847</v>
      </c>
      <c r="B2730" t="s">
        <v>1855</v>
      </c>
      <c r="C2730">
        <v>92</v>
      </c>
      <c r="D2730" t="s">
        <v>1447</v>
      </c>
      <c r="E2730" t="s">
        <v>1858</v>
      </c>
      <c r="F2730" t="s">
        <v>1748</v>
      </c>
      <c r="H2730" s="165" t="str">
        <f>IF(ISBLANK('Q 5'!I294),"",IF('Q 5'!I294="&lt;please select&gt;","",'Q 5'!I294))</f>
        <v/>
      </c>
    </row>
    <row r="2731" spans="1:8" x14ac:dyDescent="0.3">
      <c r="A2731" t="s">
        <v>1847</v>
      </c>
      <c r="B2731" t="s">
        <v>1855</v>
      </c>
      <c r="C2731">
        <v>93</v>
      </c>
      <c r="D2731" t="s">
        <v>1447</v>
      </c>
      <c r="E2731" t="s">
        <v>1858</v>
      </c>
      <c r="F2731" t="s">
        <v>1748</v>
      </c>
      <c r="H2731" s="165" t="str">
        <f>IF(ISBLANK('Q 5'!I295),"",IF('Q 5'!I295="&lt;please select&gt;","",'Q 5'!I295))</f>
        <v/>
      </c>
    </row>
    <row r="2732" spans="1:8" x14ac:dyDescent="0.3">
      <c r="A2732" t="s">
        <v>1847</v>
      </c>
      <c r="B2732" t="s">
        <v>1855</v>
      </c>
      <c r="C2732">
        <v>94</v>
      </c>
      <c r="D2732" t="s">
        <v>1447</v>
      </c>
      <c r="E2732" t="s">
        <v>1858</v>
      </c>
      <c r="F2732" t="s">
        <v>1748</v>
      </c>
      <c r="H2732" s="165" t="str">
        <f>IF(ISBLANK('Q 5'!I296),"",IF('Q 5'!I296="&lt;please select&gt;","",'Q 5'!I296))</f>
        <v/>
      </c>
    </row>
    <row r="2733" spans="1:8" x14ac:dyDescent="0.3">
      <c r="A2733" t="s">
        <v>1847</v>
      </c>
      <c r="B2733" t="s">
        <v>1855</v>
      </c>
      <c r="C2733">
        <v>95</v>
      </c>
      <c r="D2733" t="s">
        <v>1447</v>
      </c>
      <c r="E2733" t="s">
        <v>1858</v>
      </c>
      <c r="F2733" t="s">
        <v>1748</v>
      </c>
      <c r="H2733" s="165" t="str">
        <f>IF(ISBLANK('Q 5'!I297),"",IF('Q 5'!I297="&lt;please select&gt;","",'Q 5'!I297))</f>
        <v/>
      </c>
    </row>
    <row r="2734" spans="1:8" x14ac:dyDescent="0.3">
      <c r="A2734" t="s">
        <v>1847</v>
      </c>
      <c r="B2734" t="s">
        <v>1855</v>
      </c>
      <c r="C2734">
        <v>96</v>
      </c>
      <c r="D2734" t="s">
        <v>1447</v>
      </c>
      <c r="E2734" t="s">
        <v>1858</v>
      </c>
      <c r="F2734" t="s">
        <v>1748</v>
      </c>
      <c r="H2734" s="165" t="str">
        <f>IF(ISBLANK('Q 5'!I298),"",IF('Q 5'!I298="&lt;please select&gt;","",'Q 5'!I298))</f>
        <v/>
      </c>
    </row>
    <row r="2735" spans="1:8" x14ac:dyDescent="0.3">
      <c r="A2735" t="s">
        <v>1847</v>
      </c>
      <c r="B2735" t="s">
        <v>1855</v>
      </c>
      <c r="C2735">
        <v>97</v>
      </c>
      <c r="D2735" t="s">
        <v>1447</v>
      </c>
      <c r="E2735" t="s">
        <v>1858</v>
      </c>
      <c r="F2735" t="s">
        <v>1748</v>
      </c>
      <c r="H2735" s="165" t="str">
        <f>IF(ISBLANK('Q 5'!I299),"",IF('Q 5'!I299="&lt;please select&gt;","",'Q 5'!I299))</f>
        <v/>
      </c>
    </row>
    <row r="2736" spans="1:8" x14ac:dyDescent="0.3">
      <c r="A2736" t="s">
        <v>1847</v>
      </c>
      <c r="B2736" t="s">
        <v>1855</v>
      </c>
      <c r="C2736">
        <v>98</v>
      </c>
      <c r="D2736" t="s">
        <v>1447</v>
      </c>
      <c r="E2736" t="s">
        <v>1858</v>
      </c>
      <c r="F2736" t="s">
        <v>1748</v>
      </c>
      <c r="H2736" s="165" t="str">
        <f>IF(ISBLANK('Q 5'!I300),"",IF('Q 5'!I300="&lt;please select&gt;","",'Q 5'!I300))</f>
        <v/>
      </c>
    </row>
    <row r="2737" spans="1:8" x14ac:dyDescent="0.3">
      <c r="A2737" t="s">
        <v>1847</v>
      </c>
      <c r="B2737" t="s">
        <v>1855</v>
      </c>
      <c r="C2737">
        <v>99</v>
      </c>
      <c r="D2737" t="s">
        <v>1447</v>
      </c>
      <c r="E2737" t="s">
        <v>1858</v>
      </c>
      <c r="F2737" t="s">
        <v>1748</v>
      </c>
      <c r="H2737" s="165" t="str">
        <f>IF(ISBLANK('Q 5'!I301),"",IF('Q 5'!I301="&lt;please select&gt;","",'Q 5'!I301))</f>
        <v/>
      </c>
    </row>
    <row r="2738" spans="1:8" x14ac:dyDescent="0.3">
      <c r="A2738" t="s">
        <v>1847</v>
      </c>
      <c r="B2738" t="s">
        <v>1855</v>
      </c>
      <c r="C2738">
        <v>100</v>
      </c>
      <c r="D2738" t="s">
        <v>1447</v>
      </c>
      <c r="E2738" t="s">
        <v>1858</v>
      </c>
      <c r="F2738" t="s">
        <v>1748</v>
      </c>
      <c r="H2738" s="165" t="str">
        <f>IF(ISBLANK('Q 5'!I302),"",IF('Q 5'!I302="&lt;please select&gt;","",'Q 5'!I302))</f>
        <v/>
      </c>
    </row>
    <row r="2739" spans="1:8" x14ac:dyDescent="0.3">
      <c r="A2739" t="s">
        <v>1847</v>
      </c>
      <c r="B2739" t="s">
        <v>1855</v>
      </c>
      <c r="C2739">
        <v>101</v>
      </c>
      <c r="D2739" t="s">
        <v>1447</v>
      </c>
      <c r="E2739" t="s">
        <v>1858</v>
      </c>
      <c r="F2739" t="s">
        <v>1748</v>
      </c>
      <c r="H2739" s="165" t="str">
        <f>IF(ISBLANK('Q 5'!I303),"",IF('Q 5'!I303="&lt;please select&gt;","",'Q 5'!I303))</f>
        <v/>
      </c>
    </row>
    <row r="2740" spans="1:8" x14ac:dyDescent="0.3">
      <c r="A2740" t="s">
        <v>1847</v>
      </c>
      <c r="B2740" t="s">
        <v>1855</v>
      </c>
      <c r="C2740">
        <v>102</v>
      </c>
      <c r="D2740" t="s">
        <v>1447</v>
      </c>
      <c r="E2740" t="s">
        <v>1858</v>
      </c>
      <c r="F2740" t="s">
        <v>1748</v>
      </c>
      <c r="H2740" s="165" t="str">
        <f>IF(ISBLANK('Q 5'!I304),"",IF('Q 5'!I304="&lt;please select&gt;","",'Q 5'!I304))</f>
        <v/>
      </c>
    </row>
    <row r="2741" spans="1:8" x14ac:dyDescent="0.3">
      <c r="A2741" t="s">
        <v>1847</v>
      </c>
      <c r="B2741" t="s">
        <v>1855</v>
      </c>
      <c r="C2741">
        <v>103</v>
      </c>
      <c r="D2741" t="s">
        <v>1447</v>
      </c>
      <c r="E2741" t="s">
        <v>1858</v>
      </c>
      <c r="F2741" t="s">
        <v>1748</v>
      </c>
      <c r="H2741" s="165" t="str">
        <f>IF(ISBLANK('Q 5'!I305),"",IF('Q 5'!I305="&lt;please select&gt;","",'Q 5'!I305))</f>
        <v/>
      </c>
    </row>
    <row r="2742" spans="1:8" x14ac:dyDescent="0.3">
      <c r="A2742" t="s">
        <v>1847</v>
      </c>
      <c r="B2742" t="s">
        <v>1855</v>
      </c>
      <c r="C2742">
        <v>104</v>
      </c>
      <c r="D2742" t="s">
        <v>1447</v>
      </c>
      <c r="E2742" t="s">
        <v>1858</v>
      </c>
      <c r="F2742" t="s">
        <v>1748</v>
      </c>
      <c r="H2742" s="165" t="str">
        <f>IF(ISBLANK('Q 5'!I306),"",IF('Q 5'!I306="&lt;please select&gt;","",'Q 5'!I306))</f>
        <v/>
      </c>
    </row>
    <row r="2743" spans="1:8" x14ac:dyDescent="0.3">
      <c r="A2743" t="s">
        <v>1847</v>
      </c>
      <c r="B2743" t="s">
        <v>1855</v>
      </c>
      <c r="C2743">
        <v>105</v>
      </c>
      <c r="D2743" t="s">
        <v>1447</v>
      </c>
      <c r="E2743" t="s">
        <v>1858</v>
      </c>
      <c r="F2743" t="s">
        <v>1748</v>
      </c>
      <c r="H2743" s="165" t="str">
        <f>IF(ISBLANK('Q 5'!I307),"",IF('Q 5'!I307="&lt;please select&gt;","",'Q 5'!I307))</f>
        <v/>
      </c>
    </row>
    <row r="2744" spans="1:8" x14ac:dyDescent="0.3">
      <c r="A2744" t="s">
        <v>1847</v>
      </c>
      <c r="B2744" t="s">
        <v>1855</v>
      </c>
      <c r="C2744">
        <v>106</v>
      </c>
      <c r="D2744" t="s">
        <v>1447</v>
      </c>
      <c r="E2744" t="s">
        <v>1858</v>
      </c>
      <c r="F2744" t="s">
        <v>1748</v>
      </c>
      <c r="H2744" s="165" t="str">
        <f>IF(ISBLANK('Q 5'!I308),"",IF('Q 5'!I308="&lt;please select&gt;","",'Q 5'!I308))</f>
        <v/>
      </c>
    </row>
    <row r="2745" spans="1:8" x14ac:dyDescent="0.3">
      <c r="A2745" t="s">
        <v>1847</v>
      </c>
      <c r="B2745" t="s">
        <v>1855</v>
      </c>
      <c r="C2745">
        <v>107</v>
      </c>
      <c r="D2745" t="s">
        <v>1447</v>
      </c>
      <c r="E2745" t="s">
        <v>1858</v>
      </c>
      <c r="F2745" t="s">
        <v>1748</v>
      </c>
      <c r="H2745" s="165" t="str">
        <f>IF(ISBLANK('Q 5'!I309),"",IF('Q 5'!I309="&lt;please select&gt;","",'Q 5'!I309))</f>
        <v/>
      </c>
    </row>
    <row r="2746" spans="1:8" x14ac:dyDescent="0.3">
      <c r="A2746" t="s">
        <v>1847</v>
      </c>
      <c r="B2746" t="s">
        <v>1855</v>
      </c>
      <c r="C2746">
        <v>108</v>
      </c>
      <c r="D2746" t="s">
        <v>1447</v>
      </c>
      <c r="E2746" t="s">
        <v>1858</v>
      </c>
      <c r="F2746" t="s">
        <v>1748</v>
      </c>
      <c r="H2746" s="165" t="str">
        <f>IF(ISBLANK('Q 5'!I310),"",IF('Q 5'!I310="&lt;please select&gt;","",'Q 5'!I310))</f>
        <v/>
      </c>
    </row>
    <row r="2747" spans="1:8" x14ac:dyDescent="0.3">
      <c r="A2747" t="s">
        <v>1847</v>
      </c>
      <c r="B2747" t="s">
        <v>1855</v>
      </c>
      <c r="C2747">
        <v>109</v>
      </c>
      <c r="D2747" t="s">
        <v>1447</v>
      </c>
      <c r="E2747" t="s">
        <v>1858</v>
      </c>
      <c r="F2747" t="s">
        <v>1748</v>
      </c>
      <c r="H2747" s="165" t="str">
        <f>IF(ISBLANK('Q 5'!I311),"",IF('Q 5'!I311="&lt;please select&gt;","",'Q 5'!I311))</f>
        <v/>
      </c>
    </row>
    <row r="2748" spans="1:8" x14ac:dyDescent="0.3">
      <c r="A2748" t="s">
        <v>1847</v>
      </c>
      <c r="B2748" t="s">
        <v>1855</v>
      </c>
      <c r="C2748">
        <v>110</v>
      </c>
      <c r="D2748" t="s">
        <v>1447</v>
      </c>
      <c r="E2748" t="s">
        <v>1858</v>
      </c>
      <c r="F2748" t="s">
        <v>1748</v>
      </c>
      <c r="H2748" s="165" t="str">
        <f>IF(ISBLANK('Q 5'!I312),"",IF('Q 5'!I312="&lt;please select&gt;","",'Q 5'!I312))</f>
        <v/>
      </c>
    </row>
    <row r="2749" spans="1:8" x14ac:dyDescent="0.3">
      <c r="A2749" t="s">
        <v>1847</v>
      </c>
      <c r="B2749" t="s">
        <v>1855</v>
      </c>
      <c r="C2749">
        <v>111</v>
      </c>
      <c r="D2749" t="s">
        <v>1447</v>
      </c>
      <c r="E2749" t="s">
        <v>1858</v>
      </c>
      <c r="F2749" t="s">
        <v>1748</v>
      </c>
      <c r="H2749" s="165" t="str">
        <f>IF(ISBLANK('Q 5'!I313),"",IF('Q 5'!I313="&lt;please select&gt;","",'Q 5'!I313))</f>
        <v/>
      </c>
    </row>
    <row r="2750" spans="1:8" x14ac:dyDescent="0.3">
      <c r="A2750" t="s">
        <v>1847</v>
      </c>
      <c r="B2750" t="s">
        <v>1855</v>
      </c>
      <c r="C2750">
        <v>112</v>
      </c>
      <c r="D2750" t="s">
        <v>1447</v>
      </c>
      <c r="E2750" t="s">
        <v>1858</v>
      </c>
      <c r="F2750" t="s">
        <v>1748</v>
      </c>
      <c r="H2750" s="165" t="str">
        <f>IF(ISBLANK('Q 5'!I314),"",IF('Q 5'!I314="&lt;please select&gt;","",'Q 5'!I314))</f>
        <v/>
      </c>
    </row>
    <row r="2751" spans="1:8" x14ac:dyDescent="0.3">
      <c r="A2751" t="s">
        <v>1847</v>
      </c>
      <c r="B2751" t="s">
        <v>1855</v>
      </c>
      <c r="C2751">
        <v>113</v>
      </c>
      <c r="D2751" t="s">
        <v>1447</v>
      </c>
      <c r="E2751" t="s">
        <v>1858</v>
      </c>
      <c r="F2751" t="s">
        <v>1748</v>
      </c>
      <c r="H2751" s="165" t="str">
        <f>IF(ISBLANK('Q 5'!I315),"",IF('Q 5'!I315="&lt;please select&gt;","",'Q 5'!I315))</f>
        <v/>
      </c>
    </row>
    <row r="2752" spans="1:8" x14ac:dyDescent="0.3">
      <c r="A2752" t="s">
        <v>1847</v>
      </c>
      <c r="B2752" t="s">
        <v>1855</v>
      </c>
      <c r="C2752">
        <v>114</v>
      </c>
      <c r="D2752" t="s">
        <v>1447</v>
      </c>
      <c r="E2752" t="s">
        <v>1858</v>
      </c>
      <c r="F2752" t="s">
        <v>1748</v>
      </c>
      <c r="H2752" s="165" t="str">
        <f>IF(ISBLANK('Q 5'!I316),"",IF('Q 5'!I316="&lt;please select&gt;","",'Q 5'!I316))</f>
        <v/>
      </c>
    </row>
    <row r="2753" spans="1:8" x14ac:dyDescent="0.3">
      <c r="A2753" t="s">
        <v>1847</v>
      </c>
      <c r="B2753" t="s">
        <v>1855</v>
      </c>
      <c r="C2753">
        <v>115</v>
      </c>
      <c r="D2753" t="s">
        <v>1447</v>
      </c>
      <c r="E2753" t="s">
        <v>1858</v>
      </c>
      <c r="F2753" t="s">
        <v>1748</v>
      </c>
      <c r="H2753" s="165" t="str">
        <f>IF(ISBLANK('Q 5'!I317),"",IF('Q 5'!I317="&lt;please select&gt;","",'Q 5'!I317))</f>
        <v/>
      </c>
    </row>
    <row r="2754" spans="1:8" x14ac:dyDescent="0.3">
      <c r="A2754" t="s">
        <v>1847</v>
      </c>
      <c r="B2754" t="s">
        <v>1855</v>
      </c>
      <c r="C2754">
        <v>116</v>
      </c>
      <c r="D2754" t="s">
        <v>1447</v>
      </c>
      <c r="E2754" t="s">
        <v>1858</v>
      </c>
      <c r="F2754" t="s">
        <v>1748</v>
      </c>
      <c r="H2754" s="165" t="str">
        <f>IF(ISBLANK('Q 5'!I318),"",IF('Q 5'!I318="&lt;please select&gt;","",'Q 5'!I318))</f>
        <v/>
      </c>
    </row>
    <row r="2755" spans="1:8" x14ac:dyDescent="0.3">
      <c r="A2755" t="s">
        <v>1847</v>
      </c>
      <c r="B2755" t="s">
        <v>1855</v>
      </c>
      <c r="C2755">
        <v>117</v>
      </c>
      <c r="D2755" t="s">
        <v>1447</v>
      </c>
      <c r="E2755" t="s">
        <v>1858</v>
      </c>
      <c r="F2755" t="s">
        <v>1748</v>
      </c>
      <c r="H2755" s="165" t="str">
        <f>IF(ISBLANK('Q 5'!I319),"",IF('Q 5'!I319="&lt;please select&gt;","",'Q 5'!I319))</f>
        <v/>
      </c>
    </row>
    <row r="2756" spans="1:8" x14ac:dyDescent="0.3">
      <c r="A2756" t="s">
        <v>1847</v>
      </c>
      <c r="B2756" t="s">
        <v>1855</v>
      </c>
      <c r="C2756">
        <v>118</v>
      </c>
      <c r="D2756" t="s">
        <v>1447</v>
      </c>
      <c r="E2756" t="s">
        <v>1858</v>
      </c>
      <c r="F2756" t="s">
        <v>1748</v>
      </c>
      <c r="H2756" s="165" t="str">
        <f>IF(ISBLANK('Q 5'!I320),"",IF('Q 5'!I320="&lt;please select&gt;","",'Q 5'!I320))</f>
        <v/>
      </c>
    </row>
    <row r="2757" spans="1:8" x14ac:dyDescent="0.3">
      <c r="A2757" t="s">
        <v>1847</v>
      </c>
      <c r="B2757" t="s">
        <v>1855</v>
      </c>
      <c r="C2757">
        <v>119</v>
      </c>
      <c r="D2757" t="s">
        <v>1447</v>
      </c>
      <c r="E2757" t="s">
        <v>1858</v>
      </c>
      <c r="F2757" t="s">
        <v>1748</v>
      </c>
      <c r="H2757" s="165" t="str">
        <f>IF(ISBLANK('Q 5'!I321),"",IF('Q 5'!I321="&lt;please select&gt;","",'Q 5'!I321))</f>
        <v/>
      </c>
    </row>
    <row r="2758" spans="1:8" x14ac:dyDescent="0.3">
      <c r="A2758" t="s">
        <v>1847</v>
      </c>
      <c r="B2758" t="s">
        <v>1855</v>
      </c>
      <c r="C2758">
        <v>120</v>
      </c>
      <c r="D2758" t="s">
        <v>1447</v>
      </c>
      <c r="E2758" t="s">
        <v>1858</v>
      </c>
      <c r="F2758" t="s">
        <v>1748</v>
      </c>
      <c r="H2758" s="165" t="str">
        <f>IF(ISBLANK('Q 5'!I322),"",IF('Q 5'!I322="&lt;please select&gt;","",'Q 5'!I322))</f>
        <v/>
      </c>
    </row>
    <row r="2759" spans="1:8" x14ac:dyDescent="0.3">
      <c r="A2759" t="s">
        <v>1847</v>
      </c>
      <c r="B2759" t="s">
        <v>1855</v>
      </c>
      <c r="C2759">
        <v>121</v>
      </c>
      <c r="D2759" t="s">
        <v>1447</v>
      </c>
      <c r="E2759" t="s">
        <v>1858</v>
      </c>
      <c r="F2759" t="s">
        <v>1748</v>
      </c>
      <c r="H2759" s="165" t="str">
        <f>IF(ISBLANK('Q 5'!I323),"",IF('Q 5'!I323="&lt;please select&gt;","",'Q 5'!I323))</f>
        <v/>
      </c>
    </row>
    <row r="2760" spans="1:8" x14ac:dyDescent="0.3">
      <c r="A2760" t="s">
        <v>1847</v>
      </c>
      <c r="B2760" t="s">
        <v>1855</v>
      </c>
      <c r="C2760">
        <v>122</v>
      </c>
      <c r="D2760" t="s">
        <v>1447</v>
      </c>
      <c r="E2760" t="s">
        <v>1858</v>
      </c>
      <c r="F2760" t="s">
        <v>1748</v>
      </c>
      <c r="H2760" s="165" t="str">
        <f>IF(ISBLANK('Q 5'!I324),"",IF('Q 5'!I324="&lt;please select&gt;","",'Q 5'!I324))</f>
        <v/>
      </c>
    </row>
    <row r="2761" spans="1:8" x14ac:dyDescent="0.3">
      <c r="A2761" t="s">
        <v>1847</v>
      </c>
      <c r="B2761" t="s">
        <v>1855</v>
      </c>
      <c r="C2761">
        <v>123</v>
      </c>
      <c r="D2761" t="s">
        <v>1447</v>
      </c>
      <c r="E2761" t="s">
        <v>1858</v>
      </c>
      <c r="F2761" t="s">
        <v>1748</v>
      </c>
      <c r="H2761" s="165" t="str">
        <f>IF(ISBLANK('Q 5'!I325),"",IF('Q 5'!I325="&lt;please select&gt;","",'Q 5'!I325))</f>
        <v/>
      </c>
    </row>
    <row r="2762" spans="1:8" x14ac:dyDescent="0.3">
      <c r="A2762" t="s">
        <v>1847</v>
      </c>
      <c r="B2762" t="s">
        <v>1855</v>
      </c>
      <c r="C2762">
        <v>124</v>
      </c>
      <c r="D2762" t="s">
        <v>1447</v>
      </c>
      <c r="E2762" t="s">
        <v>1858</v>
      </c>
      <c r="F2762" t="s">
        <v>1748</v>
      </c>
      <c r="H2762" s="165" t="str">
        <f>IF(ISBLANK('Q 5'!I326),"",IF('Q 5'!I326="&lt;please select&gt;","",'Q 5'!I326))</f>
        <v/>
      </c>
    </row>
    <row r="2763" spans="1:8" x14ac:dyDescent="0.3">
      <c r="A2763" t="s">
        <v>1847</v>
      </c>
      <c r="B2763" t="s">
        <v>1855</v>
      </c>
      <c r="C2763">
        <v>125</v>
      </c>
      <c r="D2763" t="s">
        <v>1447</v>
      </c>
      <c r="E2763" t="s">
        <v>1858</v>
      </c>
      <c r="F2763" t="s">
        <v>1748</v>
      </c>
      <c r="H2763" s="165" t="str">
        <f>IF(ISBLANK('Q 5'!I327),"",IF('Q 5'!I327="&lt;please select&gt;","",'Q 5'!I327))</f>
        <v/>
      </c>
    </row>
    <row r="2764" spans="1:8" x14ac:dyDescent="0.3">
      <c r="A2764" t="s">
        <v>1847</v>
      </c>
      <c r="B2764" t="s">
        <v>1855</v>
      </c>
      <c r="C2764">
        <v>126</v>
      </c>
      <c r="D2764" t="s">
        <v>1447</v>
      </c>
      <c r="E2764" t="s">
        <v>1858</v>
      </c>
      <c r="F2764" t="s">
        <v>1748</v>
      </c>
      <c r="H2764" s="165" t="str">
        <f>IF(ISBLANK('Q 5'!I328),"",IF('Q 5'!I328="&lt;please select&gt;","",'Q 5'!I328))</f>
        <v/>
      </c>
    </row>
    <row r="2765" spans="1:8" x14ac:dyDescent="0.3">
      <c r="A2765" t="s">
        <v>1847</v>
      </c>
      <c r="B2765" t="s">
        <v>1855</v>
      </c>
      <c r="C2765">
        <v>127</v>
      </c>
      <c r="D2765" t="s">
        <v>1447</v>
      </c>
      <c r="E2765" t="s">
        <v>1858</v>
      </c>
      <c r="F2765" t="s">
        <v>1748</v>
      </c>
      <c r="H2765" s="165" t="str">
        <f>IF(ISBLANK('Q 5'!I329),"",IF('Q 5'!I329="&lt;please select&gt;","",'Q 5'!I329))</f>
        <v/>
      </c>
    </row>
    <row r="2766" spans="1:8" x14ac:dyDescent="0.3">
      <c r="A2766" t="s">
        <v>1847</v>
      </c>
      <c r="B2766" t="s">
        <v>1855</v>
      </c>
      <c r="C2766">
        <v>128</v>
      </c>
      <c r="D2766" t="s">
        <v>1447</v>
      </c>
      <c r="E2766" t="s">
        <v>1858</v>
      </c>
      <c r="F2766" t="s">
        <v>1748</v>
      </c>
      <c r="H2766" s="165" t="str">
        <f>IF(ISBLANK('Q 5'!I330),"",IF('Q 5'!I330="&lt;please select&gt;","",'Q 5'!I330))</f>
        <v/>
      </c>
    </row>
    <row r="2767" spans="1:8" x14ac:dyDescent="0.3">
      <c r="A2767" t="s">
        <v>1847</v>
      </c>
      <c r="B2767" t="s">
        <v>1855</v>
      </c>
      <c r="C2767">
        <v>129</v>
      </c>
      <c r="D2767" t="s">
        <v>1447</v>
      </c>
      <c r="E2767" t="s">
        <v>1858</v>
      </c>
      <c r="F2767" t="s">
        <v>1748</v>
      </c>
      <c r="H2767" s="165" t="str">
        <f>IF(ISBLANK('Q 5'!I331),"",IF('Q 5'!I331="&lt;please select&gt;","",'Q 5'!I331))</f>
        <v/>
      </c>
    </row>
    <row r="2768" spans="1:8" x14ac:dyDescent="0.3">
      <c r="A2768" t="s">
        <v>1847</v>
      </c>
      <c r="B2768" t="s">
        <v>1855</v>
      </c>
      <c r="C2768">
        <v>130</v>
      </c>
      <c r="D2768" t="s">
        <v>1447</v>
      </c>
      <c r="E2768" t="s">
        <v>1858</v>
      </c>
      <c r="F2768" t="s">
        <v>1748</v>
      </c>
      <c r="H2768" s="165" t="str">
        <f>IF(ISBLANK('Q 5'!I332),"",IF('Q 5'!I332="&lt;please select&gt;","",'Q 5'!I332))</f>
        <v/>
      </c>
    </row>
    <row r="2769" spans="1:8" x14ac:dyDescent="0.3">
      <c r="A2769" t="s">
        <v>1847</v>
      </c>
      <c r="B2769" t="s">
        <v>1855</v>
      </c>
      <c r="C2769">
        <v>131</v>
      </c>
      <c r="D2769" t="s">
        <v>1447</v>
      </c>
      <c r="E2769" t="s">
        <v>1858</v>
      </c>
      <c r="F2769" t="s">
        <v>1748</v>
      </c>
      <c r="H2769" s="165" t="str">
        <f>IF(ISBLANK('Q 5'!I333),"",IF('Q 5'!I333="&lt;please select&gt;","",'Q 5'!I333))</f>
        <v/>
      </c>
    </row>
    <row r="2770" spans="1:8" x14ac:dyDescent="0.3">
      <c r="A2770" t="s">
        <v>1847</v>
      </c>
      <c r="B2770" t="s">
        <v>1855</v>
      </c>
      <c r="C2770">
        <v>132</v>
      </c>
      <c r="D2770" t="s">
        <v>1447</v>
      </c>
      <c r="E2770" t="s">
        <v>1858</v>
      </c>
      <c r="F2770" t="s">
        <v>1748</v>
      </c>
      <c r="H2770" s="165" t="str">
        <f>IF(ISBLANK('Q 5'!I334),"",IF('Q 5'!I334="&lt;please select&gt;","",'Q 5'!I334))</f>
        <v/>
      </c>
    </row>
    <row r="2771" spans="1:8" x14ac:dyDescent="0.3">
      <c r="A2771" t="s">
        <v>1847</v>
      </c>
      <c r="B2771" t="s">
        <v>1855</v>
      </c>
      <c r="C2771">
        <v>133</v>
      </c>
      <c r="D2771" t="s">
        <v>1447</v>
      </c>
      <c r="E2771" t="s">
        <v>1858</v>
      </c>
      <c r="F2771" t="s">
        <v>1748</v>
      </c>
      <c r="H2771" s="165" t="str">
        <f>IF(ISBLANK('Q 5'!I335),"",IF('Q 5'!I335="&lt;please select&gt;","",'Q 5'!I335))</f>
        <v/>
      </c>
    </row>
    <row r="2772" spans="1:8" x14ac:dyDescent="0.3">
      <c r="A2772" t="s">
        <v>1847</v>
      </c>
      <c r="B2772" t="s">
        <v>1855</v>
      </c>
      <c r="C2772">
        <v>134</v>
      </c>
      <c r="D2772" t="s">
        <v>1447</v>
      </c>
      <c r="E2772" t="s">
        <v>1858</v>
      </c>
      <c r="F2772" t="s">
        <v>1748</v>
      </c>
      <c r="H2772" s="165" t="str">
        <f>IF(ISBLANK('Q 5'!I336),"",IF('Q 5'!I336="&lt;please select&gt;","",'Q 5'!I336))</f>
        <v/>
      </c>
    </row>
    <row r="2773" spans="1:8" x14ac:dyDescent="0.3">
      <c r="A2773" t="s">
        <v>1847</v>
      </c>
      <c r="B2773" t="s">
        <v>1855</v>
      </c>
      <c r="C2773">
        <v>135</v>
      </c>
      <c r="D2773" t="s">
        <v>1447</v>
      </c>
      <c r="E2773" t="s">
        <v>1858</v>
      </c>
      <c r="F2773" t="s">
        <v>1748</v>
      </c>
      <c r="H2773" s="165" t="str">
        <f>IF(ISBLANK('Q 5'!I337),"",IF('Q 5'!I337="&lt;please select&gt;","",'Q 5'!I337))</f>
        <v/>
      </c>
    </row>
    <row r="2774" spans="1:8" x14ac:dyDescent="0.3">
      <c r="A2774" t="s">
        <v>1847</v>
      </c>
      <c r="B2774" t="s">
        <v>1855</v>
      </c>
      <c r="C2774">
        <v>136</v>
      </c>
      <c r="D2774" t="s">
        <v>1447</v>
      </c>
      <c r="E2774" t="s">
        <v>1858</v>
      </c>
      <c r="F2774" t="s">
        <v>1748</v>
      </c>
      <c r="H2774" s="165" t="str">
        <f>IF(ISBLANK('Q 5'!I338),"",IF('Q 5'!I338="&lt;please select&gt;","",'Q 5'!I338))</f>
        <v/>
      </c>
    </row>
    <row r="2775" spans="1:8" x14ac:dyDescent="0.3">
      <c r="A2775" t="s">
        <v>1847</v>
      </c>
      <c r="B2775" t="s">
        <v>1855</v>
      </c>
      <c r="C2775">
        <v>137</v>
      </c>
      <c r="D2775" t="s">
        <v>1447</v>
      </c>
      <c r="E2775" t="s">
        <v>1858</v>
      </c>
      <c r="F2775" t="s">
        <v>1748</v>
      </c>
      <c r="H2775" s="165" t="str">
        <f>IF(ISBLANK('Q 5'!I339),"",IF('Q 5'!I339="&lt;please select&gt;","",'Q 5'!I339))</f>
        <v/>
      </c>
    </row>
    <row r="2776" spans="1:8" x14ac:dyDescent="0.3">
      <c r="A2776" t="s">
        <v>1847</v>
      </c>
      <c r="B2776" t="s">
        <v>1855</v>
      </c>
      <c r="C2776">
        <v>138</v>
      </c>
      <c r="D2776" t="s">
        <v>1447</v>
      </c>
      <c r="E2776" t="s">
        <v>1858</v>
      </c>
      <c r="F2776" t="s">
        <v>1748</v>
      </c>
      <c r="H2776" s="165" t="str">
        <f>IF(ISBLANK('Q 5'!I340),"",IF('Q 5'!I340="&lt;please select&gt;","",'Q 5'!I340))</f>
        <v/>
      </c>
    </row>
    <row r="2777" spans="1:8" x14ac:dyDescent="0.3">
      <c r="A2777" t="s">
        <v>1847</v>
      </c>
      <c r="B2777" t="s">
        <v>1855</v>
      </c>
      <c r="C2777">
        <v>139</v>
      </c>
      <c r="D2777" t="s">
        <v>1447</v>
      </c>
      <c r="E2777" t="s">
        <v>1858</v>
      </c>
      <c r="F2777" t="s">
        <v>1748</v>
      </c>
      <c r="H2777" s="165" t="str">
        <f>IF(ISBLANK('Q 5'!I341),"",IF('Q 5'!I341="&lt;please select&gt;","",'Q 5'!I341))</f>
        <v/>
      </c>
    </row>
    <row r="2778" spans="1:8" x14ac:dyDescent="0.3">
      <c r="A2778" t="s">
        <v>1847</v>
      </c>
      <c r="B2778" t="s">
        <v>1855</v>
      </c>
      <c r="C2778">
        <v>140</v>
      </c>
      <c r="D2778" t="s">
        <v>1447</v>
      </c>
      <c r="E2778" t="s">
        <v>1858</v>
      </c>
      <c r="F2778" t="s">
        <v>1748</v>
      </c>
      <c r="H2778" s="165" t="str">
        <f>IF(ISBLANK('Q 5'!I342),"",IF('Q 5'!I342="&lt;please select&gt;","",'Q 5'!I342))</f>
        <v/>
      </c>
    </row>
    <row r="2779" spans="1:8" x14ac:dyDescent="0.3">
      <c r="A2779" t="s">
        <v>1847</v>
      </c>
      <c r="B2779" t="s">
        <v>1855</v>
      </c>
      <c r="C2779">
        <v>141</v>
      </c>
      <c r="D2779" t="s">
        <v>1447</v>
      </c>
      <c r="E2779" t="s">
        <v>1858</v>
      </c>
      <c r="F2779" t="s">
        <v>1748</v>
      </c>
      <c r="H2779" s="165" t="str">
        <f>IF(ISBLANK('Q 5'!I343),"",IF('Q 5'!I343="&lt;please select&gt;","",'Q 5'!I343))</f>
        <v/>
      </c>
    </row>
    <row r="2780" spans="1:8" x14ac:dyDescent="0.3">
      <c r="A2780" t="s">
        <v>1847</v>
      </c>
      <c r="B2780" t="s">
        <v>1855</v>
      </c>
      <c r="C2780">
        <v>142</v>
      </c>
      <c r="D2780" t="s">
        <v>1447</v>
      </c>
      <c r="E2780" t="s">
        <v>1858</v>
      </c>
      <c r="F2780" t="s">
        <v>1748</v>
      </c>
      <c r="H2780" s="165" t="str">
        <f>IF(ISBLANK('Q 5'!I344),"",IF('Q 5'!I344="&lt;please select&gt;","",'Q 5'!I344))</f>
        <v/>
      </c>
    </row>
    <row r="2781" spans="1:8" x14ac:dyDescent="0.3">
      <c r="A2781" t="s">
        <v>1847</v>
      </c>
      <c r="B2781" t="s">
        <v>1855</v>
      </c>
      <c r="C2781">
        <v>143</v>
      </c>
      <c r="D2781" t="s">
        <v>1447</v>
      </c>
      <c r="E2781" t="s">
        <v>1858</v>
      </c>
      <c r="F2781" t="s">
        <v>1748</v>
      </c>
      <c r="H2781" s="165" t="str">
        <f>IF(ISBLANK('Q 5'!I345),"",IF('Q 5'!I345="&lt;please select&gt;","",'Q 5'!I345))</f>
        <v/>
      </c>
    </row>
    <row r="2782" spans="1:8" x14ac:dyDescent="0.3">
      <c r="A2782" t="s">
        <v>1847</v>
      </c>
      <c r="B2782" t="s">
        <v>1855</v>
      </c>
      <c r="C2782">
        <v>144</v>
      </c>
      <c r="D2782" t="s">
        <v>1447</v>
      </c>
      <c r="E2782" t="s">
        <v>1858</v>
      </c>
      <c r="F2782" t="s">
        <v>1748</v>
      </c>
      <c r="H2782" s="165" t="str">
        <f>IF(ISBLANK('Q 5'!I346),"",IF('Q 5'!I346="&lt;please select&gt;","",'Q 5'!I346))</f>
        <v/>
      </c>
    </row>
    <row r="2783" spans="1:8" x14ac:dyDescent="0.3">
      <c r="A2783" t="s">
        <v>1847</v>
      </c>
      <c r="B2783" t="s">
        <v>1855</v>
      </c>
      <c r="C2783">
        <v>145</v>
      </c>
      <c r="D2783" t="s">
        <v>1447</v>
      </c>
      <c r="E2783" t="s">
        <v>1858</v>
      </c>
      <c r="F2783" t="s">
        <v>1748</v>
      </c>
      <c r="H2783" s="165" t="str">
        <f>IF(ISBLANK('Q 5'!I347),"",IF('Q 5'!I347="&lt;please select&gt;","",'Q 5'!I347))</f>
        <v/>
      </c>
    </row>
    <row r="2784" spans="1:8" x14ac:dyDescent="0.3">
      <c r="A2784" t="s">
        <v>1847</v>
      </c>
      <c r="B2784" t="s">
        <v>1855</v>
      </c>
      <c r="C2784">
        <v>146</v>
      </c>
      <c r="D2784" t="s">
        <v>1447</v>
      </c>
      <c r="E2784" t="s">
        <v>1858</v>
      </c>
      <c r="F2784" t="s">
        <v>1748</v>
      </c>
      <c r="H2784" s="165" t="str">
        <f>IF(ISBLANK('Q 5'!I348),"",IF('Q 5'!I348="&lt;please select&gt;","",'Q 5'!I348))</f>
        <v/>
      </c>
    </row>
    <row r="2785" spans="1:8" x14ac:dyDescent="0.3">
      <c r="A2785" t="s">
        <v>1847</v>
      </c>
      <c r="B2785" t="s">
        <v>1855</v>
      </c>
      <c r="C2785">
        <v>147</v>
      </c>
      <c r="D2785" t="s">
        <v>1447</v>
      </c>
      <c r="E2785" t="s">
        <v>1858</v>
      </c>
      <c r="F2785" t="s">
        <v>1748</v>
      </c>
      <c r="H2785" s="165" t="str">
        <f>IF(ISBLANK('Q 5'!I349),"",IF('Q 5'!I349="&lt;please select&gt;","",'Q 5'!I349))</f>
        <v/>
      </c>
    </row>
    <row r="2786" spans="1:8" x14ac:dyDescent="0.3">
      <c r="A2786" t="s">
        <v>1847</v>
      </c>
      <c r="B2786" t="s">
        <v>1855</v>
      </c>
      <c r="C2786">
        <v>148</v>
      </c>
      <c r="D2786" t="s">
        <v>1447</v>
      </c>
      <c r="E2786" t="s">
        <v>1858</v>
      </c>
      <c r="F2786" t="s">
        <v>1748</v>
      </c>
      <c r="H2786" s="165" t="str">
        <f>IF(ISBLANK('Q 5'!I350),"",IF('Q 5'!I350="&lt;please select&gt;","",'Q 5'!I350))</f>
        <v/>
      </c>
    </row>
    <row r="2787" spans="1:8" x14ac:dyDescent="0.3">
      <c r="A2787" t="s">
        <v>1847</v>
      </c>
      <c r="B2787" t="s">
        <v>1855</v>
      </c>
      <c r="C2787">
        <v>149</v>
      </c>
      <c r="D2787" t="s">
        <v>1447</v>
      </c>
      <c r="E2787" t="s">
        <v>1858</v>
      </c>
      <c r="F2787" t="s">
        <v>1748</v>
      </c>
      <c r="H2787" s="165" t="str">
        <f>IF(ISBLANK('Q 5'!I351),"",IF('Q 5'!I351="&lt;please select&gt;","",'Q 5'!I351))</f>
        <v/>
      </c>
    </row>
    <row r="2788" spans="1:8" x14ac:dyDescent="0.3">
      <c r="A2788" t="s">
        <v>1847</v>
      </c>
      <c r="B2788" t="s">
        <v>1855</v>
      </c>
      <c r="C2788">
        <v>150</v>
      </c>
      <c r="D2788" t="s">
        <v>1447</v>
      </c>
      <c r="E2788" t="s">
        <v>1858</v>
      </c>
      <c r="F2788" t="s">
        <v>1748</v>
      </c>
      <c r="H2788" s="165" t="str">
        <f>IF(ISBLANK('Q 5'!I352),"",IF('Q 5'!I352="&lt;please select&gt;","",'Q 5'!I352))</f>
        <v/>
      </c>
    </row>
    <row r="2789" spans="1:8" x14ac:dyDescent="0.3">
      <c r="A2789" t="s">
        <v>1847</v>
      </c>
      <c r="B2789" t="s">
        <v>1855</v>
      </c>
      <c r="C2789">
        <v>151</v>
      </c>
      <c r="D2789" t="s">
        <v>1447</v>
      </c>
      <c r="E2789" t="s">
        <v>1858</v>
      </c>
      <c r="F2789" t="s">
        <v>1748</v>
      </c>
      <c r="H2789" s="165" t="str">
        <f>IF(ISBLANK('Q 5'!I353),"",IF('Q 5'!I353="&lt;please select&gt;","",'Q 5'!I353))</f>
        <v/>
      </c>
    </row>
    <row r="2790" spans="1:8" x14ac:dyDescent="0.3">
      <c r="A2790" t="s">
        <v>1847</v>
      </c>
      <c r="B2790" t="s">
        <v>1855</v>
      </c>
      <c r="C2790">
        <v>152</v>
      </c>
      <c r="D2790" t="s">
        <v>1447</v>
      </c>
      <c r="E2790" t="s">
        <v>1858</v>
      </c>
      <c r="F2790" t="s">
        <v>1748</v>
      </c>
      <c r="H2790" s="165" t="str">
        <f>IF(ISBLANK('Q 5'!I354),"",IF('Q 5'!I354="&lt;please select&gt;","",'Q 5'!I354))</f>
        <v/>
      </c>
    </row>
    <row r="2791" spans="1:8" x14ac:dyDescent="0.3">
      <c r="A2791" t="s">
        <v>1847</v>
      </c>
      <c r="B2791" t="s">
        <v>1855</v>
      </c>
      <c r="C2791">
        <v>153</v>
      </c>
      <c r="D2791" t="s">
        <v>1447</v>
      </c>
      <c r="E2791" t="s">
        <v>1858</v>
      </c>
      <c r="F2791" t="s">
        <v>1748</v>
      </c>
      <c r="H2791" s="165" t="str">
        <f>IF(ISBLANK('Q 5'!I355),"",IF('Q 5'!I355="&lt;please select&gt;","",'Q 5'!I355))</f>
        <v/>
      </c>
    </row>
    <row r="2792" spans="1:8" x14ac:dyDescent="0.3">
      <c r="A2792" t="s">
        <v>1847</v>
      </c>
      <c r="B2792" t="s">
        <v>1855</v>
      </c>
      <c r="C2792">
        <v>154</v>
      </c>
      <c r="D2792" t="s">
        <v>1447</v>
      </c>
      <c r="E2792" t="s">
        <v>1858</v>
      </c>
      <c r="F2792" t="s">
        <v>1748</v>
      </c>
      <c r="H2792" s="165" t="str">
        <f>IF(ISBLANK('Q 5'!I356),"",IF('Q 5'!I356="&lt;please select&gt;","",'Q 5'!I356))</f>
        <v/>
      </c>
    </row>
    <row r="2793" spans="1:8" x14ac:dyDescent="0.3">
      <c r="A2793" t="s">
        <v>1847</v>
      </c>
      <c r="B2793" t="s">
        <v>1855</v>
      </c>
      <c r="C2793">
        <v>155</v>
      </c>
      <c r="D2793" t="s">
        <v>1447</v>
      </c>
      <c r="E2793" t="s">
        <v>1858</v>
      </c>
      <c r="F2793" t="s">
        <v>1748</v>
      </c>
      <c r="H2793" s="165" t="str">
        <f>IF(ISBLANK('Q 5'!I357),"",IF('Q 5'!I357="&lt;please select&gt;","",'Q 5'!I357))</f>
        <v/>
      </c>
    </row>
    <row r="2794" spans="1:8" x14ac:dyDescent="0.3">
      <c r="A2794" t="s">
        <v>1847</v>
      </c>
      <c r="B2794" t="s">
        <v>1855</v>
      </c>
      <c r="C2794">
        <v>156</v>
      </c>
      <c r="D2794" t="s">
        <v>1447</v>
      </c>
      <c r="E2794" t="s">
        <v>1858</v>
      </c>
      <c r="F2794" t="s">
        <v>1748</v>
      </c>
      <c r="H2794" s="165" t="str">
        <f>IF(ISBLANK('Q 5'!I358),"",IF('Q 5'!I358="&lt;please select&gt;","",'Q 5'!I358))</f>
        <v/>
      </c>
    </row>
    <row r="2795" spans="1:8" x14ac:dyDescent="0.3">
      <c r="A2795" t="s">
        <v>1847</v>
      </c>
      <c r="B2795" t="s">
        <v>1855</v>
      </c>
      <c r="C2795">
        <v>157</v>
      </c>
      <c r="D2795" t="s">
        <v>1447</v>
      </c>
      <c r="E2795" t="s">
        <v>1858</v>
      </c>
      <c r="F2795" t="s">
        <v>1748</v>
      </c>
      <c r="H2795" s="165" t="str">
        <f>IF(ISBLANK('Q 5'!I359),"",IF('Q 5'!I359="&lt;please select&gt;","",'Q 5'!I359))</f>
        <v/>
      </c>
    </row>
    <row r="2796" spans="1:8" x14ac:dyDescent="0.3">
      <c r="A2796" t="s">
        <v>1847</v>
      </c>
      <c r="B2796" t="s">
        <v>1855</v>
      </c>
      <c r="C2796">
        <v>158</v>
      </c>
      <c r="D2796" t="s">
        <v>1447</v>
      </c>
      <c r="E2796" t="s">
        <v>1858</v>
      </c>
      <c r="F2796" t="s">
        <v>1748</v>
      </c>
      <c r="H2796" s="165" t="str">
        <f>IF(ISBLANK('Q 5'!I360),"",IF('Q 5'!I360="&lt;please select&gt;","",'Q 5'!I360))</f>
        <v/>
      </c>
    </row>
    <row r="2797" spans="1:8" x14ac:dyDescent="0.3">
      <c r="A2797" t="s">
        <v>1847</v>
      </c>
      <c r="B2797" t="s">
        <v>1855</v>
      </c>
      <c r="C2797">
        <v>159</v>
      </c>
      <c r="D2797" t="s">
        <v>1447</v>
      </c>
      <c r="E2797" t="s">
        <v>1858</v>
      </c>
      <c r="F2797" t="s">
        <v>1748</v>
      </c>
      <c r="H2797" s="165" t="str">
        <f>IF(ISBLANK('Q 5'!I361),"",IF('Q 5'!I361="&lt;please select&gt;","",'Q 5'!I361))</f>
        <v/>
      </c>
    </row>
    <row r="2798" spans="1:8" x14ac:dyDescent="0.3">
      <c r="A2798" t="s">
        <v>1847</v>
      </c>
      <c r="B2798" t="s">
        <v>1855</v>
      </c>
      <c r="C2798">
        <v>160</v>
      </c>
      <c r="D2798" t="s">
        <v>1447</v>
      </c>
      <c r="E2798" t="s">
        <v>1858</v>
      </c>
      <c r="F2798" t="s">
        <v>1748</v>
      </c>
      <c r="H2798" s="165" t="str">
        <f>IF(ISBLANK('Q 5'!I362),"",IF('Q 5'!I362="&lt;please select&gt;","",'Q 5'!I362))</f>
        <v/>
      </c>
    </row>
    <row r="2799" spans="1:8" x14ac:dyDescent="0.3">
      <c r="A2799" t="s">
        <v>1847</v>
      </c>
      <c r="B2799" t="s">
        <v>1855</v>
      </c>
      <c r="C2799">
        <v>161</v>
      </c>
      <c r="D2799" t="s">
        <v>1447</v>
      </c>
      <c r="E2799" t="s">
        <v>1858</v>
      </c>
      <c r="F2799" t="s">
        <v>1748</v>
      </c>
      <c r="H2799" s="165" t="str">
        <f>IF(ISBLANK('Q 5'!I363),"",IF('Q 5'!I363="&lt;please select&gt;","",'Q 5'!I363))</f>
        <v/>
      </c>
    </row>
    <row r="2800" spans="1:8" x14ac:dyDescent="0.3">
      <c r="A2800" t="s">
        <v>1847</v>
      </c>
      <c r="B2800" t="s">
        <v>1855</v>
      </c>
      <c r="C2800">
        <v>162</v>
      </c>
      <c r="D2800" t="s">
        <v>1447</v>
      </c>
      <c r="E2800" t="s">
        <v>1858</v>
      </c>
      <c r="F2800" t="s">
        <v>1748</v>
      </c>
      <c r="H2800" s="165" t="str">
        <f>IF(ISBLANK('Q 5'!I364),"",IF('Q 5'!I364="&lt;please select&gt;","",'Q 5'!I364))</f>
        <v/>
      </c>
    </row>
    <row r="2801" spans="1:8" x14ac:dyDescent="0.3">
      <c r="A2801" t="s">
        <v>1847</v>
      </c>
      <c r="B2801" t="s">
        <v>1855</v>
      </c>
      <c r="C2801">
        <v>163</v>
      </c>
      <c r="D2801" t="s">
        <v>1447</v>
      </c>
      <c r="E2801" t="s">
        <v>1858</v>
      </c>
      <c r="F2801" t="s">
        <v>1748</v>
      </c>
      <c r="H2801" s="165" t="str">
        <f>IF(ISBLANK('Q 5'!I365),"",IF('Q 5'!I365="&lt;please select&gt;","",'Q 5'!I365))</f>
        <v/>
      </c>
    </row>
    <row r="2802" spans="1:8" x14ac:dyDescent="0.3">
      <c r="A2802" t="s">
        <v>1847</v>
      </c>
      <c r="B2802" t="s">
        <v>1855</v>
      </c>
      <c r="C2802">
        <v>164</v>
      </c>
      <c r="D2802" t="s">
        <v>1447</v>
      </c>
      <c r="E2802" t="s">
        <v>1858</v>
      </c>
      <c r="F2802" t="s">
        <v>1748</v>
      </c>
      <c r="H2802" s="165" t="str">
        <f>IF(ISBLANK('Q 5'!I366),"",IF('Q 5'!I366="&lt;please select&gt;","",'Q 5'!I366))</f>
        <v/>
      </c>
    </row>
    <row r="2803" spans="1:8" x14ac:dyDescent="0.3">
      <c r="A2803" t="s">
        <v>1847</v>
      </c>
      <c r="B2803" t="s">
        <v>1855</v>
      </c>
      <c r="C2803">
        <v>165</v>
      </c>
      <c r="D2803" t="s">
        <v>1447</v>
      </c>
      <c r="E2803" t="s">
        <v>1858</v>
      </c>
      <c r="F2803" t="s">
        <v>1748</v>
      </c>
      <c r="H2803" s="165" t="str">
        <f>IF(ISBLANK('Q 5'!I367),"",IF('Q 5'!I367="&lt;please select&gt;","",'Q 5'!I367))</f>
        <v/>
      </c>
    </row>
    <row r="2804" spans="1:8" x14ac:dyDescent="0.3">
      <c r="A2804" t="s">
        <v>1847</v>
      </c>
      <c r="B2804" t="s">
        <v>1855</v>
      </c>
      <c r="C2804">
        <v>166</v>
      </c>
      <c r="D2804" t="s">
        <v>1447</v>
      </c>
      <c r="E2804" t="s">
        <v>1858</v>
      </c>
      <c r="F2804" t="s">
        <v>1748</v>
      </c>
      <c r="H2804" s="165" t="str">
        <f>IF(ISBLANK('Q 5'!I368),"",IF('Q 5'!I368="&lt;please select&gt;","",'Q 5'!I368))</f>
        <v/>
      </c>
    </row>
    <row r="2805" spans="1:8" x14ac:dyDescent="0.3">
      <c r="A2805" t="s">
        <v>1847</v>
      </c>
      <c r="B2805" t="s">
        <v>1855</v>
      </c>
      <c r="C2805">
        <v>167</v>
      </c>
      <c r="D2805" t="s">
        <v>1447</v>
      </c>
      <c r="E2805" t="s">
        <v>1858</v>
      </c>
      <c r="F2805" t="s">
        <v>1748</v>
      </c>
      <c r="H2805" s="165" t="str">
        <f>IF(ISBLANK('Q 5'!I369),"",IF('Q 5'!I369="&lt;please select&gt;","",'Q 5'!I369))</f>
        <v/>
      </c>
    </row>
    <row r="2806" spans="1:8" x14ac:dyDescent="0.3">
      <c r="A2806" t="s">
        <v>1847</v>
      </c>
      <c r="B2806" t="s">
        <v>1855</v>
      </c>
      <c r="C2806">
        <v>168</v>
      </c>
      <c r="D2806" t="s">
        <v>1447</v>
      </c>
      <c r="E2806" t="s">
        <v>1858</v>
      </c>
      <c r="F2806" t="s">
        <v>1748</v>
      </c>
      <c r="H2806" s="165" t="str">
        <f>IF(ISBLANK('Q 5'!I370),"",IF('Q 5'!I370="&lt;please select&gt;","",'Q 5'!I370))</f>
        <v/>
      </c>
    </row>
    <row r="2807" spans="1:8" x14ac:dyDescent="0.3">
      <c r="A2807" t="s">
        <v>1847</v>
      </c>
      <c r="B2807" t="s">
        <v>1855</v>
      </c>
      <c r="C2807">
        <v>169</v>
      </c>
      <c r="D2807" t="s">
        <v>1447</v>
      </c>
      <c r="E2807" t="s">
        <v>1858</v>
      </c>
      <c r="F2807" t="s">
        <v>1748</v>
      </c>
      <c r="H2807" s="165" t="str">
        <f>IF(ISBLANK('Q 5'!I371),"",IF('Q 5'!I371="&lt;please select&gt;","",'Q 5'!I371))</f>
        <v/>
      </c>
    </row>
    <row r="2808" spans="1:8" x14ac:dyDescent="0.3">
      <c r="A2808" t="s">
        <v>1847</v>
      </c>
      <c r="B2808" t="s">
        <v>1855</v>
      </c>
      <c r="C2808">
        <v>170</v>
      </c>
      <c r="D2808" t="s">
        <v>1447</v>
      </c>
      <c r="E2808" t="s">
        <v>1858</v>
      </c>
      <c r="F2808" t="s">
        <v>1748</v>
      </c>
      <c r="H2808" s="165" t="str">
        <f>IF(ISBLANK('Q 5'!I372),"",IF('Q 5'!I372="&lt;please select&gt;","",'Q 5'!I372))</f>
        <v/>
      </c>
    </row>
    <row r="2809" spans="1:8" x14ac:dyDescent="0.3">
      <c r="A2809" t="s">
        <v>1847</v>
      </c>
      <c r="B2809" t="s">
        <v>1855</v>
      </c>
      <c r="C2809">
        <v>171</v>
      </c>
      <c r="D2809" t="s">
        <v>1447</v>
      </c>
      <c r="E2809" t="s">
        <v>1858</v>
      </c>
      <c r="F2809" t="s">
        <v>1748</v>
      </c>
      <c r="H2809" s="165" t="str">
        <f>IF(ISBLANK('Q 5'!I373),"",IF('Q 5'!I373="&lt;please select&gt;","",'Q 5'!I373))</f>
        <v/>
      </c>
    </row>
    <row r="2810" spans="1:8" x14ac:dyDescent="0.3">
      <c r="A2810" t="s">
        <v>1847</v>
      </c>
      <c r="B2810" t="s">
        <v>1855</v>
      </c>
      <c r="C2810">
        <v>172</v>
      </c>
      <c r="D2810" t="s">
        <v>1447</v>
      </c>
      <c r="E2810" t="s">
        <v>1858</v>
      </c>
      <c r="F2810" t="s">
        <v>1748</v>
      </c>
      <c r="H2810" s="165" t="str">
        <f>IF(ISBLANK('Q 5'!I374),"",IF('Q 5'!I374="&lt;please select&gt;","",'Q 5'!I374))</f>
        <v/>
      </c>
    </row>
    <row r="2811" spans="1:8" x14ac:dyDescent="0.3">
      <c r="A2811" t="s">
        <v>1847</v>
      </c>
      <c r="B2811" t="s">
        <v>1855</v>
      </c>
      <c r="C2811">
        <v>173</v>
      </c>
      <c r="D2811" t="s">
        <v>1447</v>
      </c>
      <c r="E2811" t="s">
        <v>1858</v>
      </c>
      <c r="F2811" t="s">
        <v>1748</v>
      </c>
      <c r="H2811" s="165" t="str">
        <f>IF(ISBLANK('Q 5'!I375),"",IF('Q 5'!I375="&lt;please select&gt;","",'Q 5'!I375))</f>
        <v/>
      </c>
    </row>
    <row r="2812" spans="1:8" x14ac:dyDescent="0.3">
      <c r="A2812" t="s">
        <v>1847</v>
      </c>
      <c r="B2812" t="s">
        <v>1855</v>
      </c>
      <c r="C2812">
        <v>174</v>
      </c>
      <c r="D2812" t="s">
        <v>1447</v>
      </c>
      <c r="E2812" t="s">
        <v>1858</v>
      </c>
      <c r="F2812" t="s">
        <v>1748</v>
      </c>
      <c r="H2812" s="165" t="str">
        <f>IF(ISBLANK('Q 5'!I376),"",IF('Q 5'!I376="&lt;please select&gt;","",'Q 5'!I376))</f>
        <v/>
      </c>
    </row>
    <row r="2813" spans="1:8" x14ac:dyDescent="0.3">
      <c r="A2813" t="s">
        <v>1847</v>
      </c>
      <c r="B2813" t="s">
        <v>1855</v>
      </c>
      <c r="C2813">
        <v>175</v>
      </c>
      <c r="D2813" t="s">
        <v>1447</v>
      </c>
      <c r="E2813" t="s">
        <v>1858</v>
      </c>
      <c r="F2813" t="s">
        <v>1748</v>
      </c>
      <c r="H2813" s="165" t="str">
        <f>IF(ISBLANK('Q 5'!I377),"",IF('Q 5'!I377="&lt;please select&gt;","",'Q 5'!I377))</f>
        <v/>
      </c>
    </row>
    <row r="2814" spans="1:8" x14ac:dyDescent="0.3">
      <c r="A2814" t="s">
        <v>1847</v>
      </c>
      <c r="B2814" t="s">
        <v>1855</v>
      </c>
      <c r="C2814">
        <v>176</v>
      </c>
      <c r="D2814" t="s">
        <v>1447</v>
      </c>
      <c r="E2814" t="s">
        <v>1858</v>
      </c>
      <c r="F2814" t="s">
        <v>1748</v>
      </c>
      <c r="H2814" s="165" t="str">
        <f>IF(ISBLANK('Q 5'!I378),"",IF('Q 5'!I378="&lt;please select&gt;","",'Q 5'!I378))</f>
        <v/>
      </c>
    </row>
    <row r="2815" spans="1:8" x14ac:dyDescent="0.3">
      <c r="A2815" t="s">
        <v>1847</v>
      </c>
      <c r="B2815" t="s">
        <v>1855</v>
      </c>
      <c r="C2815">
        <v>177</v>
      </c>
      <c r="D2815" t="s">
        <v>1447</v>
      </c>
      <c r="E2815" t="s">
        <v>1858</v>
      </c>
      <c r="F2815" t="s">
        <v>1748</v>
      </c>
      <c r="H2815" s="165" t="str">
        <f>IF(ISBLANK('Q 5'!I379),"",IF('Q 5'!I379="&lt;please select&gt;","",'Q 5'!I379))</f>
        <v/>
      </c>
    </row>
    <row r="2816" spans="1:8" x14ac:dyDescent="0.3">
      <c r="A2816" t="s">
        <v>1847</v>
      </c>
      <c r="B2816" t="s">
        <v>1855</v>
      </c>
      <c r="C2816">
        <v>178</v>
      </c>
      <c r="D2816" t="s">
        <v>1447</v>
      </c>
      <c r="E2816" t="s">
        <v>1858</v>
      </c>
      <c r="F2816" t="s">
        <v>1748</v>
      </c>
      <c r="H2816" s="165" t="str">
        <f>IF(ISBLANK('Q 5'!I380),"",IF('Q 5'!I380="&lt;please select&gt;","",'Q 5'!I380))</f>
        <v/>
      </c>
    </row>
    <row r="2817" spans="1:8" x14ac:dyDescent="0.3">
      <c r="A2817" t="s">
        <v>1847</v>
      </c>
      <c r="B2817" t="s">
        <v>1855</v>
      </c>
      <c r="C2817">
        <v>179</v>
      </c>
      <c r="D2817" t="s">
        <v>1447</v>
      </c>
      <c r="E2817" t="s">
        <v>1858</v>
      </c>
      <c r="F2817" t="s">
        <v>1748</v>
      </c>
      <c r="H2817" s="165" t="str">
        <f>IF(ISBLANK('Q 5'!I381),"",IF('Q 5'!I381="&lt;please select&gt;","",'Q 5'!I381))</f>
        <v/>
      </c>
    </row>
    <row r="2818" spans="1:8" x14ac:dyDescent="0.3">
      <c r="A2818" t="s">
        <v>1847</v>
      </c>
      <c r="B2818" t="s">
        <v>1855</v>
      </c>
      <c r="C2818">
        <v>180</v>
      </c>
      <c r="D2818" t="s">
        <v>1447</v>
      </c>
      <c r="E2818" t="s">
        <v>1858</v>
      </c>
      <c r="F2818" t="s">
        <v>1748</v>
      </c>
      <c r="H2818" s="165" t="str">
        <f>IF(ISBLANK('Q 5'!I382),"",IF('Q 5'!I382="&lt;please select&gt;","",'Q 5'!I382))</f>
        <v/>
      </c>
    </row>
    <row r="2819" spans="1:8" x14ac:dyDescent="0.3">
      <c r="A2819" t="s">
        <v>1847</v>
      </c>
      <c r="B2819" t="s">
        <v>1855</v>
      </c>
      <c r="C2819">
        <v>181</v>
      </c>
      <c r="D2819" t="s">
        <v>1447</v>
      </c>
      <c r="E2819" t="s">
        <v>1858</v>
      </c>
      <c r="F2819" t="s">
        <v>1748</v>
      </c>
      <c r="H2819" s="165" t="str">
        <f>IF(ISBLANK('Q 5'!I383),"",IF('Q 5'!I383="&lt;please select&gt;","",'Q 5'!I383))</f>
        <v/>
      </c>
    </row>
    <row r="2820" spans="1:8" x14ac:dyDescent="0.3">
      <c r="A2820" t="s">
        <v>1847</v>
      </c>
      <c r="B2820" t="s">
        <v>1855</v>
      </c>
      <c r="C2820">
        <v>182</v>
      </c>
      <c r="D2820" t="s">
        <v>1447</v>
      </c>
      <c r="E2820" t="s">
        <v>1858</v>
      </c>
      <c r="F2820" t="s">
        <v>1748</v>
      </c>
      <c r="H2820" s="165" t="str">
        <f>IF(ISBLANK('Q 5'!I384),"",IF('Q 5'!I384="&lt;please select&gt;","",'Q 5'!I384))</f>
        <v/>
      </c>
    </row>
    <row r="2821" spans="1:8" x14ac:dyDescent="0.3">
      <c r="A2821" t="s">
        <v>1847</v>
      </c>
      <c r="B2821" t="s">
        <v>1855</v>
      </c>
      <c r="C2821">
        <v>183</v>
      </c>
      <c r="D2821" t="s">
        <v>1447</v>
      </c>
      <c r="E2821" t="s">
        <v>1858</v>
      </c>
      <c r="F2821" t="s">
        <v>1748</v>
      </c>
      <c r="H2821" s="165" t="str">
        <f>IF(ISBLANK('Q 5'!I385),"",IF('Q 5'!I385="&lt;please select&gt;","",'Q 5'!I385))</f>
        <v/>
      </c>
    </row>
    <row r="2822" spans="1:8" x14ac:dyDescent="0.3">
      <c r="A2822" t="s">
        <v>1847</v>
      </c>
      <c r="B2822" t="s">
        <v>1855</v>
      </c>
      <c r="C2822">
        <v>184</v>
      </c>
      <c r="D2822" t="s">
        <v>1447</v>
      </c>
      <c r="E2822" t="s">
        <v>1858</v>
      </c>
      <c r="F2822" t="s">
        <v>1748</v>
      </c>
      <c r="H2822" s="165" t="str">
        <f>IF(ISBLANK('Q 5'!I386),"",IF('Q 5'!I386="&lt;please select&gt;","",'Q 5'!I386))</f>
        <v/>
      </c>
    </row>
    <row r="2823" spans="1:8" x14ac:dyDescent="0.3">
      <c r="A2823" t="s">
        <v>1847</v>
      </c>
      <c r="B2823" t="s">
        <v>1855</v>
      </c>
      <c r="C2823">
        <v>185</v>
      </c>
      <c r="D2823" t="s">
        <v>1447</v>
      </c>
      <c r="E2823" t="s">
        <v>1858</v>
      </c>
      <c r="F2823" t="s">
        <v>1748</v>
      </c>
      <c r="H2823" s="165" t="str">
        <f>IF(ISBLANK('Q 5'!I387),"",IF('Q 5'!I387="&lt;please select&gt;","",'Q 5'!I387))</f>
        <v/>
      </c>
    </row>
    <row r="2824" spans="1:8" x14ac:dyDescent="0.3">
      <c r="A2824" t="s">
        <v>1847</v>
      </c>
      <c r="B2824" t="s">
        <v>1855</v>
      </c>
      <c r="C2824">
        <v>186</v>
      </c>
      <c r="D2824" t="s">
        <v>1447</v>
      </c>
      <c r="E2824" t="s">
        <v>1858</v>
      </c>
      <c r="F2824" t="s">
        <v>1748</v>
      </c>
      <c r="H2824" s="165" t="str">
        <f>IF(ISBLANK('Q 5'!I388),"",IF('Q 5'!I388="&lt;please select&gt;","",'Q 5'!I388))</f>
        <v/>
      </c>
    </row>
    <row r="2825" spans="1:8" x14ac:dyDescent="0.3">
      <c r="A2825" t="s">
        <v>1847</v>
      </c>
      <c r="B2825" t="s">
        <v>1855</v>
      </c>
      <c r="C2825">
        <v>187</v>
      </c>
      <c r="D2825" t="s">
        <v>1447</v>
      </c>
      <c r="E2825" t="s">
        <v>1858</v>
      </c>
      <c r="F2825" t="s">
        <v>1748</v>
      </c>
      <c r="H2825" s="165" t="str">
        <f>IF(ISBLANK('Q 5'!I389),"",IF('Q 5'!I389="&lt;please select&gt;","",'Q 5'!I389))</f>
        <v/>
      </c>
    </row>
    <row r="2826" spans="1:8" x14ac:dyDescent="0.3">
      <c r="A2826" t="s">
        <v>1847</v>
      </c>
      <c r="B2826" t="s">
        <v>1855</v>
      </c>
      <c r="C2826">
        <v>188</v>
      </c>
      <c r="D2826" t="s">
        <v>1447</v>
      </c>
      <c r="E2826" t="s">
        <v>1858</v>
      </c>
      <c r="F2826" t="s">
        <v>1748</v>
      </c>
      <c r="H2826" s="165" t="str">
        <f>IF(ISBLANK('Q 5'!I390),"",IF('Q 5'!I390="&lt;please select&gt;","",'Q 5'!I390))</f>
        <v/>
      </c>
    </row>
    <row r="2827" spans="1:8" x14ac:dyDescent="0.3">
      <c r="A2827" t="s">
        <v>1847</v>
      </c>
      <c r="B2827" t="s">
        <v>1855</v>
      </c>
      <c r="C2827">
        <v>189</v>
      </c>
      <c r="D2827" t="s">
        <v>1447</v>
      </c>
      <c r="E2827" t="s">
        <v>1858</v>
      </c>
      <c r="F2827" t="s">
        <v>1748</v>
      </c>
      <c r="H2827" s="165" t="str">
        <f>IF(ISBLANK('Q 5'!I391),"",IF('Q 5'!I391="&lt;please select&gt;","",'Q 5'!I391))</f>
        <v/>
      </c>
    </row>
    <row r="2828" spans="1:8" x14ac:dyDescent="0.3">
      <c r="A2828" t="s">
        <v>1847</v>
      </c>
      <c r="B2828" t="s">
        <v>1855</v>
      </c>
      <c r="C2828">
        <v>190</v>
      </c>
      <c r="D2828" t="s">
        <v>1447</v>
      </c>
      <c r="E2828" t="s">
        <v>1858</v>
      </c>
      <c r="F2828" t="s">
        <v>1748</v>
      </c>
      <c r="H2828" s="165" t="str">
        <f>IF(ISBLANK('Q 5'!I392),"",IF('Q 5'!I392="&lt;please select&gt;","",'Q 5'!I392))</f>
        <v/>
      </c>
    </row>
    <row r="2829" spans="1:8" x14ac:dyDescent="0.3">
      <c r="A2829" t="s">
        <v>1847</v>
      </c>
      <c r="B2829" t="s">
        <v>1855</v>
      </c>
      <c r="C2829">
        <v>191</v>
      </c>
      <c r="D2829" t="s">
        <v>1447</v>
      </c>
      <c r="E2829" t="s">
        <v>1858</v>
      </c>
      <c r="F2829" t="s">
        <v>1748</v>
      </c>
      <c r="H2829" s="165" t="str">
        <f>IF(ISBLANK('Q 5'!I393),"",IF('Q 5'!I393="&lt;please select&gt;","",'Q 5'!I393))</f>
        <v/>
      </c>
    </row>
    <row r="2830" spans="1:8" x14ac:dyDescent="0.3">
      <c r="A2830" t="s">
        <v>1847</v>
      </c>
      <c r="B2830" t="s">
        <v>1855</v>
      </c>
      <c r="C2830">
        <v>192</v>
      </c>
      <c r="D2830" t="s">
        <v>1447</v>
      </c>
      <c r="E2830" t="s">
        <v>1858</v>
      </c>
      <c r="F2830" t="s">
        <v>1748</v>
      </c>
      <c r="H2830" s="165" t="str">
        <f>IF(ISBLANK('Q 5'!I394),"",IF('Q 5'!I394="&lt;please select&gt;","",'Q 5'!I394))</f>
        <v/>
      </c>
    </row>
    <row r="2831" spans="1:8" x14ac:dyDescent="0.3">
      <c r="A2831" t="s">
        <v>1847</v>
      </c>
      <c r="B2831" t="s">
        <v>1855</v>
      </c>
      <c r="C2831">
        <v>193</v>
      </c>
      <c r="D2831" t="s">
        <v>1447</v>
      </c>
      <c r="E2831" t="s">
        <v>1858</v>
      </c>
      <c r="F2831" t="s">
        <v>1748</v>
      </c>
      <c r="H2831" s="165" t="str">
        <f>IF(ISBLANK('Q 5'!I395),"",IF('Q 5'!I395="&lt;please select&gt;","",'Q 5'!I395))</f>
        <v/>
      </c>
    </row>
    <row r="2832" spans="1:8" x14ac:dyDescent="0.3">
      <c r="A2832" t="s">
        <v>1847</v>
      </c>
      <c r="B2832" t="s">
        <v>1855</v>
      </c>
      <c r="C2832">
        <v>194</v>
      </c>
      <c r="D2832" t="s">
        <v>1447</v>
      </c>
      <c r="E2832" t="s">
        <v>1858</v>
      </c>
      <c r="F2832" t="s">
        <v>1748</v>
      </c>
      <c r="H2832" s="165" t="str">
        <f>IF(ISBLANK('Q 5'!I396),"",IF('Q 5'!I396="&lt;please select&gt;","",'Q 5'!I396))</f>
        <v/>
      </c>
    </row>
    <row r="2833" spans="1:8" x14ac:dyDescent="0.3">
      <c r="A2833" t="s">
        <v>1847</v>
      </c>
      <c r="B2833" t="s">
        <v>1855</v>
      </c>
      <c r="C2833">
        <v>195</v>
      </c>
      <c r="D2833" t="s">
        <v>1447</v>
      </c>
      <c r="E2833" t="s">
        <v>1858</v>
      </c>
      <c r="F2833" t="s">
        <v>1748</v>
      </c>
      <c r="H2833" s="165" t="str">
        <f>IF(ISBLANK('Q 5'!I397),"",IF('Q 5'!I397="&lt;please select&gt;","",'Q 5'!I397))</f>
        <v/>
      </c>
    </row>
    <row r="2834" spans="1:8" x14ac:dyDescent="0.3">
      <c r="A2834" t="s">
        <v>1847</v>
      </c>
      <c r="B2834" t="s">
        <v>1855</v>
      </c>
      <c r="C2834">
        <v>196</v>
      </c>
      <c r="D2834" t="s">
        <v>1447</v>
      </c>
      <c r="E2834" t="s">
        <v>1858</v>
      </c>
      <c r="F2834" t="s">
        <v>1748</v>
      </c>
      <c r="H2834" s="165" t="str">
        <f>IF(ISBLANK('Q 5'!I398),"",IF('Q 5'!I398="&lt;please select&gt;","",'Q 5'!I398))</f>
        <v/>
      </c>
    </row>
    <row r="2835" spans="1:8" x14ac:dyDescent="0.3">
      <c r="A2835" t="s">
        <v>1847</v>
      </c>
      <c r="B2835" t="s">
        <v>1855</v>
      </c>
      <c r="C2835">
        <v>197</v>
      </c>
      <c r="D2835" t="s">
        <v>1447</v>
      </c>
      <c r="E2835" t="s">
        <v>1858</v>
      </c>
      <c r="F2835" t="s">
        <v>1748</v>
      </c>
      <c r="H2835" s="165" t="str">
        <f>IF(ISBLANK('Q 5'!I399),"",IF('Q 5'!I399="&lt;please select&gt;","",'Q 5'!I399))</f>
        <v/>
      </c>
    </row>
    <row r="2836" spans="1:8" x14ac:dyDescent="0.3">
      <c r="A2836" t="s">
        <v>1847</v>
      </c>
      <c r="B2836" t="s">
        <v>1855</v>
      </c>
      <c r="C2836">
        <v>198</v>
      </c>
      <c r="D2836" t="s">
        <v>1447</v>
      </c>
      <c r="E2836" t="s">
        <v>1858</v>
      </c>
      <c r="F2836" t="s">
        <v>1748</v>
      </c>
      <c r="H2836" s="165" t="str">
        <f>IF(ISBLANK('Q 5'!I400),"",IF('Q 5'!I400="&lt;please select&gt;","",'Q 5'!I400))</f>
        <v/>
      </c>
    </row>
    <row r="2837" spans="1:8" x14ac:dyDescent="0.3">
      <c r="A2837" t="s">
        <v>1847</v>
      </c>
      <c r="B2837" t="s">
        <v>1855</v>
      </c>
      <c r="C2837">
        <v>199</v>
      </c>
      <c r="D2837" t="s">
        <v>1447</v>
      </c>
      <c r="E2837" t="s">
        <v>1858</v>
      </c>
      <c r="F2837" t="s">
        <v>1748</v>
      </c>
      <c r="H2837" s="165" t="str">
        <f>IF(ISBLANK('Q 5'!I401),"",IF('Q 5'!I401="&lt;please select&gt;","",'Q 5'!I401))</f>
        <v/>
      </c>
    </row>
    <row r="2838" spans="1:8" x14ac:dyDescent="0.3">
      <c r="A2838" t="s">
        <v>1847</v>
      </c>
      <c r="B2838" t="s">
        <v>1855</v>
      </c>
      <c r="C2838">
        <v>200</v>
      </c>
      <c r="D2838" t="s">
        <v>1447</v>
      </c>
      <c r="E2838" t="s">
        <v>1858</v>
      </c>
      <c r="F2838" t="s">
        <v>1748</v>
      </c>
      <c r="H2838" s="165" t="str">
        <f>IF(ISBLANK('Q 5'!I402),"",IF('Q 5'!I402="&lt;please select&gt;","",'Q 5'!I402))</f>
        <v/>
      </c>
    </row>
    <row r="2839" spans="1:8" x14ac:dyDescent="0.3">
      <c r="A2839" t="s">
        <v>1847</v>
      </c>
      <c r="B2839" t="s">
        <v>1855</v>
      </c>
      <c r="C2839">
        <v>201</v>
      </c>
      <c r="D2839" t="s">
        <v>1447</v>
      </c>
      <c r="E2839" t="s">
        <v>1858</v>
      </c>
      <c r="F2839" t="s">
        <v>1748</v>
      </c>
      <c r="H2839" s="165" t="str">
        <f>IF(ISBLANK('Q 5'!I403),"",IF('Q 5'!I403="&lt;please select&gt;","",'Q 5'!I403))</f>
        <v/>
      </c>
    </row>
    <row r="2840" spans="1:8" x14ac:dyDescent="0.3">
      <c r="A2840" t="s">
        <v>1847</v>
      </c>
      <c r="B2840" t="s">
        <v>1855</v>
      </c>
      <c r="C2840">
        <v>202</v>
      </c>
      <c r="D2840" t="s">
        <v>1447</v>
      </c>
      <c r="E2840" t="s">
        <v>1858</v>
      </c>
      <c r="F2840" t="s">
        <v>1748</v>
      </c>
      <c r="H2840" s="165" t="str">
        <f>IF(ISBLANK('Q 5'!I404),"",IF('Q 5'!I404="&lt;please select&gt;","",'Q 5'!I404))</f>
        <v/>
      </c>
    </row>
    <row r="2841" spans="1:8" x14ac:dyDescent="0.3">
      <c r="A2841" t="s">
        <v>1847</v>
      </c>
      <c r="B2841" t="s">
        <v>1855</v>
      </c>
      <c r="C2841">
        <v>203</v>
      </c>
      <c r="D2841" t="s">
        <v>1447</v>
      </c>
      <c r="E2841" t="s">
        <v>1858</v>
      </c>
      <c r="F2841" t="s">
        <v>1748</v>
      </c>
      <c r="H2841" s="165" t="str">
        <f>IF(ISBLANK('Q 5'!I405),"",IF('Q 5'!I405="&lt;please select&gt;","",'Q 5'!I405))</f>
        <v/>
      </c>
    </row>
    <row r="2842" spans="1:8" x14ac:dyDescent="0.3">
      <c r="A2842" t="s">
        <v>1847</v>
      </c>
      <c r="B2842" t="s">
        <v>1855</v>
      </c>
      <c r="C2842">
        <v>204</v>
      </c>
      <c r="D2842" t="s">
        <v>1447</v>
      </c>
      <c r="E2842" t="s">
        <v>1858</v>
      </c>
      <c r="F2842" t="s">
        <v>1748</v>
      </c>
      <c r="H2842" s="165" t="str">
        <f>IF(ISBLANK('Q 5'!I406),"",IF('Q 5'!I406="&lt;please select&gt;","",'Q 5'!I406))</f>
        <v/>
      </c>
    </row>
    <row r="2843" spans="1:8" x14ac:dyDescent="0.3">
      <c r="A2843" t="s">
        <v>1847</v>
      </c>
      <c r="B2843" t="s">
        <v>1855</v>
      </c>
      <c r="C2843">
        <v>205</v>
      </c>
      <c r="D2843" t="s">
        <v>1447</v>
      </c>
      <c r="E2843" t="s">
        <v>1858</v>
      </c>
      <c r="F2843" t="s">
        <v>1748</v>
      </c>
      <c r="H2843" s="165" t="str">
        <f>IF(ISBLANK('Q 5'!I407),"",IF('Q 5'!I407="&lt;please select&gt;","",'Q 5'!I407))</f>
        <v/>
      </c>
    </row>
    <row r="2844" spans="1:8" x14ac:dyDescent="0.3">
      <c r="A2844" t="s">
        <v>1847</v>
      </c>
      <c r="B2844" t="s">
        <v>1855</v>
      </c>
      <c r="C2844">
        <v>206</v>
      </c>
      <c r="D2844" t="s">
        <v>1447</v>
      </c>
      <c r="E2844" t="s">
        <v>1858</v>
      </c>
      <c r="F2844" t="s">
        <v>1748</v>
      </c>
      <c r="H2844" s="165" t="str">
        <f>IF(ISBLANK('Q 5'!I408),"",IF('Q 5'!I408="&lt;please select&gt;","",'Q 5'!I408))</f>
        <v/>
      </c>
    </row>
    <row r="2845" spans="1:8" x14ac:dyDescent="0.3">
      <c r="A2845" t="s">
        <v>1847</v>
      </c>
      <c r="B2845" t="s">
        <v>1855</v>
      </c>
      <c r="C2845">
        <v>207</v>
      </c>
      <c r="D2845" t="s">
        <v>1447</v>
      </c>
      <c r="E2845" t="s">
        <v>1858</v>
      </c>
      <c r="F2845" t="s">
        <v>1748</v>
      </c>
      <c r="H2845" s="165" t="str">
        <f>IF(ISBLANK('Q 5'!I409),"",IF('Q 5'!I409="&lt;please select&gt;","",'Q 5'!I409))</f>
        <v/>
      </c>
    </row>
    <row r="2846" spans="1:8" x14ac:dyDescent="0.3">
      <c r="A2846" t="s">
        <v>1847</v>
      </c>
      <c r="B2846" t="s">
        <v>1855</v>
      </c>
      <c r="C2846">
        <v>208</v>
      </c>
      <c r="D2846" t="s">
        <v>1447</v>
      </c>
      <c r="E2846" t="s">
        <v>1858</v>
      </c>
      <c r="F2846" t="s">
        <v>1748</v>
      </c>
      <c r="H2846" s="165" t="str">
        <f>IF(ISBLANK('Q 5'!I410),"",IF('Q 5'!I410="&lt;please select&gt;","",'Q 5'!I410))</f>
        <v/>
      </c>
    </row>
    <row r="2847" spans="1:8" x14ac:dyDescent="0.3">
      <c r="A2847" t="s">
        <v>1847</v>
      </c>
      <c r="B2847" t="s">
        <v>1855</v>
      </c>
      <c r="C2847">
        <v>209</v>
      </c>
      <c r="D2847" t="s">
        <v>1447</v>
      </c>
      <c r="E2847" t="s">
        <v>1858</v>
      </c>
      <c r="F2847" t="s">
        <v>1748</v>
      </c>
      <c r="H2847" s="165" t="str">
        <f>IF(ISBLANK('Q 5'!I411),"",IF('Q 5'!I411="&lt;please select&gt;","",'Q 5'!I411))</f>
        <v/>
      </c>
    </row>
    <row r="2848" spans="1:8" x14ac:dyDescent="0.3">
      <c r="A2848" t="s">
        <v>1847</v>
      </c>
      <c r="B2848" t="s">
        <v>1855</v>
      </c>
      <c r="C2848">
        <v>210</v>
      </c>
      <c r="D2848" t="s">
        <v>1447</v>
      </c>
      <c r="E2848" t="s">
        <v>1858</v>
      </c>
      <c r="F2848" t="s">
        <v>1748</v>
      </c>
      <c r="H2848" s="165" t="str">
        <f>IF(ISBLANK('Q 5'!I412),"",IF('Q 5'!I412="&lt;please select&gt;","",'Q 5'!I412))</f>
        <v/>
      </c>
    </row>
    <row r="2849" spans="1:8" x14ac:dyDescent="0.3">
      <c r="A2849" t="s">
        <v>1847</v>
      </c>
      <c r="B2849" t="s">
        <v>1855</v>
      </c>
      <c r="C2849">
        <v>211</v>
      </c>
      <c r="D2849" t="s">
        <v>1447</v>
      </c>
      <c r="E2849" t="s">
        <v>1858</v>
      </c>
      <c r="F2849" t="s">
        <v>1748</v>
      </c>
      <c r="H2849" s="165" t="str">
        <f>IF(ISBLANK('Q 5'!I413),"",IF('Q 5'!I413="&lt;please select&gt;","",'Q 5'!I413))</f>
        <v/>
      </c>
    </row>
    <row r="2850" spans="1:8" x14ac:dyDescent="0.3">
      <c r="A2850" t="s">
        <v>1847</v>
      </c>
      <c r="B2850" t="s">
        <v>1855</v>
      </c>
      <c r="C2850">
        <v>212</v>
      </c>
      <c r="D2850" t="s">
        <v>1447</v>
      </c>
      <c r="E2850" t="s">
        <v>1858</v>
      </c>
      <c r="F2850" t="s">
        <v>1748</v>
      </c>
      <c r="H2850" s="165" t="str">
        <f>IF(ISBLANK('Q 5'!I414),"",IF('Q 5'!I414="&lt;please select&gt;","",'Q 5'!I414))</f>
        <v/>
      </c>
    </row>
    <row r="2851" spans="1:8" x14ac:dyDescent="0.3">
      <c r="A2851" t="s">
        <v>1847</v>
      </c>
      <c r="B2851" t="s">
        <v>1855</v>
      </c>
      <c r="C2851">
        <v>213</v>
      </c>
      <c r="D2851" t="s">
        <v>1447</v>
      </c>
      <c r="E2851" t="s">
        <v>1858</v>
      </c>
      <c r="F2851" t="s">
        <v>1748</v>
      </c>
      <c r="H2851" s="165" t="str">
        <f>IF(ISBLANK('Q 5'!I415),"",IF('Q 5'!I415="&lt;please select&gt;","",'Q 5'!I415))</f>
        <v/>
      </c>
    </row>
    <row r="2852" spans="1:8" x14ac:dyDescent="0.3">
      <c r="A2852" t="s">
        <v>1847</v>
      </c>
      <c r="B2852" t="s">
        <v>1855</v>
      </c>
      <c r="C2852">
        <v>214</v>
      </c>
      <c r="D2852" t="s">
        <v>1447</v>
      </c>
      <c r="E2852" t="s">
        <v>1858</v>
      </c>
      <c r="F2852" t="s">
        <v>1748</v>
      </c>
      <c r="H2852" s="165" t="str">
        <f>IF(ISBLANK('Q 5'!I416),"",IF('Q 5'!I416="&lt;please select&gt;","",'Q 5'!I416))</f>
        <v/>
      </c>
    </row>
    <row r="2853" spans="1:8" x14ac:dyDescent="0.3">
      <c r="A2853" t="s">
        <v>1847</v>
      </c>
      <c r="B2853" t="s">
        <v>1855</v>
      </c>
      <c r="C2853">
        <v>215</v>
      </c>
      <c r="D2853" t="s">
        <v>1447</v>
      </c>
      <c r="E2853" t="s">
        <v>1858</v>
      </c>
      <c r="F2853" t="s">
        <v>1748</v>
      </c>
      <c r="H2853" s="165" t="str">
        <f>IF(ISBLANK('Q 5'!I417),"",IF('Q 5'!I417="&lt;please select&gt;","",'Q 5'!I417))</f>
        <v/>
      </c>
    </row>
    <row r="2854" spans="1:8" x14ac:dyDescent="0.3">
      <c r="A2854" t="s">
        <v>1847</v>
      </c>
      <c r="B2854" t="s">
        <v>1855</v>
      </c>
      <c r="C2854">
        <v>216</v>
      </c>
      <c r="D2854" t="s">
        <v>1447</v>
      </c>
      <c r="E2854" t="s">
        <v>1858</v>
      </c>
      <c r="F2854" t="s">
        <v>1748</v>
      </c>
      <c r="H2854" s="165" t="str">
        <f>IF(ISBLANK('Q 5'!I418),"",IF('Q 5'!I418="&lt;please select&gt;","",'Q 5'!I418))</f>
        <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
      </c>
    </row>
    <row r="3440" spans="1:8" x14ac:dyDescent="0.3">
      <c r="A3440" t="s">
        <v>1859</v>
      </c>
      <c r="B3440" t="s">
        <v>1860</v>
      </c>
      <c r="C3440">
        <v>2</v>
      </c>
      <c r="D3440" t="s">
        <v>1447</v>
      </c>
      <c r="E3440" t="s">
        <v>1861</v>
      </c>
      <c r="F3440" t="s">
        <v>1741</v>
      </c>
      <c r="G3440" t="str">
        <f>IF(ISBLANK('Q 5'!C1009),"",IF('Q 5'!C1009="&lt;please select&gt;","",'Q 5'!C1009))</f>
        <v/>
      </c>
    </row>
    <row r="3441" spans="1:7" x14ac:dyDescent="0.3">
      <c r="A3441" t="s">
        <v>1859</v>
      </c>
      <c r="B3441" t="s">
        <v>1860</v>
      </c>
      <c r="C3441">
        <v>3</v>
      </c>
      <c r="D3441" t="s">
        <v>1447</v>
      </c>
      <c r="E3441" t="s">
        <v>1861</v>
      </c>
      <c r="F3441" t="s">
        <v>1741</v>
      </c>
      <c r="G3441" t="str">
        <f>IF(ISBLANK('Q 5'!C1010),"",IF('Q 5'!C1010="&lt;please select&gt;","",'Q 5'!C1010))</f>
        <v/>
      </c>
    </row>
    <row r="3442" spans="1:7" x14ac:dyDescent="0.3">
      <c r="A3442" t="s">
        <v>1859</v>
      </c>
      <c r="B3442" t="s">
        <v>1860</v>
      </c>
      <c r="C3442">
        <v>4</v>
      </c>
      <c r="D3442" t="s">
        <v>1447</v>
      </c>
      <c r="E3442" t="s">
        <v>1861</v>
      </c>
      <c r="F3442" t="s">
        <v>1741</v>
      </c>
      <c r="G3442" t="str">
        <f>IF(ISBLANK('Q 5'!C1011),"",IF('Q 5'!C1011="&lt;please select&gt;","",'Q 5'!C1011))</f>
        <v/>
      </c>
    </row>
    <row r="3443" spans="1:7" x14ac:dyDescent="0.3">
      <c r="A3443" t="s">
        <v>1859</v>
      </c>
      <c r="B3443" t="s">
        <v>1860</v>
      </c>
      <c r="C3443">
        <v>5</v>
      </c>
      <c r="D3443" t="s">
        <v>1447</v>
      </c>
      <c r="E3443" t="s">
        <v>1861</v>
      </c>
      <c r="F3443" t="s">
        <v>1741</v>
      </c>
      <c r="G3443" t="str">
        <f>IF(ISBLANK('Q 5'!C1012),"",IF('Q 5'!C1012="&lt;please select&gt;","",'Q 5'!C1012))</f>
        <v/>
      </c>
    </row>
    <row r="3444" spans="1:7" x14ac:dyDescent="0.3">
      <c r="A3444" t="s">
        <v>1859</v>
      </c>
      <c r="B3444" t="s">
        <v>1860</v>
      </c>
      <c r="C3444">
        <v>6</v>
      </c>
      <c r="D3444" t="s">
        <v>1447</v>
      </c>
      <c r="E3444" t="s">
        <v>1861</v>
      </c>
      <c r="F3444" t="s">
        <v>1741</v>
      </c>
      <c r="G3444" t="str">
        <f>IF(ISBLANK('Q 5'!C1013),"",IF('Q 5'!C1013="&lt;please select&gt;","",'Q 5'!C1013))</f>
        <v/>
      </c>
    </row>
    <row r="3445" spans="1:7" x14ac:dyDescent="0.3">
      <c r="A3445" t="s">
        <v>1859</v>
      </c>
      <c r="B3445" t="s">
        <v>1860</v>
      </c>
      <c r="C3445">
        <v>7</v>
      </c>
      <c r="D3445" t="s">
        <v>1447</v>
      </c>
      <c r="E3445" t="s">
        <v>1861</v>
      </c>
      <c r="F3445" t="s">
        <v>1741</v>
      </c>
      <c r="G3445" t="str">
        <f>IF(ISBLANK('Q 5'!C1014),"",IF('Q 5'!C1014="&lt;please select&gt;","",'Q 5'!C1014))</f>
        <v/>
      </c>
    </row>
    <row r="3446" spans="1:7" x14ac:dyDescent="0.3">
      <c r="A3446" t="s">
        <v>1859</v>
      </c>
      <c r="B3446" t="s">
        <v>1860</v>
      </c>
      <c r="C3446">
        <v>8</v>
      </c>
      <c r="D3446" t="s">
        <v>1447</v>
      </c>
      <c r="E3446" t="s">
        <v>1861</v>
      </c>
      <c r="F3446" t="s">
        <v>1741</v>
      </c>
      <c r="G3446" t="str">
        <f>IF(ISBLANK('Q 5'!C1015),"",IF('Q 5'!C1015="&lt;please select&gt;","",'Q 5'!C1015))</f>
        <v/>
      </c>
    </row>
    <row r="3447" spans="1:7" x14ac:dyDescent="0.3">
      <c r="A3447" t="s">
        <v>1859</v>
      </c>
      <c r="B3447" t="s">
        <v>1860</v>
      </c>
      <c r="C3447">
        <v>9</v>
      </c>
      <c r="D3447" t="s">
        <v>1447</v>
      </c>
      <c r="E3447" t="s">
        <v>1861</v>
      </c>
      <c r="F3447" t="s">
        <v>1741</v>
      </c>
      <c r="G3447" t="str">
        <f>IF(ISBLANK('Q 5'!C1016),"",IF('Q 5'!C1016="&lt;please select&gt;","",'Q 5'!C1016))</f>
        <v/>
      </c>
    </row>
    <row r="3448" spans="1:7" x14ac:dyDescent="0.3">
      <c r="A3448" t="s">
        <v>1859</v>
      </c>
      <c r="B3448" t="s">
        <v>1860</v>
      </c>
      <c r="C3448">
        <v>10</v>
      </c>
      <c r="D3448" t="s">
        <v>1447</v>
      </c>
      <c r="E3448" t="s">
        <v>1861</v>
      </c>
      <c r="F3448" t="s">
        <v>1741</v>
      </c>
      <c r="G3448" t="str">
        <f>IF(ISBLANK('Q 5'!C1017),"",IF('Q 5'!C1017="&lt;please select&gt;","",'Q 5'!C1017))</f>
        <v/>
      </c>
    </row>
    <row r="3449" spans="1:7" x14ac:dyDescent="0.3">
      <c r="A3449" t="s">
        <v>1859</v>
      </c>
      <c r="B3449" t="s">
        <v>1860</v>
      </c>
      <c r="C3449">
        <v>11</v>
      </c>
      <c r="D3449" t="s">
        <v>1447</v>
      </c>
      <c r="E3449" t="s">
        <v>1861</v>
      </c>
      <c r="F3449" t="s">
        <v>1741</v>
      </c>
      <c r="G3449" t="str">
        <f>IF(ISBLANK('Q 5'!C1018),"",IF('Q 5'!C1018="&lt;please select&gt;","",'Q 5'!C1018))</f>
        <v/>
      </c>
    </row>
    <row r="3450" spans="1:7" x14ac:dyDescent="0.3">
      <c r="A3450" t="s">
        <v>1859</v>
      </c>
      <c r="B3450" t="s">
        <v>1860</v>
      </c>
      <c r="C3450">
        <v>12</v>
      </c>
      <c r="D3450" t="s">
        <v>1447</v>
      </c>
      <c r="E3450" t="s">
        <v>1861</v>
      </c>
      <c r="F3450" t="s">
        <v>1741</v>
      </c>
      <c r="G3450" t="str">
        <f>IF(ISBLANK('Q 5'!C1019),"",IF('Q 5'!C1019="&lt;please select&gt;","",'Q 5'!C1019))</f>
        <v/>
      </c>
    </row>
    <row r="3451" spans="1:7" x14ac:dyDescent="0.3">
      <c r="A3451" t="s">
        <v>1859</v>
      </c>
      <c r="B3451" t="s">
        <v>1860</v>
      </c>
      <c r="C3451">
        <v>13</v>
      </c>
      <c r="D3451" t="s">
        <v>1447</v>
      </c>
      <c r="E3451" t="s">
        <v>1861</v>
      </c>
      <c r="F3451" t="s">
        <v>1741</v>
      </c>
      <c r="G3451" t="str">
        <f>IF(ISBLANK('Q 5'!C1020),"",IF('Q 5'!C1020="&lt;please select&gt;","",'Q 5'!C1020))</f>
        <v/>
      </c>
    </row>
    <row r="3452" spans="1:7" x14ac:dyDescent="0.3">
      <c r="A3452" t="s">
        <v>1859</v>
      </c>
      <c r="B3452" t="s">
        <v>1860</v>
      </c>
      <c r="C3452">
        <v>14</v>
      </c>
      <c r="D3452" t="s">
        <v>1447</v>
      </c>
      <c r="E3452" t="s">
        <v>1861</v>
      </c>
      <c r="F3452" t="s">
        <v>1741</v>
      </c>
      <c r="G3452" t="str">
        <f>IF(ISBLANK('Q 5'!C1021),"",IF('Q 5'!C1021="&lt;please select&gt;","",'Q 5'!C1021))</f>
        <v/>
      </c>
    </row>
    <row r="3453" spans="1:7" x14ac:dyDescent="0.3">
      <c r="A3453" t="s">
        <v>1859</v>
      </c>
      <c r="B3453" t="s">
        <v>1860</v>
      </c>
      <c r="C3453">
        <v>15</v>
      </c>
      <c r="D3453" t="s">
        <v>1447</v>
      </c>
      <c r="E3453" t="s">
        <v>1861</v>
      </c>
      <c r="F3453" t="s">
        <v>1741</v>
      </c>
      <c r="G3453" t="str">
        <f>IF(ISBLANK('Q 5'!C1022),"",IF('Q 5'!C1022="&lt;please select&gt;","",'Q 5'!C1022))</f>
        <v/>
      </c>
    </row>
    <row r="3454" spans="1:7" x14ac:dyDescent="0.3">
      <c r="A3454" t="s">
        <v>1859</v>
      </c>
      <c r="B3454" t="s">
        <v>1860</v>
      </c>
      <c r="C3454">
        <v>16</v>
      </c>
      <c r="D3454" t="s">
        <v>1447</v>
      </c>
      <c r="E3454" t="s">
        <v>1861</v>
      </c>
      <c r="F3454" t="s">
        <v>1741</v>
      </c>
      <c r="G3454" t="str">
        <f>IF(ISBLANK('Q 5'!C1023),"",IF('Q 5'!C1023="&lt;please select&gt;","",'Q 5'!C1023))</f>
        <v/>
      </c>
    </row>
    <row r="3455" spans="1:7" x14ac:dyDescent="0.3">
      <c r="A3455" t="s">
        <v>1859</v>
      </c>
      <c r="B3455" t="s">
        <v>1860</v>
      </c>
      <c r="C3455">
        <v>17</v>
      </c>
      <c r="D3455" t="s">
        <v>1447</v>
      </c>
      <c r="E3455" t="s">
        <v>1861</v>
      </c>
      <c r="F3455" t="s">
        <v>1741</v>
      </c>
      <c r="G3455" t="str">
        <f>IF(ISBLANK('Q 5'!C1024),"",IF('Q 5'!C1024="&lt;please select&gt;","",'Q 5'!C1024))</f>
        <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
      </c>
    </row>
    <row r="3465" spans="1:8" x14ac:dyDescent="0.3">
      <c r="A3465" t="s">
        <v>1859</v>
      </c>
      <c r="B3465" t="s">
        <v>1860</v>
      </c>
      <c r="C3465">
        <v>2</v>
      </c>
      <c r="D3465" t="s">
        <v>1447</v>
      </c>
      <c r="E3465" t="s">
        <v>1862</v>
      </c>
      <c r="F3465" t="s">
        <v>1748</v>
      </c>
      <c r="H3465" s="165" t="str">
        <f>IF(ISBLANK('Q 5'!E1009),"",IF('Q 5'!E1009="&lt;please select&gt;","",'Q 5'!E1009))</f>
        <v/>
      </c>
    </row>
    <row r="3466" spans="1:8" x14ac:dyDescent="0.3">
      <c r="A3466" t="s">
        <v>1859</v>
      </c>
      <c r="B3466" t="s">
        <v>1860</v>
      </c>
      <c r="C3466">
        <v>3</v>
      </c>
      <c r="D3466" t="s">
        <v>1447</v>
      </c>
      <c r="E3466" t="s">
        <v>1862</v>
      </c>
      <c r="F3466" t="s">
        <v>1748</v>
      </c>
      <c r="H3466" s="165" t="str">
        <f>IF(ISBLANK('Q 5'!E1010),"",IF('Q 5'!E1010="&lt;please select&gt;","",'Q 5'!E1010))</f>
        <v/>
      </c>
    </row>
    <row r="3467" spans="1:8" x14ac:dyDescent="0.3">
      <c r="A3467" t="s">
        <v>1859</v>
      </c>
      <c r="B3467" t="s">
        <v>1860</v>
      </c>
      <c r="C3467">
        <v>4</v>
      </c>
      <c r="D3467" t="s">
        <v>1447</v>
      </c>
      <c r="E3467" t="s">
        <v>1862</v>
      </c>
      <c r="F3467" t="s">
        <v>1748</v>
      </c>
      <c r="H3467" s="165" t="str">
        <f>IF(ISBLANK('Q 5'!E1011),"",IF('Q 5'!E1011="&lt;please select&gt;","",'Q 5'!E1011))</f>
        <v/>
      </c>
    </row>
    <row r="3468" spans="1:8" x14ac:dyDescent="0.3">
      <c r="A3468" t="s">
        <v>1859</v>
      </c>
      <c r="B3468" t="s">
        <v>1860</v>
      </c>
      <c r="C3468">
        <v>5</v>
      </c>
      <c r="D3468" t="s">
        <v>1447</v>
      </c>
      <c r="E3468" t="s">
        <v>1862</v>
      </c>
      <c r="F3468" t="s">
        <v>1748</v>
      </c>
      <c r="H3468" s="165" t="str">
        <f>IF(ISBLANK('Q 5'!E1012),"",IF('Q 5'!E1012="&lt;please select&gt;","",'Q 5'!E1012))</f>
        <v/>
      </c>
    </row>
    <row r="3469" spans="1:8" x14ac:dyDescent="0.3">
      <c r="A3469" t="s">
        <v>1859</v>
      </c>
      <c r="B3469" t="s">
        <v>1860</v>
      </c>
      <c r="C3469">
        <v>6</v>
      </c>
      <c r="D3469" t="s">
        <v>1447</v>
      </c>
      <c r="E3469" t="s">
        <v>1862</v>
      </c>
      <c r="F3469" t="s">
        <v>1748</v>
      </c>
      <c r="H3469" s="165" t="str">
        <f>IF(ISBLANK('Q 5'!E1013),"",IF('Q 5'!E1013="&lt;please select&gt;","",'Q 5'!E1013))</f>
        <v/>
      </c>
    </row>
    <row r="3470" spans="1:8" x14ac:dyDescent="0.3">
      <c r="A3470" t="s">
        <v>1859</v>
      </c>
      <c r="B3470" t="s">
        <v>1860</v>
      </c>
      <c r="C3470">
        <v>7</v>
      </c>
      <c r="D3470" t="s">
        <v>1447</v>
      </c>
      <c r="E3470" t="s">
        <v>1862</v>
      </c>
      <c r="F3470" t="s">
        <v>1748</v>
      </c>
      <c r="H3470" s="165" t="str">
        <f>IF(ISBLANK('Q 5'!E1014),"",IF('Q 5'!E1014="&lt;please select&gt;","",'Q 5'!E1014))</f>
        <v/>
      </c>
    </row>
    <row r="3471" spans="1:8" x14ac:dyDescent="0.3">
      <c r="A3471" t="s">
        <v>1859</v>
      </c>
      <c r="B3471" t="s">
        <v>1860</v>
      </c>
      <c r="C3471">
        <v>8</v>
      </c>
      <c r="D3471" t="s">
        <v>1447</v>
      </c>
      <c r="E3471" t="s">
        <v>1862</v>
      </c>
      <c r="F3471" t="s">
        <v>1748</v>
      </c>
      <c r="H3471" s="165" t="str">
        <f>IF(ISBLANK('Q 5'!E1015),"",IF('Q 5'!E1015="&lt;please select&gt;","",'Q 5'!E1015))</f>
        <v/>
      </c>
    </row>
    <row r="3472" spans="1:8" x14ac:dyDescent="0.3">
      <c r="A3472" t="s">
        <v>1859</v>
      </c>
      <c r="B3472" t="s">
        <v>1860</v>
      </c>
      <c r="C3472">
        <v>9</v>
      </c>
      <c r="D3472" t="s">
        <v>1447</v>
      </c>
      <c r="E3472" t="s">
        <v>1862</v>
      </c>
      <c r="F3472" t="s">
        <v>1748</v>
      </c>
      <c r="H3472" s="165" t="str">
        <f>IF(ISBLANK('Q 5'!E1016),"",IF('Q 5'!E1016="&lt;please select&gt;","",'Q 5'!E1016))</f>
        <v/>
      </c>
    </row>
    <row r="3473" spans="1:8" x14ac:dyDescent="0.3">
      <c r="A3473" t="s">
        <v>1859</v>
      </c>
      <c r="B3473" t="s">
        <v>1860</v>
      </c>
      <c r="C3473">
        <v>10</v>
      </c>
      <c r="D3473" t="s">
        <v>1447</v>
      </c>
      <c r="E3473" t="s">
        <v>1862</v>
      </c>
      <c r="F3473" t="s">
        <v>1748</v>
      </c>
      <c r="H3473" s="165" t="str">
        <f>IF(ISBLANK('Q 5'!E1017),"",IF('Q 5'!E1017="&lt;please select&gt;","",'Q 5'!E1017))</f>
        <v/>
      </c>
    </row>
    <row r="3474" spans="1:8" x14ac:dyDescent="0.3">
      <c r="A3474" t="s">
        <v>1859</v>
      </c>
      <c r="B3474" t="s">
        <v>1860</v>
      </c>
      <c r="C3474">
        <v>11</v>
      </c>
      <c r="D3474" t="s">
        <v>1447</v>
      </c>
      <c r="E3474" t="s">
        <v>1862</v>
      </c>
      <c r="F3474" t="s">
        <v>1748</v>
      </c>
      <c r="H3474" s="165" t="str">
        <f>IF(ISBLANK('Q 5'!E1018),"",IF('Q 5'!E1018="&lt;please select&gt;","",'Q 5'!E1018))</f>
        <v/>
      </c>
    </row>
    <row r="3475" spans="1:8" x14ac:dyDescent="0.3">
      <c r="A3475" t="s">
        <v>1859</v>
      </c>
      <c r="B3475" t="s">
        <v>1860</v>
      </c>
      <c r="C3475">
        <v>12</v>
      </c>
      <c r="D3475" t="s">
        <v>1447</v>
      </c>
      <c r="E3475" t="s">
        <v>1862</v>
      </c>
      <c r="F3475" t="s">
        <v>1748</v>
      </c>
      <c r="H3475" s="165" t="str">
        <f>IF(ISBLANK('Q 5'!E1019),"",IF('Q 5'!E1019="&lt;please select&gt;","",'Q 5'!E1019))</f>
        <v/>
      </c>
    </row>
    <row r="3476" spans="1:8" x14ac:dyDescent="0.3">
      <c r="A3476" t="s">
        <v>1859</v>
      </c>
      <c r="B3476" t="s">
        <v>1860</v>
      </c>
      <c r="C3476">
        <v>13</v>
      </c>
      <c r="D3476" t="s">
        <v>1447</v>
      </c>
      <c r="E3476" t="s">
        <v>1862</v>
      </c>
      <c r="F3476" t="s">
        <v>1748</v>
      </c>
      <c r="H3476" s="165" t="str">
        <f>IF(ISBLANK('Q 5'!E1020),"",IF('Q 5'!E1020="&lt;please select&gt;","",'Q 5'!E1020))</f>
        <v/>
      </c>
    </row>
    <row r="3477" spans="1:8" x14ac:dyDescent="0.3">
      <c r="A3477" t="s">
        <v>1859</v>
      </c>
      <c r="B3477" t="s">
        <v>1860</v>
      </c>
      <c r="C3477">
        <v>14</v>
      </c>
      <c r="D3477" t="s">
        <v>1447</v>
      </c>
      <c r="E3477" t="s">
        <v>1862</v>
      </c>
      <c r="F3477" t="s">
        <v>1748</v>
      </c>
      <c r="H3477" s="165" t="str">
        <f>IF(ISBLANK('Q 5'!E1021),"",IF('Q 5'!E1021="&lt;please select&gt;","",'Q 5'!E1021))</f>
        <v/>
      </c>
    </row>
    <row r="3478" spans="1:8" x14ac:dyDescent="0.3">
      <c r="A3478" t="s">
        <v>1859</v>
      </c>
      <c r="B3478" t="s">
        <v>1860</v>
      </c>
      <c r="C3478">
        <v>15</v>
      </c>
      <c r="D3478" t="s">
        <v>1447</v>
      </c>
      <c r="E3478" t="s">
        <v>1862</v>
      </c>
      <c r="F3478" t="s">
        <v>1748</v>
      </c>
      <c r="H3478" s="165" t="str">
        <f>IF(ISBLANK('Q 5'!E1022),"",IF('Q 5'!E1022="&lt;please select&gt;","",'Q 5'!E1022))</f>
        <v/>
      </c>
    </row>
    <row r="3479" spans="1:8" x14ac:dyDescent="0.3">
      <c r="A3479" t="s">
        <v>1859</v>
      </c>
      <c r="B3479" t="s">
        <v>1860</v>
      </c>
      <c r="C3479">
        <v>16</v>
      </c>
      <c r="D3479" t="s">
        <v>1447</v>
      </c>
      <c r="E3479" t="s">
        <v>1862</v>
      </c>
      <c r="F3479" t="s">
        <v>1748</v>
      </c>
      <c r="H3479" s="165" t="str">
        <f>IF(ISBLANK('Q 5'!E1023),"",IF('Q 5'!E1023="&lt;please select&gt;","",'Q 5'!E1023))</f>
        <v/>
      </c>
    </row>
    <row r="3480" spans="1:8" x14ac:dyDescent="0.3">
      <c r="A3480" t="s">
        <v>1859</v>
      </c>
      <c r="B3480" t="s">
        <v>1860</v>
      </c>
      <c r="C3480">
        <v>17</v>
      </c>
      <c r="D3480" t="s">
        <v>1447</v>
      </c>
      <c r="E3480" t="s">
        <v>1862</v>
      </c>
      <c r="F3480" t="s">
        <v>1748</v>
      </c>
      <c r="H3480" s="165" t="str">
        <f>IF(ISBLANK('Q 5'!E1024),"",IF('Q 5'!E1024="&lt;please select&gt;","",'Q 5'!E1024))</f>
        <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
      </c>
    </row>
    <row r="3490" spans="1:8" x14ac:dyDescent="0.3">
      <c r="A3490" t="s">
        <v>1859</v>
      </c>
      <c r="B3490" t="s">
        <v>1860</v>
      </c>
      <c r="C3490">
        <v>2</v>
      </c>
      <c r="D3490" t="s">
        <v>1447</v>
      </c>
      <c r="E3490" t="s">
        <v>1863</v>
      </c>
      <c r="F3490" t="s">
        <v>1748</v>
      </c>
      <c r="H3490" s="165" t="str">
        <f>IF(ISBLANK('Q 5'!F1009),"",IF('Q 5'!F1009="&lt;please select&gt;","",'Q 5'!F1009))</f>
        <v/>
      </c>
    </row>
    <row r="3491" spans="1:8" x14ac:dyDescent="0.3">
      <c r="A3491" t="s">
        <v>1859</v>
      </c>
      <c r="B3491" t="s">
        <v>1860</v>
      </c>
      <c r="C3491">
        <v>3</v>
      </c>
      <c r="D3491" t="s">
        <v>1447</v>
      </c>
      <c r="E3491" t="s">
        <v>1863</v>
      </c>
      <c r="F3491" t="s">
        <v>1748</v>
      </c>
      <c r="H3491" s="165" t="str">
        <f>IF(ISBLANK('Q 5'!F1010),"",IF('Q 5'!F1010="&lt;please select&gt;","",'Q 5'!F1010))</f>
        <v/>
      </c>
    </row>
    <row r="3492" spans="1:8" x14ac:dyDescent="0.3">
      <c r="A3492" t="s">
        <v>1859</v>
      </c>
      <c r="B3492" t="s">
        <v>1860</v>
      </c>
      <c r="C3492">
        <v>4</v>
      </c>
      <c r="D3492" t="s">
        <v>1447</v>
      </c>
      <c r="E3492" t="s">
        <v>1863</v>
      </c>
      <c r="F3492" t="s">
        <v>1748</v>
      </c>
      <c r="H3492" s="165" t="str">
        <f>IF(ISBLANK('Q 5'!F1011),"",IF('Q 5'!F1011="&lt;please select&gt;","",'Q 5'!F1011))</f>
        <v/>
      </c>
    </row>
    <row r="3493" spans="1:8" x14ac:dyDescent="0.3">
      <c r="A3493" t="s">
        <v>1859</v>
      </c>
      <c r="B3493" t="s">
        <v>1860</v>
      </c>
      <c r="C3493">
        <v>5</v>
      </c>
      <c r="D3493" t="s">
        <v>1447</v>
      </c>
      <c r="E3493" t="s">
        <v>1863</v>
      </c>
      <c r="F3493" t="s">
        <v>1748</v>
      </c>
      <c r="H3493" s="165" t="str">
        <f>IF(ISBLANK('Q 5'!F1012),"",IF('Q 5'!F1012="&lt;please select&gt;","",'Q 5'!F1012))</f>
        <v/>
      </c>
    </row>
    <row r="3494" spans="1:8" x14ac:dyDescent="0.3">
      <c r="A3494" t="s">
        <v>1859</v>
      </c>
      <c r="B3494" t="s">
        <v>1860</v>
      </c>
      <c r="C3494">
        <v>6</v>
      </c>
      <c r="D3494" t="s">
        <v>1447</v>
      </c>
      <c r="E3494" t="s">
        <v>1863</v>
      </c>
      <c r="F3494" t="s">
        <v>1748</v>
      </c>
      <c r="H3494" s="165" t="str">
        <f>IF(ISBLANK('Q 5'!F1013),"",IF('Q 5'!F1013="&lt;please select&gt;","",'Q 5'!F1013))</f>
        <v/>
      </c>
    </row>
    <row r="3495" spans="1:8" x14ac:dyDescent="0.3">
      <c r="A3495" t="s">
        <v>1859</v>
      </c>
      <c r="B3495" t="s">
        <v>1860</v>
      </c>
      <c r="C3495">
        <v>7</v>
      </c>
      <c r="D3495" t="s">
        <v>1447</v>
      </c>
      <c r="E3495" t="s">
        <v>1863</v>
      </c>
      <c r="F3495" t="s">
        <v>1748</v>
      </c>
      <c r="H3495" s="165" t="str">
        <f>IF(ISBLANK('Q 5'!F1014),"",IF('Q 5'!F1014="&lt;please select&gt;","",'Q 5'!F1014))</f>
        <v/>
      </c>
    </row>
    <row r="3496" spans="1:8" x14ac:dyDescent="0.3">
      <c r="A3496" t="s">
        <v>1859</v>
      </c>
      <c r="B3496" t="s">
        <v>1860</v>
      </c>
      <c r="C3496">
        <v>8</v>
      </c>
      <c r="D3496" t="s">
        <v>1447</v>
      </c>
      <c r="E3496" t="s">
        <v>1863</v>
      </c>
      <c r="F3496" t="s">
        <v>1748</v>
      </c>
      <c r="H3496" s="165" t="str">
        <f>IF(ISBLANK('Q 5'!F1015),"",IF('Q 5'!F1015="&lt;please select&gt;","",'Q 5'!F1015))</f>
        <v/>
      </c>
    </row>
    <row r="3497" spans="1:8" x14ac:dyDescent="0.3">
      <c r="A3497" t="s">
        <v>1859</v>
      </c>
      <c r="B3497" t="s">
        <v>1860</v>
      </c>
      <c r="C3497">
        <v>9</v>
      </c>
      <c r="D3497" t="s">
        <v>1447</v>
      </c>
      <c r="E3497" t="s">
        <v>1863</v>
      </c>
      <c r="F3497" t="s">
        <v>1748</v>
      </c>
      <c r="H3497" s="165" t="str">
        <f>IF(ISBLANK('Q 5'!F1016),"",IF('Q 5'!F1016="&lt;please select&gt;","",'Q 5'!F1016))</f>
        <v/>
      </c>
    </row>
    <row r="3498" spans="1:8" x14ac:dyDescent="0.3">
      <c r="A3498" t="s">
        <v>1859</v>
      </c>
      <c r="B3498" t="s">
        <v>1860</v>
      </c>
      <c r="C3498">
        <v>10</v>
      </c>
      <c r="D3498" t="s">
        <v>1447</v>
      </c>
      <c r="E3498" t="s">
        <v>1863</v>
      </c>
      <c r="F3498" t="s">
        <v>1748</v>
      </c>
      <c r="H3498" s="165" t="str">
        <f>IF(ISBLANK('Q 5'!F1017),"",IF('Q 5'!F1017="&lt;please select&gt;","",'Q 5'!F1017))</f>
        <v/>
      </c>
    </row>
    <row r="3499" spans="1:8" x14ac:dyDescent="0.3">
      <c r="A3499" t="s">
        <v>1859</v>
      </c>
      <c r="B3499" t="s">
        <v>1860</v>
      </c>
      <c r="C3499">
        <v>11</v>
      </c>
      <c r="D3499" t="s">
        <v>1447</v>
      </c>
      <c r="E3499" t="s">
        <v>1863</v>
      </c>
      <c r="F3499" t="s">
        <v>1748</v>
      </c>
      <c r="H3499" s="165" t="str">
        <f>IF(ISBLANK('Q 5'!F1018),"",IF('Q 5'!F1018="&lt;please select&gt;","",'Q 5'!F1018))</f>
        <v/>
      </c>
    </row>
    <row r="3500" spans="1:8" x14ac:dyDescent="0.3">
      <c r="A3500" t="s">
        <v>1859</v>
      </c>
      <c r="B3500" t="s">
        <v>1860</v>
      </c>
      <c r="C3500">
        <v>12</v>
      </c>
      <c r="D3500" t="s">
        <v>1447</v>
      </c>
      <c r="E3500" t="s">
        <v>1863</v>
      </c>
      <c r="F3500" t="s">
        <v>1748</v>
      </c>
      <c r="H3500" s="165" t="str">
        <f>IF(ISBLANK('Q 5'!F1019),"",IF('Q 5'!F1019="&lt;please select&gt;","",'Q 5'!F1019))</f>
        <v/>
      </c>
    </row>
    <row r="3501" spans="1:8" x14ac:dyDescent="0.3">
      <c r="A3501" t="s">
        <v>1859</v>
      </c>
      <c r="B3501" t="s">
        <v>1860</v>
      </c>
      <c r="C3501">
        <v>13</v>
      </c>
      <c r="D3501" t="s">
        <v>1447</v>
      </c>
      <c r="E3501" t="s">
        <v>1863</v>
      </c>
      <c r="F3501" t="s">
        <v>1748</v>
      </c>
      <c r="H3501" s="165" t="str">
        <f>IF(ISBLANK('Q 5'!F1020),"",IF('Q 5'!F1020="&lt;please select&gt;","",'Q 5'!F1020))</f>
        <v/>
      </c>
    </row>
    <row r="3502" spans="1:8" x14ac:dyDescent="0.3">
      <c r="A3502" t="s">
        <v>1859</v>
      </c>
      <c r="B3502" t="s">
        <v>1860</v>
      </c>
      <c r="C3502">
        <v>14</v>
      </c>
      <c r="D3502" t="s">
        <v>1447</v>
      </c>
      <c r="E3502" t="s">
        <v>1863</v>
      </c>
      <c r="F3502" t="s">
        <v>1748</v>
      </c>
      <c r="H3502" s="165" t="str">
        <f>IF(ISBLANK('Q 5'!F1021),"",IF('Q 5'!F1021="&lt;please select&gt;","",'Q 5'!F1021))</f>
        <v/>
      </c>
    </row>
    <row r="3503" spans="1:8" x14ac:dyDescent="0.3">
      <c r="A3503" t="s">
        <v>1859</v>
      </c>
      <c r="B3503" t="s">
        <v>1860</v>
      </c>
      <c r="C3503">
        <v>15</v>
      </c>
      <c r="D3503" t="s">
        <v>1447</v>
      </c>
      <c r="E3503" t="s">
        <v>1863</v>
      </c>
      <c r="F3503" t="s">
        <v>1748</v>
      </c>
      <c r="H3503" s="165" t="str">
        <f>IF(ISBLANK('Q 5'!F1022),"",IF('Q 5'!F1022="&lt;please select&gt;","",'Q 5'!F1022))</f>
        <v/>
      </c>
    </row>
    <row r="3504" spans="1:8" x14ac:dyDescent="0.3">
      <c r="A3504" t="s">
        <v>1859</v>
      </c>
      <c r="B3504" t="s">
        <v>1860</v>
      </c>
      <c r="C3504">
        <v>16</v>
      </c>
      <c r="D3504" t="s">
        <v>1447</v>
      </c>
      <c r="E3504" t="s">
        <v>1863</v>
      </c>
      <c r="F3504" t="s">
        <v>1748</v>
      </c>
      <c r="H3504" s="165" t="str">
        <f>IF(ISBLANK('Q 5'!F1023),"",IF('Q 5'!F1023="&lt;please select&gt;","",'Q 5'!F1023))</f>
        <v/>
      </c>
    </row>
    <row r="3505" spans="1:11" x14ac:dyDescent="0.3">
      <c r="A3505" t="s">
        <v>1859</v>
      </c>
      <c r="B3505" t="s">
        <v>1860</v>
      </c>
      <c r="C3505">
        <v>17</v>
      </c>
      <c r="D3505" t="s">
        <v>1447</v>
      </c>
      <c r="E3505" t="s">
        <v>1863</v>
      </c>
      <c r="F3505" t="s">
        <v>1748</v>
      </c>
      <c r="H3505" s="165" t="str">
        <f>IF(ISBLANK('Q 5'!F1024),"",IF('Q 5'!F1024="&lt;please select&gt;","",'Q 5'!F1024))</f>
        <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
      </c>
    </row>
    <row r="3515" spans="1:11" x14ac:dyDescent="0.3">
      <c r="A3515" t="s">
        <v>1859</v>
      </c>
      <c r="B3515" t="s">
        <v>1860</v>
      </c>
      <c r="C3515">
        <v>2</v>
      </c>
      <c r="D3515" t="s">
        <v>1447</v>
      </c>
      <c r="E3515" t="s">
        <v>1864</v>
      </c>
      <c r="F3515" t="s">
        <v>1759</v>
      </c>
      <c r="K3515" t="str">
        <f>IF(ISBLANK('Q 5'!G1009),"",IF('Q 5'!G1009="&lt;please select&gt;","",'Q 5'!G1009))</f>
        <v/>
      </c>
    </row>
    <row r="3516" spans="1:11" x14ac:dyDescent="0.3">
      <c r="A3516" t="s">
        <v>1859</v>
      </c>
      <c r="B3516" t="s">
        <v>1860</v>
      </c>
      <c r="C3516">
        <v>3</v>
      </c>
      <c r="D3516" t="s">
        <v>1447</v>
      </c>
      <c r="E3516" t="s">
        <v>1864</v>
      </c>
      <c r="F3516" t="s">
        <v>1759</v>
      </c>
      <c r="K3516" t="str">
        <f>IF(ISBLANK('Q 5'!G1010),"",IF('Q 5'!G1010="&lt;please select&gt;","",'Q 5'!G1010))</f>
        <v/>
      </c>
    </row>
    <row r="3517" spans="1:11" x14ac:dyDescent="0.3">
      <c r="A3517" t="s">
        <v>1859</v>
      </c>
      <c r="B3517" t="s">
        <v>1860</v>
      </c>
      <c r="C3517">
        <v>4</v>
      </c>
      <c r="D3517" t="s">
        <v>1447</v>
      </c>
      <c r="E3517" t="s">
        <v>1864</v>
      </c>
      <c r="F3517" t="s">
        <v>1759</v>
      </c>
      <c r="K3517" t="str">
        <f>IF(ISBLANK('Q 5'!G1011),"",IF('Q 5'!G1011="&lt;please select&gt;","",'Q 5'!G1011))</f>
        <v/>
      </c>
    </row>
    <row r="3518" spans="1:11" x14ac:dyDescent="0.3">
      <c r="A3518" t="s">
        <v>1859</v>
      </c>
      <c r="B3518" t="s">
        <v>1860</v>
      </c>
      <c r="C3518">
        <v>5</v>
      </c>
      <c r="D3518" t="s">
        <v>1447</v>
      </c>
      <c r="E3518" t="s">
        <v>1864</v>
      </c>
      <c r="F3518" t="s">
        <v>1759</v>
      </c>
      <c r="K3518" t="str">
        <f>IF(ISBLANK('Q 5'!G1012),"",IF('Q 5'!G1012="&lt;please select&gt;","",'Q 5'!G1012))</f>
        <v/>
      </c>
    </row>
    <row r="3519" spans="1:11" x14ac:dyDescent="0.3">
      <c r="A3519" t="s">
        <v>1859</v>
      </c>
      <c r="B3519" t="s">
        <v>1860</v>
      </c>
      <c r="C3519">
        <v>6</v>
      </c>
      <c r="D3519" t="s">
        <v>1447</v>
      </c>
      <c r="E3519" t="s">
        <v>1864</v>
      </c>
      <c r="F3519" t="s">
        <v>1759</v>
      </c>
      <c r="K3519" t="str">
        <f>IF(ISBLANK('Q 5'!G1013),"",IF('Q 5'!G1013="&lt;please select&gt;","",'Q 5'!G1013))</f>
        <v/>
      </c>
    </row>
    <row r="3520" spans="1:11" x14ac:dyDescent="0.3">
      <c r="A3520" t="s">
        <v>1859</v>
      </c>
      <c r="B3520" t="s">
        <v>1860</v>
      </c>
      <c r="C3520">
        <v>7</v>
      </c>
      <c r="D3520" t="s">
        <v>1447</v>
      </c>
      <c r="E3520" t="s">
        <v>1864</v>
      </c>
      <c r="F3520" t="s">
        <v>1759</v>
      </c>
      <c r="K3520" t="str">
        <f>IF(ISBLANK('Q 5'!G1014),"",IF('Q 5'!G1014="&lt;please select&gt;","",'Q 5'!G1014))</f>
        <v/>
      </c>
    </row>
    <row r="3521" spans="1:11" x14ac:dyDescent="0.3">
      <c r="A3521" t="s">
        <v>1859</v>
      </c>
      <c r="B3521" t="s">
        <v>1860</v>
      </c>
      <c r="C3521">
        <v>8</v>
      </c>
      <c r="D3521" t="s">
        <v>1447</v>
      </c>
      <c r="E3521" t="s">
        <v>1864</v>
      </c>
      <c r="F3521" t="s">
        <v>1759</v>
      </c>
      <c r="K3521" t="str">
        <f>IF(ISBLANK('Q 5'!G1015),"",IF('Q 5'!G1015="&lt;please select&gt;","",'Q 5'!G1015))</f>
        <v/>
      </c>
    </row>
    <row r="3522" spans="1:11" x14ac:dyDescent="0.3">
      <c r="A3522" t="s">
        <v>1859</v>
      </c>
      <c r="B3522" t="s">
        <v>1860</v>
      </c>
      <c r="C3522">
        <v>9</v>
      </c>
      <c r="D3522" t="s">
        <v>1447</v>
      </c>
      <c r="E3522" t="s">
        <v>1864</v>
      </c>
      <c r="F3522" t="s">
        <v>1759</v>
      </c>
      <c r="K3522" t="str">
        <f>IF(ISBLANK('Q 5'!G1016),"",IF('Q 5'!G1016="&lt;please select&gt;","",'Q 5'!G1016))</f>
        <v/>
      </c>
    </row>
    <row r="3523" spans="1:11" x14ac:dyDescent="0.3">
      <c r="A3523" t="s">
        <v>1859</v>
      </c>
      <c r="B3523" t="s">
        <v>1860</v>
      </c>
      <c r="C3523">
        <v>10</v>
      </c>
      <c r="D3523" t="s">
        <v>1447</v>
      </c>
      <c r="E3523" t="s">
        <v>1864</v>
      </c>
      <c r="F3523" t="s">
        <v>1759</v>
      </c>
      <c r="K3523" t="str">
        <f>IF(ISBLANK('Q 5'!G1017),"",IF('Q 5'!G1017="&lt;please select&gt;","",'Q 5'!G1017))</f>
        <v/>
      </c>
    </row>
    <row r="3524" spans="1:11" x14ac:dyDescent="0.3">
      <c r="A3524" t="s">
        <v>1859</v>
      </c>
      <c r="B3524" t="s">
        <v>1860</v>
      </c>
      <c r="C3524">
        <v>11</v>
      </c>
      <c r="D3524" t="s">
        <v>1447</v>
      </c>
      <c r="E3524" t="s">
        <v>1864</v>
      </c>
      <c r="F3524" t="s">
        <v>1759</v>
      </c>
      <c r="K3524" t="str">
        <f>IF(ISBLANK('Q 5'!G1018),"",IF('Q 5'!G1018="&lt;please select&gt;","",'Q 5'!G1018))</f>
        <v/>
      </c>
    </row>
    <row r="3525" spans="1:11" x14ac:dyDescent="0.3">
      <c r="A3525" t="s">
        <v>1859</v>
      </c>
      <c r="B3525" t="s">
        <v>1860</v>
      </c>
      <c r="C3525">
        <v>12</v>
      </c>
      <c r="D3525" t="s">
        <v>1447</v>
      </c>
      <c r="E3525" t="s">
        <v>1864</v>
      </c>
      <c r="F3525" t="s">
        <v>1759</v>
      </c>
      <c r="K3525" t="str">
        <f>IF(ISBLANK('Q 5'!G1019),"",IF('Q 5'!G1019="&lt;please select&gt;","",'Q 5'!G1019))</f>
        <v/>
      </c>
    </row>
    <row r="3526" spans="1:11" x14ac:dyDescent="0.3">
      <c r="A3526" t="s">
        <v>1859</v>
      </c>
      <c r="B3526" t="s">
        <v>1860</v>
      </c>
      <c r="C3526">
        <v>13</v>
      </c>
      <c r="D3526" t="s">
        <v>1447</v>
      </c>
      <c r="E3526" t="s">
        <v>1864</v>
      </c>
      <c r="F3526" t="s">
        <v>1759</v>
      </c>
      <c r="K3526" t="str">
        <f>IF(ISBLANK('Q 5'!G1020),"",IF('Q 5'!G1020="&lt;please select&gt;","",'Q 5'!G1020))</f>
        <v/>
      </c>
    </row>
    <row r="3527" spans="1:11" x14ac:dyDescent="0.3">
      <c r="A3527" t="s">
        <v>1859</v>
      </c>
      <c r="B3527" t="s">
        <v>1860</v>
      </c>
      <c r="C3527">
        <v>14</v>
      </c>
      <c r="D3527" t="s">
        <v>1447</v>
      </c>
      <c r="E3527" t="s">
        <v>1864</v>
      </c>
      <c r="F3527" t="s">
        <v>1759</v>
      </c>
      <c r="K3527" t="str">
        <f>IF(ISBLANK('Q 5'!G1021),"",IF('Q 5'!G1021="&lt;please select&gt;","",'Q 5'!G1021))</f>
        <v/>
      </c>
    </row>
    <row r="3528" spans="1:11" x14ac:dyDescent="0.3">
      <c r="A3528" t="s">
        <v>1859</v>
      </c>
      <c r="B3528" t="s">
        <v>1860</v>
      </c>
      <c r="C3528">
        <v>15</v>
      </c>
      <c r="D3528" t="s">
        <v>1447</v>
      </c>
      <c r="E3528" t="s">
        <v>1864</v>
      </c>
      <c r="F3528" t="s">
        <v>1759</v>
      </c>
      <c r="K3528" t="str">
        <f>IF(ISBLANK('Q 5'!G1022),"",IF('Q 5'!G1022="&lt;please select&gt;","",'Q 5'!G1022))</f>
        <v/>
      </c>
    </row>
    <row r="3529" spans="1:11" x14ac:dyDescent="0.3">
      <c r="A3529" t="s">
        <v>1859</v>
      </c>
      <c r="B3529" t="s">
        <v>1860</v>
      </c>
      <c r="C3529">
        <v>16</v>
      </c>
      <c r="D3529" t="s">
        <v>1447</v>
      </c>
      <c r="E3529" t="s">
        <v>1864</v>
      </c>
      <c r="F3529" t="s">
        <v>1759</v>
      </c>
      <c r="K3529" t="str">
        <f>IF(ISBLANK('Q 5'!G1023),"",IF('Q 5'!G1023="&lt;please select&gt;","",'Q 5'!G1023))</f>
        <v/>
      </c>
    </row>
    <row r="3530" spans="1:11" x14ac:dyDescent="0.3">
      <c r="A3530" t="s">
        <v>1859</v>
      </c>
      <c r="B3530" t="s">
        <v>1860</v>
      </c>
      <c r="C3530">
        <v>17</v>
      </c>
      <c r="D3530" t="s">
        <v>1447</v>
      </c>
      <c r="E3530" t="s">
        <v>1864</v>
      </c>
      <c r="F3530" t="s">
        <v>1759</v>
      </c>
      <c r="K3530" t="str">
        <f>IF(ISBLANK('Q 5'!G1024),"",IF('Q 5'!G1024="&lt;please select&gt;","",'Q 5'!G1024))</f>
        <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
      </c>
    </row>
    <row r="3565" spans="1:7" x14ac:dyDescent="0.3">
      <c r="A3565" t="s">
        <v>1866</v>
      </c>
      <c r="B3565" t="s">
        <v>1867</v>
      </c>
      <c r="C3565">
        <v>2</v>
      </c>
      <c r="D3565" t="s">
        <v>1447</v>
      </c>
      <c r="E3565" t="s">
        <v>1868</v>
      </c>
      <c r="F3565" t="s">
        <v>1741</v>
      </c>
      <c r="G3565" t="str">
        <f>IF(ISBLANK('Q 5'!C1038),"",IF('Q 5'!C1038="&lt;please select&gt;","",'Q 5'!C1038))</f>
        <v/>
      </c>
    </row>
    <row r="3566" spans="1:7" x14ac:dyDescent="0.3">
      <c r="A3566" t="s">
        <v>1866</v>
      </c>
      <c r="B3566" t="s">
        <v>1867</v>
      </c>
      <c r="C3566">
        <v>3</v>
      </c>
      <c r="D3566" t="s">
        <v>1447</v>
      </c>
      <c r="E3566" t="s">
        <v>1868</v>
      </c>
      <c r="F3566" t="s">
        <v>1741</v>
      </c>
      <c r="G3566" t="str">
        <f>IF(ISBLANK('Q 5'!C1039),"",IF('Q 5'!C1039="&lt;please select&gt;","",'Q 5'!C1039))</f>
        <v/>
      </c>
    </row>
    <row r="3567" spans="1:7" x14ac:dyDescent="0.3">
      <c r="A3567" t="s">
        <v>1866</v>
      </c>
      <c r="B3567" t="s">
        <v>1867</v>
      </c>
      <c r="C3567">
        <v>4</v>
      </c>
      <c r="D3567" t="s">
        <v>1447</v>
      </c>
      <c r="E3567" t="s">
        <v>1868</v>
      </c>
      <c r="F3567" t="s">
        <v>1741</v>
      </c>
      <c r="G3567" t="str">
        <f>IF(ISBLANK('Q 5'!C1040),"",IF('Q 5'!C1040="&lt;please select&gt;","",'Q 5'!C1040))</f>
        <v/>
      </c>
    </row>
    <row r="3568" spans="1:7" x14ac:dyDescent="0.3">
      <c r="A3568" t="s">
        <v>1866</v>
      </c>
      <c r="B3568" t="s">
        <v>1867</v>
      </c>
      <c r="C3568">
        <v>5</v>
      </c>
      <c r="D3568" t="s">
        <v>1447</v>
      </c>
      <c r="E3568" t="s">
        <v>1868</v>
      </c>
      <c r="F3568" t="s">
        <v>1741</v>
      </c>
      <c r="G3568" t="str">
        <f>IF(ISBLANK('Q 5'!C1041),"",IF('Q 5'!C1041="&lt;please select&gt;","",'Q 5'!C1041))</f>
        <v/>
      </c>
    </row>
    <row r="3569" spans="1:7" x14ac:dyDescent="0.3">
      <c r="A3569" t="s">
        <v>1866</v>
      </c>
      <c r="B3569" t="s">
        <v>1867</v>
      </c>
      <c r="C3569">
        <v>6</v>
      </c>
      <c r="D3569" t="s">
        <v>1447</v>
      </c>
      <c r="E3569" t="s">
        <v>1868</v>
      </c>
      <c r="F3569" t="s">
        <v>1741</v>
      </c>
      <c r="G3569" t="str">
        <f>IF(ISBLANK('Q 5'!C1042),"",IF('Q 5'!C1042="&lt;please select&gt;","",'Q 5'!C1042))</f>
        <v/>
      </c>
    </row>
    <row r="3570" spans="1:7" x14ac:dyDescent="0.3">
      <c r="A3570" t="s">
        <v>1866</v>
      </c>
      <c r="B3570" t="s">
        <v>1867</v>
      </c>
      <c r="C3570">
        <v>7</v>
      </c>
      <c r="D3570" t="s">
        <v>1447</v>
      </c>
      <c r="E3570" t="s">
        <v>1868</v>
      </c>
      <c r="F3570" t="s">
        <v>1741</v>
      </c>
      <c r="G3570" t="str">
        <f>IF(ISBLANK('Q 5'!C1043),"",IF('Q 5'!C1043="&lt;please select&gt;","",'Q 5'!C1043))</f>
        <v/>
      </c>
    </row>
    <row r="3571" spans="1:7" x14ac:dyDescent="0.3">
      <c r="A3571" t="s">
        <v>1866</v>
      </c>
      <c r="B3571" t="s">
        <v>1867</v>
      </c>
      <c r="C3571">
        <v>8</v>
      </c>
      <c r="D3571" t="s">
        <v>1447</v>
      </c>
      <c r="E3571" t="s">
        <v>1868</v>
      </c>
      <c r="F3571" t="s">
        <v>1741</v>
      </c>
      <c r="G3571" t="str">
        <f>IF(ISBLANK('Q 5'!C1044),"",IF('Q 5'!C1044="&lt;please select&gt;","",'Q 5'!C1044))</f>
        <v/>
      </c>
    </row>
    <row r="3572" spans="1:7" x14ac:dyDescent="0.3">
      <c r="A3572" t="s">
        <v>1866</v>
      </c>
      <c r="B3572" t="s">
        <v>1867</v>
      </c>
      <c r="C3572">
        <v>9</v>
      </c>
      <c r="D3572" t="s">
        <v>1447</v>
      </c>
      <c r="E3572" t="s">
        <v>1868</v>
      </c>
      <c r="F3572" t="s">
        <v>1741</v>
      </c>
      <c r="G3572" t="str">
        <f>IF(ISBLANK('Q 5'!C1045),"",IF('Q 5'!C1045="&lt;please select&gt;","",'Q 5'!C1045))</f>
        <v/>
      </c>
    </row>
    <row r="3573" spans="1:7" x14ac:dyDescent="0.3">
      <c r="A3573" t="s">
        <v>1866</v>
      </c>
      <c r="B3573" t="s">
        <v>1867</v>
      </c>
      <c r="C3573">
        <v>10</v>
      </c>
      <c r="D3573" t="s">
        <v>1447</v>
      </c>
      <c r="E3573" t="s">
        <v>1868</v>
      </c>
      <c r="F3573" t="s">
        <v>1741</v>
      </c>
      <c r="G3573" t="str">
        <f>IF(ISBLANK('Q 5'!C1046),"",IF('Q 5'!C1046="&lt;please select&gt;","",'Q 5'!C1046))</f>
        <v/>
      </c>
    </row>
    <row r="3574" spans="1:7" x14ac:dyDescent="0.3">
      <c r="A3574" t="s">
        <v>1866</v>
      </c>
      <c r="B3574" t="s">
        <v>1867</v>
      </c>
      <c r="C3574">
        <v>11</v>
      </c>
      <c r="D3574" t="s">
        <v>1447</v>
      </c>
      <c r="E3574" t="s">
        <v>1868</v>
      </c>
      <c r="F3574" t="s">
        <v>1741</v>
      </c>
      <c r="G3574" t="str">
        <f>IF(ISBLANK('Q 5'!C1047),"",IF('Q 5'!C1047="&lt;please select&gt;","",'Q 5'!C1047))</f>
        <v/>
      </c>
    </row>
    <row r="3575" spans="1:7" x14ac:dyDescent="0.3">
      <c r="A3575" t="s">
        <v>1866</v>
      </c>
      <c r="B3575" t="s">
        <v>1867</v>
      </c>
      <c r="C3575">
        <v>12</v>
      </c>
      <c r="D3575" t="s">
        <v>1447</v>
      </c>
      <c r="E3575" t="s">
        <v>1868</v>
      </c>
      <c r="F3575" t="s">
        <v>1741</v>
      </c>
      <c r="G3575" t="str">
        <f>IF(ISBLANK('Q 5'!C1048),"",IF('Q 5'!C1048="&lt;please select&gt;","",'Q 5'!C1048))</f>
        <v/>
      </c>
    </row>
    <row r="3576" spans="1:7" x14ac:dyDescent="0.3">
      <c r="A3576" t="s">
        <v>1866</v>
      </c>
      <c r="B3576" t="s">
        <v>1867</v>
      </c>
      <c r="C3576">
        <v>13</v>
      </c>
      <c r="D3576" t="s">
        <v>1447</v>
      </c>
      <c r="E3576" t="s">
        <v>1868</v>
      </c>
      <c r="F3576" t="s">
        <v>1741</v>
      </c>
      <c r="G3576" t="str">
        <f>IF(ISBLANK('Q 5'!C1049),"",IF('Q 5'!C1049="&lt;please select&gt;","",'Q 5'!C1049))</f>
        <v/>
      </c>
    </row>
    <row r="3577" spans="1:7" x14ac:dyDescent="0.3">
      <c r="A3577" t="s">
        <v>1866</v>
      </c>
      <c r="B3577" t="s">
        <v>1867</v>
      </c>
      <c r="C3577">
        <v>14</v>
      </c>
      <c r="D3577" t="s">
        <v>1447</v>
      </c>
      <c r="E3577" t="s">
        <v>1868</v>
      </c>
      <c r="F3577" t="s">
        <v>1741</v>
      </c>
      <c r="G3577" t="str">
        <f>IF(ISBLANK('Q 5'!C1050),"",IF('Q 5'!C1050="&lt;please select&gt;","",'Q 5'!C1050))</f>
        <v/>
      </c>
    </row>
    <row r="3578" spans="1:7" x14ac:dyDescent="0.3">
      <c r="A3578" t="s">
        <v>1866</v>
      </c>
      <c r="B3578" t="s">
        <v>1867</v>
      </c>
      <c r="C3578">
        <v>15</v>
      </c>
      <c r="D3578" t="s">
        <v>1447</v>
      </c>
      <c r="E3578" t="s">
        <v>1868</v>
      </c>
      <c r="F3578" t="s">
        <v>1741</v>
      </c>
      <c r="G3578" t="str">
        <f>IF(ISBLANK('Q 5'!C1051),"",IF('Q 5'!C1051="&lt;please select&gt;","",'Q 5'!C1051))</f>
        <v/>
      </c>
    </row>
    <row r="3579" spans="1:7" x14ac:dyDescent="0.3">
      <c r="A3579" t="s">
        <v>1866</v>
      </c>
      <c r="B3579" t="s">
        <v>1867</v>
      </c>
      <c r="C3579">
        <v>16</v>
      </c>
      <c r="D3579" t="s">
        <v>1447</v>
      </c>
      <c r="E3579" t="s">
        <v>1868</v>
      </c>
      <c r="F3579" t="s">
        <v>1741</v>
      </c>
      <c r="G3579" t="str">
        <f>IF(ISBLANK('Q 5'!C1052),"",IF('Q 5'!C1052="&lt;please select&gt;","",'Q 5'!C1052))</f>
        <v/>
      </c>
    </row>
    <row r="3580" spans="1:7" x14ac:dyDescent="0.3">
      <c r="A3580" t="s">
        <v>1866</v>
      </c>
      <c r="B3580" t="s">
        <v>1867</v>
      </c>
      <c r="C3580">
        <v>17</v>
      </c>
      <c r="D3580" t="s">
        <v>1447</v>
      </c>
      <c r="E3580" t="s">
        <v>1868</v>
      </c>
      <c r="F3580" t="s">
        <v>1741</v>
      </c>
      <c r="G3580" t="str">
        <f>IF(ISBLANK('Q 5'!C1053),"",IF('Q 5'!C1053="&lt;please select&gt;","",'Q 5'!C1053))</f>
        <v/>
      </c>
    </row>
    <row r="3581" spans="1:7" x14ac:dyDescent="0.3">
      <c r="A3581" t="s">
        <v>1866</v>
      </c>
      <c r="B3581" t="s">
        <v>1867</v>
      </c>
      <c r="C3581">
        <v>18</v>
      </c>
      <c r="D3581" t="s">
        <v>1447</v>
      </c>
      <c r="E3581" t="s">
        <v>1868</v>
      </c>
      <c r="F3581" t="s">
        <v>1741</v>
      </c>
      <c r="G3581" t="str">
        <f>IF(ISBLANK('Q 5'!C1054),"",IF('Q 5'!C1054="&lt;please select&gt;","",'Q 5'!C1054))</f>
        <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
      </c>
    </row>
    <row r="3620" spans="1:7" x14ac:dyDescent="0.3">
      <c r="A3620" t="s">
        <v>1866</v>
      </c>
      <c r="B3620" t="s">
        <v>1867</v>
      </c>
      <c r="C3620">
        <v>2</v>
      </c>
      <c r="D3620" t="s">
        <v>1447</v>
      </c>
      <c r="E3620" t="s">
        <v>1869</v>
      </c>
      <c r="F3620" t="s">
        <v>1741</v>
      </c>
      <c r="G3620" t="str">
        <f>IF(ISBLANK('Q 5'!D1038),"",IF('Q 5'!D1038="&lt;please select&gt;","",'Q 5'!D1038))</f>
        <v/>
      </c>
    </row>
    <row r="3621" spans="1:7" x14ac:dyDescent="0.3">
      <c r="A3621" t="s">
        <v>1866</v>
      </c>
      <c r="B3621" t="s">
        <v>1867</v>
      </c>
      <c r="C3621">
        <v>3</v>
      </c>
      <c r="D3621" t="s">
        <v>1447</v>
      </c>
      <c r="E3621" t="s">
        <v>1869</v>
      </c>
      <c r="F3621" t="s">
        <v>1741</v>
      </c>
      <c r="G3621" t="str">
        <f>IF(ISBLANK('Q 5'!D1039),"",IF('Q 5'!D1039="&lt;please select&gt;","",'Q 5'!D1039))</f>
        <v/>
      </c>
    </row>
    <row r="3622" spans="1:7" x14ac:dyDescent="0.3">
      <c r="A3622" t="s">
        <v>1866</v>
      </c>
      <c r="B3622" t="s">
        <v>1867</v>
      </c>
      <c r="C3622">
        <v>4</v>
      </c>
      <c r="D3622" t="s">
        <v>1447</v>
      </c>
      <c r="E3622" t="s">
        <v>1869</v>
      </c>
      <c r="F3622" t="s">
        <v>1741</v>
      </c>
      <c r="G3622" t="str">
        <f>IF(ISBLANK('Q 5'!D1040),"",IF('Q 5'!D1040="&lt;please select&gt;","",'Q 5'!D1040))</f>
        <v/>
      </c>
    </row>
    <row r="3623" spans="1:7" x14ac:dyDescent="0.3">
      <c r="A3623" t="s">
        <v>1866</v>
      </c>
      <c r="B3623" t="s">
        <v>1867</v>
      </c>
      <c r="C3623">
        <v>5</v>
      </c>
      <c r="D3623" t="s">
        <v>1447</v>
      </c>
      <c r="E3623" t="s">
        <v>1869</v>
      </c>
      <c r="F3623" t="s">
        <v>1741</v>
      </c>
      <c r="G3623" t="str">
        <f>IF(ISBLANK('Q 5'!D1041),"",IF('Q 5'!D1041="&lt;please select&gt;","",'Q 5'!D1041))</f>
        <v/>
      </c>
    </row>
    <row r="3624" spans="1:7" x14ac:dyDescent="0.3">
      <c r="A3624" t="s">
        <v>1866</v>
      </c>
      <c r="B3624" t="s">
        <v>1867</v>
      </c>
      <c r="C3624">
        <v>6</v>
      </c>
      <c r="D3624" t="s">
        <v>1447</v>
      </c>
      <c r="E3624" t="s">
        <v>1869</v>
      </c>
      <c r="F3624" t="s">
        <v>1741</v>
      </c>
      <c r="G3624" t="str">
        <f>IF(ISBLANK('Q 5'!D1042),"",IF('Q 5'!D1042="&lt;please select&gt;","",'Q 5'!D1042))</f>
        <v/>
      </c>
    </row>
    <row r="3625" spans="1:7" x14ac:dyDescent="0.3">
      <c r="A3625" t="s">
        <v>1866</v>
      </c>
      <c r="B3625" t="s">
        <v>1867</v>
      </c>
      <c r="C3625">
        <v>7</v>
      </c>
      <c r="D3625" t="s">
        <v>1447</v>
      </c>
      <c r="E3625" t="s">
        <v>1869</v>
      </c>
      <c r="F3625" t="s">
        <v>1741</v>
      </c>
      <c r="G3625" t="str">
        <f>IF(ISBLANK('Q 5'!D1043),"",IF('Q 5'!D1043="&lt;please select&gt;","",'Q 5'!D1043))</f>
        <v/>
      </c>
    </row>
    <row r="3626" spans="1:7" x14ac:dyDescent="0.3">
      <c r="A3626" t="s">
        <v>1866</v>
      </c>
      <c r="B3626" t="s">
        <v>1867</v>
      </c>
      <c r="C3626">
        <v>8</v>
      </c>
      <c r="D3626" t="s">
        <v>1447</v>
      </c>
      <c r="E3626" t="s">
        <v>1869</v>
      </c>
      <c r="F3626" t="s">
        <v>1741</v>
      </c>
      <c r="G3626" t="str">
        <f>IF(ISBLANK('Q 5'!D1044),"",IF('Q 5'!D1044="&lt;please select&gt;","",'Q 5'!D1044))</f>
        <v/>
      </c>
    </row>
    <row r="3627" spans="1:7" x14ac:dyDescent="0.3">
      <c r="A3627" t="s">
        <v>1866</v>
      </c>
      <c r="B3627" t="s">
        <v>1867</v>
      </c>
      <c r="C3627">
        <v>9</v>
      </c>
      <c r="D3627" t="s">
        <v>1447</v>
      </c>
      <c r="E3627" t="s">
        <v>1869</v>
      </c>
      <c r="F3627" t="s">
        <v>1741</v>
      </c>
      <c r="G3627" t="str">
        <f>IF(ISBLANK('Q 5'!D1045),"",IF('Q 5'!D1045="&lt;please select&gt;","",'Q 5'!D1045))</f>
        <v/>
      </c>
    </row>
    <row r="3628" spans="1:7" x14ac:dyDescent="0.3">
      <c r="A3628" t="s">
        <v>1866</v>
      </c>
      <c r="B3628" t="s">
        <v>1867</v>
      </c>
      <c r="C3628">
        <v>10</v>
      </c>
      <c r="D3628" t="s">
        <v>1447</v>
      </c>
      <c r="E3628" t="s">
        <v>1869</v>
      </c>
      <c r="F3628" t="s">
        <v>1741</v>
      </c>
      <c r="G3628" t="str">
        <f>IF(ISBLANK('Q 5'!D1046),"",IF('Q 5'!D1046="&lt;please select&gt;","",'Q 5'!D1046))</f>
        <v/>
      </c>
    </row>
    <row r="3629" spans="1:7" x14ac:dyDescent="0.3">
      <c r="A3629" t="s">
        <v>1866</v>
      </c>
      <c r="B3629" t="s">
        <v>1867</v>
      </c>
      <c r="C3629">
        <v>11</v>
      </c>
      <c r="D3629" t="s">
        <v>1447</v>
      </c>
      <c r="E3629" t="s">
        <v>1869</v>
      </c>
      <c r="F3629" t="s">
        <v>1741</v>
      </c>
      <c r="G3629" t="str">
        <f>IF(ISBLANK('Q 5'!D1047),"",IF('Q 5'!D1047="&lt;please select&gt;","",'Q 5'!D1047))</f>
        <v/>
      </c>
    </row>
    <row r="3630" spans="1:7" x14ac:dyDescent="0.3">
      <c r="A3630" t="s">
        <v>1866</v>
      </c>
      <c r="B3630" t="s">
        <v>1867</v>
      </c>
      <c r="C3630">
        <v>12</v>
      </c>
      <c r="D3630" t="s">
        <v>1447</v>
      </c>
      <c r="E3630" t="s">
        <v>1869</v>
      </c>
      <c r="F3630" t="s">
        <v>1741</v>
      </c>
      <c r="G3630" t="str">
        <f>IF(ISBLANK('Q 5'!D1048),"",IF('Q 5'!D1048="&lt;please select&gt;","",'Q 5'!D1048))</f>
        <v/>
      </c>
    </row>
    <row r="3631" spans="1:7" x14ac:dyDescent="0.3">
      <c r="A3631" t="s">
        <v>1866</v>
      </c>
      <c r="B3631" t="s">
        <v>1867</v>
      </c>
      <c r="C3631">
        <v>13</v>
      </c>
      <c r="D3631" t="s">
        <v>1447</v>
      </c>
      <c r="E3631" t="s">
        <v>1869</v>
      </c>
      <c r="F3631" t="s">
        <v>1741</v>
      </c>
      <c r="G3631" t="str">
        <f>IF(ISBLANK('Q 5'!D1049),"",IF('Q 5'!D1049="&lt;please select&gt;","",'Q 5'!D1049))</f>
        <v/>
      </c>
    </row>
    <row r="3632" spans="1:7" x14ac:dyDescent="0.3">
      <c r="A3632" t="s">
        <v>1866</v>
      </c>
      <c r="B3632" t="s">
        <v>1867</v>
      </c>
      <c r="C3632">
        <v>14</v>
      </c>
      <c r="D3632" t="s">
        <v>1447</v>
      </c>
      <c r="E3632" t="s">
        <v>1869</v>
      </c>
      <c r="F3632" t="s">
        <v>1741</v>
      </c>
      <c r="G3632" t="str">
        <f>IF(ISBLANK('Q 5'!D1050),"",IF('Q 5'!D1050="&lt;please select&gt;","",'Q 5'!D1050))</f>
        <v/>
      </c>
    </row>
    <row r="3633" spans="1:7" x14ac:dyDescent="0.3">
      <c r="A3633" t="s">
        <v>1866</v>
      </c>
      <c r="B3633" t="s">
        <v>1867</v>
      </c>
      <c r="C3633">
        <v>15</v>
      </c>
      <c r="D3633" t="s">
        <v>1447</v>
      </c>
      <c r="E3633" t="s">
        <v>1869</v>
      </c>
      <c r="F3633" t="s">
        <v>1741</v>
      </c>
      <c r="G3633" t="str">
        <f>IF(ISBLANK('Q 5'!D1051),"",IF('Q 5'!D1051="&lt;please select&gt;","",'Q 5'!D1051))</f>
        <v/>
      </c>
    </row>
    <row r="3634" spans="1:7" x14ac:dyDescent="0.3">
      <c r="A3634" t="s">
        <v>1866</v>
      </c>
      <c r="B3634" t="s">
        <v>1867</v>
      </c>
      <c r="C3634">
        <v>16</v>
      </c>
      <c r="D3634" t="s">
        <v>1447</v>
      </c>
      <c r="E3634" t="s">
        <v>1869</v>
      </c>
      <c r="F3634" t="s">
        <v>1741</v>
      </c>
      <c r="G3634" t="str">
        <f>IF(ISBLANK('Q 5'!D1052),"",IF('Q 5'!D1052="&lt;please select&gt;","",'Q 5'!D1052))</f>
        <v/>
      </c>
    </row>
    <row r="3635" spans="1:7" x14ac:dyDescent="0.3">
      <c r="A3635" t="s">
        <v>1866</v>
      </c>
      <c r="B3635" t="s">
        <v>1867</v>
      </c>
      <c r="C3635">
        <v>17</v>
      </c>
      <c r="D3635" t="s">
        <v>1447</v>
      </c>
      <c r="E3635" t="s">
        <v>1869</v>
      </c>
      <c r="F3635" t="s">
        <v>1741</v>
      </c>
      <c r="G3635" t="str">
        <f>IF(ISBLANK('Q 5'!D1053),"",IF('Q 5'!D1053="&lt;please select&gt;","",'Q 5'!D1053))</f>
        <v/>
      </c>
    </row>
    <row r="3636" spans="1:7" x14ac:dyDescent="0.3">
      <c r="A3636" t="s">
        <v>1866</v>
      </c>
      <c r="B3636" t="s">
        <v>1867</v>
      </c>
      <c r="C3636">
        <v>18</v>
      </c>
      <c r="D3636" t="s">
        <v>1447</v>
      </c>
      <c r="E3636" t="s">
        <v>1869</v>
      </c>
      <c r="F3636" t="s">
        <v>1741</v>
      </c>
      <c r="G3636" t="str">
        <f>IF(ISBLANK('Q 5'!D1054),"",IF('Q 5'!D1054="&lt;please select&gt;","",'Q 5'!D1054))</f>
        <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
      </c>
    </row>
    <row r="3675" spans="1:7" x14ac:dyDescent="0.3">
      <c r="A3675" t="s">
        <v>1866</v>
      </c>
      <c r="B3675" t="s">
        <v>1867</v>
      </c>
      <c r="C3675">
        <v>2</v>
      </c>
      <c r="D3675" t="s">
        <v>1447</v>
      </c>
      <c r="E3675" t="s">
        <v>1870</v>
      </c>
      <c r="F3675" t="s">
        <v>1741</v>
      </c>
      <c r="G3675" t="str">
        <f>IF(ISBLANK('Q 5'!E1038),"",IF('Q 5'!E1038="&lt;please select&gt;","",'Q 5'!E1038))</f>
        <v/>
      </c>
    </row>
    <row r="3676" spans="1:7" x14ac:dyDescent="0.3">
      <c r="A3676" t="s">
        <v>1866</v>
      </c>
      <c r="B3676" t="s">
        <v>1867</v>
      </c>
      <c r="C3676">
        <v>3</v>
      </c>
      <c r="D3676" t="s">
        <v>1447</v>
      </c>
      <c r="E3676" t="s">
        <v>1870</v>
      </c>
      <c r="F3676" t="s">
        <v>1741</v>
      </c>
      <c r="G3676" t="str">
        <f>IF(ISBLANK('Q 5'!E1039),"",IF('Q 5'!E1039="&lt;please select&gt;","",'Q 5'!E1039))</f>
        <v/>
      </c>
    </row>
    <row r="3677" spans="1:7" x14ac:dyDescent="0.3">
      <c r="A3677" t="s">
        <v>1866</v>
      </c>
      <c r="B3677" t="s">
        <v>1867</v>
      </c>
      <c r="C3677">
        <v>4</v>
      </c>
      <c r="D3677" t="s">
        <v>1447</v>
      </c>
      <c r="E3677" t="s">
        <v>1870</v>
      </c>
      <c r="F3677" t="s">
        <v>1741</v>
      </c>
      <c r="G3677" t="str">
        <f>IF(ISBLANK('Q 5'!E1040),"",IF('Q 5'!E1040="&lt;please select&gt;","",'Q 5'!E1040))</f>
        <v/>
      </c>
    </row>
    <row r="3678" spans="1:7" x14ac:dyDescent="0.3">
      <c r="A3678" t="s">
        <v>1866</v>
      </c>
      <c r="B3678" t="s">
        <v>1867</v>
      </c>
      <c r="C3678">
        <v>5</v>
      </c>
      <c r="D3678" t="s">
        <v>1447</v>
      </c>
      <c r="E3678" t="s">
        <v>1870</v>
      </c>
      <c r="F3678" t="s">
        <v>1741</v>
      </c>
      <c r="G3678" t="str">
        <f>IF(ISBLANK('Q 5'!E1041),"",IF('Q 5'!E1041="&lt;please select&gt;","",'Q 5'!E1041))</f>
        <v/>
      </c>
    </row>
    <row r="3679" spans="1:7" x14ac:dyDescent="0.3">
      <c r="A3679" t="s">
        <v>1866</v>
      </c>
      <c r="B3679" t="s">
        <v>1867</v>
      </c>
      <c r="C3679">
        <v>6</v>
      </c>
      <c r="D3679" t="s">
        <v>1447</v>
      </c>
      <c r="E3679" t="s">
        <v>1870</v>
      </c>
      <c r="F3679" t="s">
        <v>1741</v>
      </c>
      <c r="G3679" t="str">
        <f>IF(ISBLANK('Q 5'!E1042),"",IF('Q 5'!E1042="&lt;please select&gt;","",'Q 5'!E1042))</f>
        <v/>
      </c>
    </row>
    <row r="3680" spans="1:7" x14ac:dyDescent="0.3">
      <c r="A3680" t="s">
        <v>1866</v>
      </c>
      <c r="B3680" t="s">
        <v>1867</v>
      </c>
      <c r="C3680">
        <v>7</v>
      </c>
      <c r="D3680" t="s">
        <v>1447</v>
      </c>
      <c r="E3680" t="s">
        <v>1870</v>
      </c>
      <c r="F3680" t="s">
        <v>1741</v>
      </c>
      <c r="G3680" t="str">
        <f>IF(ISBLANK('Q 5'!E1043),"",IF('Q 5'!E1043="&lt;please select&gt;","",'Q 5'!E1043))</f>
        <v/>
      </c>
    </row>
    <row r="3681" spans="1:7" x14ac:dyDescent="0.3">
      <c r="A3681" t="s">
        <v>1866</v>
      </c>
      <c r="B3681" t="s">
        <v>1867</v>
      </c>
      <c r="C3681">
        <v>8</v>
      </c>
      <c r="D3681" t="s">
        <v>1447</v>
      </c>
      <c r="E3681" t="s">
        <v>1870</v>
      </c>
      <c r="F3681" t="s">
        <v>1741</v>
      </c>
      <c r="G3681" t="str">
        <f>IF(ISBLANK('Q 5'!E1044),"",IF('Q 5'!E1044="&lt;please select&gt;","",'Q 5'!E1044))</f>
        <v/>
      </c>
    </row>
    <row r="3682" spans="1:7" x14ac:dyDescent="0.3">
      <c r="A3682" t="s">
        <v>1866</v>
      </c>
      <c r="B3682" t="s">
        <v>1867</v>
      </c>
      <c r="C3682">
        <v>9</v>
      </c>
      <c r="D3682" t="s">
        <v>1447</v>
      </c>
      <c r="E3682" t="s">
        <v>1870</v>
      </c>
      <c r="F3682" t="s">
        <v>1741</v>
      </c>
      <c r="G3682" t="str">
        <f>IF(ISBLANK('Q 5'!E1045),"",IF('Q 5'!E1045="&lt;please select&gt;","",'Q 5'!E1045))</f>
        <v/>
      </c>
    </row>
    <row r="3683" spans="1:7" x14ac:dyDescent="0.3">
      <c r="A3683" t="s">
        <v>1866</v>
      </c>
      <c r="B3683" t="s">
        <v>1867</v>
      </c>
      <c r="C3683">
        <v>10</v>
      </c>
      <c r="D3683" t="s">
        <v>1447</v>
      </c>
      <c r="E3683" t="s">
        <v>1870</v>
      </c>
      <c r="F3683" t="s">
        <v>1741</v>
      </c>
      <c r="G3683" t="str">
        <f>IF(ISBLANK('Q 5'!E1046),"",IF('Q 5'!E1046="&lt;please select&gt;","",'Q 5'!E1046))</f>
        <v/>
      </c>
    </row>
    <row r="3684" spans="1:7" x14ac:dyDescent="0.3">
      <c r="A3684" t="s">
        <v>1866</v>
      </c>
      <c r="B3684" t="s">
        <v>1867</v>
      </c>
      <c r="C3684">
        <v>11</v>
      </c>
      <c r="D3684" t="s">
        <v>1447</v>
      </c>
      <c r="E3684" t="s">
        <v>1870</v>
      </c>
      <c r="F3684" t="s">
        <v>1741</v>
      </c>
      <c r="G3684" t="str">
        <f>IF(ISBLANK('Q 5'!E1047),"",IF('Q 5'!E1047="&lt;please select&gt;","",'Q 5'!E1047))</f>
        <v/>
      </c>
    </row>
    <row r="3685" spans="1:7" x14ac:dyDescent="0.3">
      <c r="A3685" t="s">
        <v>1866</v>
      </c>
      <c r="B3685" t="s">
        <v>1867</v>
      </c>
      <c r="C3685">
        <v>12</v>
      </c>
      <c r="D3685" t="s">
        <v>1447</v>
      </c>
      <c r="E3685" t="s">
        <v>1870</v>
      </c>
      <c r="F3685" t="s">
        <v>1741</v>
      </c>
      <c r="G3685" t="str">
        <f>IF(ISBLANK('Q 5'!E1048),"",IF('Q 5'!E1048="&lt;please select&gt;","",'Q 5'!E1048))</f>
        <v/>
      </c>
    </row>
    <row r="3686" spans="1:7" x14ac:dyDescent="0.3">
      <c r="A3686" t="s">
        <v>1866</v>
      </c>
      <c r="B3686" t="s">
        <v>1867</v>
      </c>
      <c r="C3686">
        <v>13</v>
      </c>
      <c r="D3686" t="s">
        <v>1447</v>
      </c>
      <c r="E3686" t="s">
        <v>1870</v>
      </c>
      <c r="F3686" t="s">
        <v>1741</v>
      </c>
      <c r="G3686" t="str">
        <f>IF(ISBLANK('Q 5'!E1049),"",IF('Q 5'!E1049="&lt;please select&gt;","",'Q 5'!E1049))</f>
        <v/>
      </c>
    </row>
    <row r="3687" spans="1:7" x14ac:dyDescent="0.3">
      <c r="A3687" t="s">
        <v>1866</v>
      </c>
      <c r="B3687" t="s">
        <v>1867</v>
      </c>
      <c r="C3687">
        <v>14</v>
      </c>
      <c r="D3687" t="s">
        <v>1447</v>
      </c>
      <c r="E3687" t="s">
        <v>1870</v>
      </c>
      <c r="F3687" t="s">
        <v>1741</v>
      </c>
      <c r="G3687" t="str">
        <f>IF(ISBLANK('Q 5'!E1050),"",IF('Q 5'!E1050="&lt;please select&gt;","",'Q 5'!E1050))</f>
        <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
      </c>
    </row>
    <row r="3730" spans="1:11" x14ac:dyDescent="0.3">
      <c r="A3730" t="s">
        <v>1866</v>
      </c>
      <c r="B3730" t="s">
        <v>1867</v>
      </c>
      <c r="C3730">
        <v>2</v>
      </c>
      <c r="D3730" t="s">
        <v>1447</v>
      </c>
      <c r="E3730" t="s">
        <v>1871</v>
      </c>
      <c r="F3730" t="s">
        <v>1737</v>
      </c>
      <c r="K3730" t="str">
        <f>IF(ISBLANK('Q 5'!F1038),"",IF('Q 5'!F1038="&lt;please select&gt;","",'Q 5'!F1038))</f>
        <v/>
      </c>
    </row>
    <row r="3731" spans="1:11" x14ac:dyDescent="0.3">
      <c r="A3731" t="s">
        <v>1866</v>
      </c>
      <c r="B3731" t="s">
        <v>1867</v>
      </c>
      <c r="C3731">
        <v>3</v>
      </c>
      <c r="D3731" t="s">
        <v>1447</v>
      </c>
      <c r="E3731" t="s">
        <v>1871</v>
      </c>
      <c r="F3731" t="s">
        <v>1737</v>
      </c>
      <c r="K3731" t="str">
        <f>IF(ISBLANK('Q 5'!F1039),"",IF('Q 5'!F1039="&lt;please select&gt;","",'Q 5'!F1039))</f>
        <v/>
      </c>
    </row>
    <row r="3732" spans="1:11" x14ac:dyDescent="0.3">
      <c r="A3732" t="s">
        <v>1866</v>
      </c>
      <c r="B3732" t="s">
        <v>1867</v>
      </c>
      <c r="C3732">
        <v>4</v>
      </c>
      <c r="D3732" t="s">
        <v>1447</v>
      </c>
      <c r="E3732" t="s">
        <v>1871</v>
      </c>
      <c r="F3732" t="s">
        <v>1737</v>
      </c>
      <c r="K3732" t="str">
        <f>IF(ISBLANK('Q 5'!F1040),"",IF('Q 5'!F1040="&lt;please select&gt;","",'Q 5'!F1040))</f>
        <v/>
      </c>
    </row>
    <row r="3733" spans="1:11" x14ac:dyDescent="0.3">
      <c r="A3733" t="s">
        <v>1866</v>
      </c>
      <c r="B3733" t="s">
        <v>1867</v>
      </c>
      <c r="C3733">
        <v>5</v>
      </c>
      <c r="D3733" t="s">
        <v>1447</v>
      </c>
      <c r="E3733" t="s">
        <v>1871</v>
      </c>
      <c r="F3733" t="s">
        <v>1737</v>
      </c>
      <c r="K3733" t="str">
        <f>IF(ISBLANK('Q 5'!F1041),"",IF('Q 5'!F1041="&lt;please select&gt;","",'Q 5'!F1041))</f>
        <v/>
      </c>
    </row>
    <row r="3734" spans="1:11" x14ac:dyDescent="0.3">
      <c r="A3734" t="s">
        <v>1866</v>
      </c>
      <c r="B3734" t="s">
        <v>1867</v>
      </c>
      <c r="C3734">
        <v>6</v>
      </c>
      <c r="D3734" t="s">
        <v>1447</v>
      </c>
      <c r="E3734" t="s">
        <v>1871</v>
      </c>
      <c r="F3734" t="s">
        <v>1737</v>
      </c>
      <c r="K3734" t="str">
        <f>IF(ISBLANK('Q 5'!F1042),"",IF('Q 5'!F1042="&lt;please select&gt;","",'Q 5'!F1042))</f>
        <v/>
      </c>
    </row>
    <row r="3735" spans="1:11" x14ac:dyDescent="0.3">
      <c r="A3735" t="s">
        <v>1866</v>
      </c>
      <c r="B3735" t="s">
        <v>1867</v>
      </c>
      <c r="C3735">
        <v>7</v>
      </c>
      <c r="D3735" t="s">
        <v>1447</v>
      </c>
      <c r="E3735" t="s">
        <v>1871</v>
      </c>
      <c r="F3735" t="s">
        <v>1737</v>
      </c>
      <c r="K3735" t="str">
        <f>IF(ISBLANK('Q 5'!F1043),"",IF('Q 5'!F1043="&lt;please select&gt;","",'Q 5'!F1043))</f>
        <v/>
      </c>
    </row>
    <row r="3736" spans="1:11" x14ac:dyDescent="0.3">
      <c r="A3736" t="s">
        <v>1866</v>
      </c>
      <c r="B3736" t="s">
        <v>1867</v>
      </c>
      <c r="C3736">
        <v>8</v>
      </c>
      <c r="D3736" t="s">
        <v>1447</v>
      </c>
      <c r="E3736" t="s">
        <v>1871</v>
      </c>
      <c r="F3736" t="s">
        <v>1737</v>
      </c>
      <c r="K3736" t="str">
        <f>IF(ISBLANK('Q 5'!F1044),"",IF('Q 5'!F1044="&lt;please select&gt;","",'Q 5'!F1044))</f>
        <v/>
      </c>
    </row>
    <row r="3737" spans="1:11" x14ac:dyDescent="0.3">
      <c r="A3737" t="s">
        <v>1866</v>
      </c>
      <c r="B3737" t="s">
        <v>1867</v>
      </c>
      <c r="C3737">
        <v>9</v>
      </c>
      <c r="D3737" t="s">
        <v>1447</v>
      </c>
      <c r="E3737" t="s">
        <v>1871</v>
      </c>
      <c r="F3737" t="s">
        <v>1737</v>
      </c>
      <c r="K3737" t="str">
        <f>IF(ISBLANK('Q 5'!F1045),"",IF('Q 5'!F1045="&lt;please select&gt;","",'Q 5'!F1045))</f>
        <v/>
      </c>
    </row>
    <row r="3738" spans="1:11" x14ac:dyDescent="0.3">
      <c r="A3738" t="s">
        <v>1866</v>
      </c>
      <c r="B3738" t="s">
        <v>1867</v>
      </c>
      <c r="C3738">
        <v>10</v>
      </c>
      <c r="D3738" t="s">
        <v>1447</v>
      </c>
      <c r="E3738" t="s">
        <v>1871</v>
      </c>
      <c r="F3738" t="s">
        <v>1737</v>
      </c>
      <c r="K3738" t="str">
        <f>IF(ISBLANK('Q 5'!F1046),"",IF('Q 5'!F1046="&lt;please select&gt;","",'Q 5'!F1046))</f>
        <v/>
      </c>
    </row>
    <row r="3739" spans="1:11" x14ac:dyDescent="0.3">
      <c r="A3739" t="s">
        <v>1866</v>
      </c>
      <c r="B3739" t="s">
        <v>1867</v>
      </c>
      <c r="C3739">
        <v>11</v>
      </c>
      <c r="D3739" t="s">
        <v>1447</v>
      </c>
      <c r="E3739" t="s">
        <v>1871</v>
      </c>
      <c r="F3739" t="s">
        <v>1737</v>
      </c>
      <c r="K3739" t="str">
        <f>IF(ISBLANK('Q 5'!F1047),"",IF('Q 5'!F1047="&lt;please select&gt;","",'Q 5'!F1047))</f>
        <v/>
      </c>
    </row>
    <row r="3740" spans="1:11" x14ac:dyDescent="0.3">
      <c r="A3740" t="s">
        <v>1866</v>
      </c>
      <c r="B3740" t="s">
        <v>1867</v>
      </c>
      <c r="C3740">
        <v>12</v>
      </c>
      <c r="D3740" t="s">
        <v>1447</v>
      </c>
      <c r="E3740" t="s">
        <v>1871</v>
      </c>
      <c r="F3740" t="s">
        <v>1737</v>
      </c>
      <c r="K3740" t="str">
        <f>IF(ISBLANK('Q 5'!F1048),"",IF('Q 5'!F1048="&lt;please select&gt;","",'Q 5'!F1048))</f>
        <v/>
      </c>
    </row>
    <row r="3741" spans="1:11" x14ac:dyDescent="0.3">
      <c r="A3741" t="s">
        <v>1866</v>
      </c>
      <c r="B3741" t="s">
        <v>1867</v>
      </c>
      <c r="C3741">
        <v>13</v>
      </c>
      <c r="D3741" t="s">
        <v>1447</v>
      </c>
      <c r="E3741" t="s">
        <v>1871</v>
      </c>
      <c r="F3741" t="s">
        <v>1737</v>
      </c>
      <c r="K3741" t="str">
        <f>IF(ISBLANK('Q 5'!F1049),"",IF('Q 5'!F1049="&lt;please select&gt;","",'Q 5'!F1049))</f>
        <v/>
      </c>
    </row>
    <row r="3742" spans="1:11" x14ac:dyDescent="0.3">
      <c r="A3742" t="s">
        <v>1866</v>
      </c>
      <c r="B3742" t="s">
        <v>1867</v>
      </c>
      <c r="C3742">
        <v>14</v>
      </c>
      <c r="D3742" t="s">
        <v>1447</v>
      </c>
      <c r="E3742" t="s">
        <v>1871</v>
      </c>
      <c r="F3742" t="s">
        <v>1737</v>
      </c>
      <c r="K3742" t="str">
        <f>IF(ISBLANK('Q 5'!F1050),"",IF('Q 5'!F1050="&lt;please select&gt;","",'Q 5'!F1050))</f>
        <v/>
      </c>
    </row>
    <row r="3743" spans="1:11" x14ac:dyDescent="0.3">
      <c r="A3743" t="s">
        <v>1866</v>
      </c>
      <c r="B3743" t="s">
        <v>1867</v>
      </c>
      <c r="C3743">
        <v>15</v>
      </c>
      <c r="D3743" t="s">
        <v>1447</v>
      </c>
      <c r="E3743" t="s">
        <v>1871</v>
      </c>
      <c r="F3743" t="s">
        <v>1737</v>
      </c>
      <c r="K3743" t="str">
        <f>IF(ISBLANK('Q 5'!F1051),"",IF('Q 5'!F1051="&lt;please select&gt;","",'Q 5'!F1051))</f>
        <v/>
      </c>
    </row>
    <row r="3744" spans="1:11" x14ac:dyDescent="0.3">
      <c r="A3744" t="s">
        <v>1866</v>
      </c>
      <c r="B3744" t="s">
        <v>1867</v>
      </c>
      <c r="C3744">
        <v>16</v>
      </c>
      <c r="D3744" t="s">
        <v>1447</v>
      </c>
      <c r="E3744" t="s">
        <v>1871</v>
      </c>
      <c r="F3744" t="s">
        <v>1737</v>
      </c>
      <c r="K3744" t="str">
        <f>IF(ISBLANK('Q 5'!F1052),"",IF('Q 5'!F1052="&lt;please select&gt;","",'Q 5'!F1052))</f>
        <v/>
      </c>
    </row>
    <row r="3745" spans="1:11" x14ac:dyDescent="0.3">
      <c r="A3745" t="s">
        <v>1866</v>
      </c>
      <c r="B3745" t="s">
        <v>1867</v>
      </c>
      <c r="C3745">
        <v>17</v>
      </c>
      <c r="D3745" t="s">
        <v>1447</v>
      </c>
      <c r="E3745" t="s">
        <v>1871</v>
      </c>
      <c r="F3745" t="s">
        <v>1737</v>
      </c>
      <c r="K3745" t="str">
        <f>IF(ISBLANK('Q 5'!F1053),"",IF('Q 5'!F1053="&lt;please select&gt;","",'Q 5'!F1053))</f>
        <v/>
      </c>
    </row>
    <row r="3746" spans="1:11" x14ac:dyDescent="0.3">
      <c r="A3746" t="s">
        <v>1866</v>
      </c>
      <c r="B3746" t="s">
        <v>1867</v>
      </c>
      <c r="C3746">
        <v>18</v>
      </c>
      <c r="D3746" t="s">
        <v>1447</v>
      </c>
      <c r="E3746" t="s">
        <v>1871</v>
      </c>
      <c r="F3746" t="s">
        <v>1737</v>
      </c>
      <c r="K3746" t="str">
        <f>IF(ISBLANK('Q 5'!F1054),"",IF('Q 5'!F1054="&lt;please select&gt;","",'Q 5'!F1054))</f>
        <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
      </c>
    </row>
    <row r="3785" spans="1:11" x14ac:dyDescent="0.3">
      <c r="A3785" t="s">
        <v>1866</v>
      </c>
      <c r="B3785" t="s">
        <v>1867</v>
      </c>
      <c r="C3785">
        <v>2</v>
      </c>
      <c r="D3785" t="s">
        <v>1447</v>
      </c>
      <c r="E3785" t="s">
        <v>1872</v>
      </c>
      <c r="F3785" t="s">
        <v>1737</v>
      </c>
      <c r="K3785" t="str">
        <f>IF(ISBLANK('Q 5'!G1038),"",IF('Q 5'!G1038="&lt;please select&gt;","",'Q 5'!G1038))</f>
        <v/>
      </c>
    </row>
    <row r="3786" spans="1:11" x14ac:dyDescent="0.3">
      <c r="A3786" t="s">
        <v>1866</v>
      </c>
      <c r="B3786" t="s">
        <v>1867</v>
      </c>
      <c r="C3786">
        <v>3</v>
      </c>
      <c r="D3786" t="s">
        <v>1447</v>
      </c>
      <c r="E3786" t="s">
        <v>1872</v>
      </c>
      <c r="F3786" t="s">
        <v>1737</v>
      </c>
      <c r="K3786" t="str">
        <f>IF(ISBLANK('Q 5'!G1039),"",IF('Q 5'!G1039="&lt;please select&gt;","",'Q 5'!G1039))</f>
        <v/>
      </c>
    </row>
    <row r="3787" spans="1:11" x14ac:dyDescent="0.3">
      <c r="A3787" t="s">
        <v>1866</v>
      </c>
      <c r="B3787" t="s">
        <v>1867</v>
      </c>
      <c r="C3787">
        <v>4</v>
      </c>
      <c r="D3787" t="s">
        <v>1447</v>
      </c>
      <c r="E3787" t="s">
        <v>1872</v>
      </c>
      <c r="F3787" t="s">
        <v>1737</v>
      </c>
      <c r="K3787" t="str">
        <f>IF(ISBLANK('Q 5'!G1040),"",IF('Q 5'!G1040="&lt;please select&gt;","",'Q 5'!G1040))</f>
        <v/>
      </c>
    </row>
    <row r="3788" spans="1:11" x14ac:dyDescent="0.3">
      <c r="A3788" t="s">
        <v>1866</v>
      </c>
      <c r="B3788" t="s">
        <v>1867</v>
      </c>
      <c r="C3788">
        <v>5</v>
      </c>
      <c r="D3788" t="s">
        <v>1447</v>
      </c>
      <c r="E3788" t="s">
        <v>1872</v>
      </c>
      <c r="F3788" t="s">
        <v>1737</v>
      </c>
      <c r="K3788" t="str">
        <f>IF(ISBLANK('Q 5'!G1041),"",IF('Q 5'!G1041="&lt;please select&gt;","",'Q 5'!G1041))</f>
        <v/>
      </c>
    </row>
    <row r="3789" spans="1:11" x14ac:dyDescent="0.3">
      <c r="A3789" t="s">
        <v>1866</v>
      </c>
      <c r="B3789" t="s">
        <v>1867</v>
      </c>
      <c r="C3789">
        <v>6</v>
      </c>
      <c r="D3789" t="s">
        <v>1447</v>
      </c>
      <c r="E3789" t="s">
        <v>1872</v>
      </c>
      <c r="F3789" t="s">
        <v>1737</v>
      </c>
      <c r="K3789" t="str">
        <f>IF(ISBLANK('Q 5'!G1042),"",IF('Q 5'!G1042="&lt;please select&gt;","",'Q 5'!G1042))</f>
        <v/>
      </c>
    </row>
    <row r="3790" spans="1:11" x14ac:dyDescent="0.3">
      <c r="A3790" t="s">
        <v>1866</v>
      </c>
      <c r="B3790" t="s">
        <v>1867</v>
      </c>
      <c r="C3790">
        <v>7</v>
      </c>
      <c r="D3790" t="s">
        <v>1447</v>
      </c>
      <c r="E3790" t="s">
        <v>1872</v>
      </c>
      <c r="F3790" t="s">
        <v>1737</v>
      </c>
      <c r="K3790" t="str">
        <f>IF(ISBLANK('Q 5'!G1043),"",IF('Q 5'!G1043="&lt;please select&gt;","",'Q 5'!G1043))</f>
        <v/>
      </c>
    </row>
    <row r="3791" spans="1:11" x14ac:dyDescent="0.3">
      <c r="A3791" t="s">
        <v>1866</v>
      </c>
      <c r="B3791" t="s">
        <v>1867</v>
      </c>
      <c r="C3791">
        <v>8</v>
      </c>
      <c r="D3791" t="s">
        <v>1447</v>
      </c>
      <c r="E3791" t="s">
        <v>1872</v>
      </c>
      <c r="F3791" t="s">
        <v>1737</v>
      </c>
      <c r="K3791" t="str">
        <f>IF(ISBLANK('Q 5'!G1044),"",IF('Q 5'!G1044="&lt;please select&gt;","",'Q 5'!G1044))</f>
        <v/>
      </c>
    </row>
    <row r="3792" spans="1:11" x14ac:dyDescent="0.3">
      <c r="A3792" t="s">
        <v>1866</v>
      </c>
      <c r="B3792" t="s">
        <v>1867</v>
      </c>
      <c r="C3792">
        <v>9</v>
      </c>
      <c r="D3792" t="s">
        <v>1447</v>
      </c>
      <c r="E3792" t="s">
        <v>1872</v>
      </c>
      <c r="F3792" t="s">
        <v>1737</v>
      </c>
      <c r="K3792" t="str">
        <f>IF(ISBLANK('Q 5'!G1045),"",IF('Q 5'!G1045="&lt;please select&gt;","",'Q 5'!G1045))</f>
        <v/>
      </c>
    </row>
    <row r="3793" spans="1:11" x14ac:dyDescent="0.3">
      <c r="A3793" t="s">
        <v>1866</v>
      </c>
      <c r="B3793" t="s">
        <v>1867</v>
      </c>
      <c r="C3793">
        <v>10</v>
      </c>
      <c r="D3793" t="s">
        <v>1447</v>
      </c>
      <c r="E3793" t="s">
        <v>1872</v>
      </c>
      <c r="F3793" t="s">
        <v>1737</v>
      </c>
      <c r="K3793" t="str">
        <f>IF(ISBLANK('Q 5'!G1046),"",IF('Q 5'!G1046="&lt;please select&gt;","",'Q 5'!G1046))</f>
        <v/>
      </c>
    </row>
    <row r="3794" spans="1:11" x14ac:dyDescent="0.3">
      <c r="A3794" t="s">
        <v>1866</v>
      </c>
      <c r="B3794" t="s">
        <v>1867</v>
      </c>
      <c r="C3794">
        <v>11</v>
      </c>
      <c r="D3794" t="s">
        <v>1447</v>
      </c>
      <c r="E3794" t="s">
        <v>1872</v>
      </c>
      <c r="F3794" t="s">
        <v>1737</v>
      </c>
      <c r="K3794" t="str">
        <f>IF(ISBLANK('Q 5'!G1047),"",IF('Q 5'!G1047="&lt;please select&gt;","",'Q 5'!G1047))</f>
        <v/>
      </c>
    </row>
    <row r="3795" spans="1:11" x14ac:dyDescent="0.3">
      <c r="A3795" t="s">
        <v>1866</v>
      </c>
      <c r="B3795" t="s">
        <v>1867</v>
      </c>
      <c r="C3795">
        <v>12</v>
      </c>
      <c r="D3795" t="s">
        <v>1447</v>
      </c>
      <c r="E3795" t="s">
        <v>1872</v>
      </c>
      <c r="F3795" t="s">
        <v>1737</v>
      </c>
      <c r="K3795" t="str">
        <f>IF(ISBLANK('Q 5'!G1048),"",IF('Q 5'!G1048="&lt;please select&gt;","",'Q 5'!G1048))</f>
        <v/>
      </c>
    </row>
    <row r="3796" spans="1:11" x14ac:dyDescent="0.3">
      <c r="A3796" t="s">
        <v>1866</v>
      </c>
      <c r="B3796" t="s">
        <v>1867</v>
      </c>
      <c r="C3796">
        <v>13</v>
      </c>
      <c r="D3796" t="s">
        <v>1447</v>
      </c>
      <c r="E3796" t="s">
        <v>1872</v>
      </c>
      <c r="F3796" t="s">
        <v>1737</v>
      </c>
      <c r="K3796" t="str">
        <f>IF(ISBLANK('Q 5'!G1049),"",IF('Q 5'!G1049="&lt;please select&gt;","",'Q 5'!G1049))</f>
        <v/>
      </c>
    </row>
    <row r="3797" spans="1:11" x14ac:dyDescent="0.3">
      <c r="A3797" t="s">
        <v>1866</v>
      </c>
      <c r="B3797" t="s">
        <v>1867</v>
      </c>
      <c r="C3797">
        <v>14</v>
      </c>
      <c r="D3797" t="s">
        <v>1447</v>
      </c>
      <c r="E3797" t="s">
        <v>1872</v>
      </c>
      <c r="F3797" t="s">
        <v>1737</v>
      </c>
      <c r="K3797" t="str">
        <f>IF(ISBLANK('Q 5'!G1050),"",IF('Q 5'!G1050="&lt;please select&gt;","",'Q 5'!G1050))</f>
        <v/>
      </c>
    </row>
    <row r="3798" spans="1:11" x14ac:dyDescent="0.3">
      <c r="A3798" t="s">
        <v>1866</v>
      </c>
      <c r="B3798" t="s">
        <v>1867</v>
      </c>
      <c r="C3798">
        <v>15</v>
      </c>
      <c r="D3798" t="s">
        <v>1447</v>
      </c>
      <c r="E3798" t="s">
        <v>1872</v>
      </c>
      <c r="F3798" t="s">
        <v>1737</v>
      </c>
      <c r="K3798" t="str">
        <f>IF(ISBLANK('Q 5'!G1051),"",IF('Q 5'!G1051="&lt;please select&gt;","",'Q 5'!G1051))</f>
        <v/>
      </c>
    </row>
    <row r="3799" spans="1:11" x14ac:dyDescent="0.3">
      <c r="A3799" t="s">
        <v>1866</v>
      </c>
      <c r="B3799" t="s">
        <v>1867</v>
      </c>
      <c r="C3799">
        <v>16</v>
      </c>
      <c r="D3799" t="s">
        <v>1447</v>
      </c>
      <c r="E3799" t="s">
        <v>1872</v>
      </c>
      <c r="F3799" t="s">
        <v>1737</v>
      </c>
      <c r="K3799" t="str">
        <f>IF(ISBLANK('Q 5'!G1052),"",IF('Q 5'!G1052="&lt;please select&gt;","",'Q 5'!G1052))</f>
        <v/>
      </c>
    </row>
    <row r="3800" spans="1:11" x14ac:dyDescent="0.3">
      <c r="A3800" t="s">
        <v>1866</v>
      </c>
      <c r="B3800" t="s">
        <v>1867</v>
      </c>
      <c r="C3800">
        <v>17</v>
      </c>
      <c r="D3800" t="s">
        <v>1447</v>
      </c>
      <c r="E3800" t="s">
        <v>1872</v>
      </c>
      <c r="F3800" t="s">
        <v>1737</v>
      </c>
      <c r="K3800" t="str">
        <f>IF(ISBLANK('Q 5'!G1053),"",IF('Q 5'!G1053="&lt;please select&gt;","",'Q 5'!G1053))</f>
        <v/>
      </c>
    </row>
    <row r="3801" spans="1:11" x14ac:dyDescent="0.3">
      <c r="A3801" t="s">
        <v>1866</v>
      </c>
      <c r="B3801" t="s">
        <v>1867</v>
      </c>
      <c r="C3801">
        <v>18</v>
      </c>
      <c r="D3801" t="s">
        <v>1447</v>
      </c>
      <c r="E3801" t="s">
        <v>1872</v>
      </c>
      <c r="F3801" t="s">
        <v>1737</v>
      </c>
      <c r="K3801" t="str">
        <f>IF(ISBLANK('Q 5'!G1054),"",IF('Q 5'!G1054="&lt;please select&gt;","",'Q 5'!G1054))</f>
        <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
      </c>
    </row>
    <row r="3840" spans="1:11" x14ac:dyDescent="0.3">
      <c r="A3840" t="s">
        <v>1866</v>
      </c>
      <c r="B3840" t="s">
        <v>1867</v>
      </c>
      <c r="C3840">
        <v>2</v>
      </c>
      <c r="D3840" t="s">
        <v>1447</v>
      </c>
      <c r="E3840" t="s">
        <v>1873</v>
      </c>
      <c r="F3840" t="s">
        <v>1737</v>
      </c>
      <c r="K3840" t="str">
        <f>IF(ISBLANK('Q 5'!H1038),"",IF('Q 5'!H1038="&lt;please select&gt;","",'Q 5'!H1038))</f>
        <v/>
      </c>
    </row>
    <row r="3841" spans="1:11" x14ac:dyDescent="0.3">
      <c r="A3841" t="s">
        <v>1866</v>
      </c>
      <c r="B3841" t="s">
        <v>1867</v>
      </c>
      <c r="C3841">
        <v>3</v>
      </c>
      <c r="D3841" t="s">
        <v>1447</v>
      </c>
      <c r="E3841" t="s">
        <v>1873</v>
      </c>
      <c r="F3841" t="s">
        <v>1737</v>
      </c>
      <c r="K3841" t="str">
        <f>IF(ISBLANK('Q 5'!H1039),"",IF('Q 5'!H1039="&lt;please select&gt;","",'Q 5'!H1039))</f>
        <v/>
      </c>
    </row>
    <row r="3842" spans="1:11" x14ac:dyDescent="0.3">
      <c r="A3842" t="s">
        <v>1866</v>
      </c>
      <c r="B3842" t="s">
        <v>1867</v>
      </c>
      <c r="C3842">
        <v>4</v>
      </c>
      <c r="D3842" t="s">
        <v>1447</v>
      </c>
      <c r="E3842" t="s">
        <v>1873</v>
      </c>
      <c r="F3842" t="s">
        <v>1737</v>
      </c>
      <c r="K3842" t="str">
        <f>IF(ISBLANK('Q 5'!H1040),"",IF('Q 5'!H1040="&lt;please select&gt;","",'Q 5'!H1040))</f>
        <v/>
      </c>
    </row>
    <row r="3843" spans="1:11" x14ac:dyDescent="0.3">
      <c r="A3843" t="s">
        <v>1866</v>
      </c>
      <c r="B3843" t="s">
        <v>1867</v>
      </c>
      <c r="C3843">
        <v>5</v>
      </c>
      <c r="D3843" t="s">
        <v>1447</v>
      </c>
      <c r="E3843" t="s">
        <v>1873</v>
      </c>
      <c r="F3843" t="s">
        <v>1737</v>
      </c>
      <c r="K3843" t="str">
        <f>IF(ISBLANK('Q 5'!H1041),"",IF('Q 5'!H1041="&lt;please select&gt;","",'Q 5'!H1041))</f>
        <v/>
      </c>
    </row>
    <row r="3844" spans="1:11" x14ac:dyDescent="0.3">
      <c r="A3844" t="s">
        <v>1866</v>
      </c>
      <c r="B3844" t="s">
        <v>1867</v>
      </c>
      <c r="C3844">
        <v>6</v>
      </c>
      <c r="D3844" t="s">
        <v>1447</v>
      </c>
      <c r="E3844" t="s">
        <v>1873</v>
      </c>
      <c r="F3844" t="s">
        <v>1737</v>
      </c>
      <c r="K3844" t="str">
        <f>IF(ISBLANK('Q 5'!H1042),"",IF('Q 5'!H1042="&lt;please select&gt;","",'Q 5'!H1042))</f>
        <v/>
      </c>
    </row>
    <row r="3845" spans="1:11" x14ac:dyDescent="0.3">
      <c r="A3845" t="s">
        <v>1866</v>
      </c>
      <c r="B3845" t="s">
        <v>1867</v>
      </c>
      <c r="C3845">
        <v>7</v>
      </c>
      <c r="D3845" t="s">
        <v>1447</v>
      </c>
      <c r="E3845" t="s">
        <v>1873</v>
      </c>
      <c r="F3845" t="s">
        <v>1737</v>
      </c>
      <c r="K3845" t="str">
        <f>IF(ISBLANK('Q 5'!H1043),"",IF('Q 5'!H1043="&lt;please select&gt;","",'Q 5'!H1043))</f>
        <v/>
      </c>
    </row>
    <row r="3846" spans="1:11" x14ac:dyDescent="0.3">
      <c r="A3846" t="s">
        <v>1866</v>
      </c>
      <c r="B3846" t="s">
        <v>1867</v>
      </c>
      <c r="C3846">
        <v>8</v>
      </c>
      <c r="D3846" t="s">
        <v>1447</v>
      </c>
      <c r="E3846" t="s">
        <v>1873</v>
      </c>
      <c r="F3846" t="s">
        <v>1737</v>
      </c>
      <c r="K3846" t="str">
        <f>IF(ISBLANK('Q 5'!H1044),"",IF('Q 5'!H1044="&lt;please select&gt;","",'Q 5'!H1044))</f>
        <v/>
      </c>
    </row>
    <row r="3847" spans="1:11" x14ac:dyDescent="0.3">
      <c r="A3847" t="s">
        <v>1866</v>
      </c>
      <c r="B3847" t="s">
        <v>1867</v>
      </c>
      <c r="C3847">
        <v>9</v>
      </c>
      <c r="D3847" t="s">
        <v>1447</v>
      </c>
      <c r="E3847" t="s">
        <v>1873</v>
      </c>
      <c r="F3847" t="s">
        <v>1737</v>
      </c>
      <c r="K3847" t="str">
        <f>IF(ISBLANK('Q 5'!H1045),"",IF('Q 5'!H1045="&lt;please select&gt;","",'Q 5'!H1045))</f>
        <v/>
      </c>
    </row>
    <row r="3848" spans="1:11" x14ac:dyDescent="0.3">
      <c r="A3848" t="s">
        <v>1866</v>
      </c>
      <c r="B3848" t="s">
        <v>1867</v>
      </c>
      <c r="C3848">
        <v>10</v>
      </c>
      <c r="D3848" t="s">
        <v>1447</v>
      </c>
      <c r="E3848" t="s">
        <v>1873</v>
      </c>
      <c r="F3848" t="s">
        <v>1737</v>
      </c>
      <c r="K3848" t="str">
        <f>IF(ISBLANK('Q 5'!H1046),"",IF('Q 5'!H1046="&lt;please select&gt;","",'Q 5'!H1046))</f>
        <v/>
      </c>
    </row>
    <row r="3849" spans="1:11" x14ac:dyDescent="0.3">
      <c r="A3849" t="s">
        <v>1866</v>
      </c>
      <c r="B3849" t="s">
        <v>1867</v>
      </c>
      <c r="C3849">
        <v>11</v>
      </c>
      <c r="D3849" t="s">
        <v>1447</v>
      </c>
      <c r="E3849" t="s">
        <v>1873</v>
      </c>
      <c r="F3849" t="s">
        <v>1737</v>
      </c>
      <c r="K3849" t="str">
        <f>IF(ISBLANK('Q 5'!H1047),"",IF('Q 5'!H1047="&lt;please select&gt;","",'Q 5'!H1047))</f>
        <v/>
      </c>
    </row>
    <row r="3850" spans="1:11" x14ac:dyDescent="0.3">
      <c r="A3850" t="s">
        <v>1866</v>
      </c>
      <c r="B3850" t="s">
        <v>1867</v>
      </c>
      <c r="C3850">
        <v>12</v>
      </c>
      <c r="D3850" t="s">
        <v>1447</v>
      </c>
      <c r="E3850" t="s">
        <v>1873</v>
      </c>
      <c r="F3850" t="s">
        <v>1737</v>
      </c>
      <c r="K3850" t="str">
        <f>IF(ISBLANK('Q 5'!H1048),"",IF('Q 5'!H1048="&lt;please select&gt;","",'Q 5'!H1048))</f>
        <v/>
      </c>
    </row>
    <row r="3851" spans="1:11" x14ac:dyDescent="0.3">
      <c r="A3851" t="s">
        <v>1866</v>
      </c>
      <c r="B3851" t="s">
        <v>1867</v>
      </c>
      <c r="C3851">
        <v>13</v>
      </c>
      <c r="D3851" t="s">
        <v>1447</v>
      </c>
      <c r="E3851" t="s">
        <v>1873</v>
      </c>
      <c r="F3851" t="s">
        <v>1737</v>
      </c>
      <c r="K3851" t="str">
        <f>IF(ISBLANK('Q 5'!H1049),"",IF('Q 5'!H1049="&lt;please select&gt;","",'Q 5'!H1049))</f>
        <v/>
      </c>
    </row>
    <row r="3852" spans="1:11" x14ac:dyDescent="0.3">
      <c r="A3852" t="s">
        <v>1866</v>
      </c>
      <c r="B3852" t="s">
        <v>1867</v>
      </c>
      <c r="C3852">
        <v>14</v>
      </c>
      <c r="D3852" t="s">
        <v>1447</v>
      </c>
      <c r="E3852" t="s">
        <v>1873</v>
      </c>
      <c r="F3852" t="s">
        <v>1737</v>
      </c>
      <c r="K3852" t="str">
        <f>IF(ISBLANK('Q 5'!H1050),"",IF('Q 5'!H1050="&lt;please select&gt;","",'Q 5'!H1050))</f>
        <v/>
      </c>
    </row>
    <row r="3853" spans="1:11" x14ac:dyDescent="0.3">
      <c r="A3853" t="s">
        <v>1866</v>
      </c>
      <c r="B3853" t="s">
        <v>1867</v>
      </c>
      <c r="C3853">
        <v>15</v>
      </c>
      <c r="D3853" t="s">
        <v>1447</v>
      </c>
      <c r="E3853" t="s">
        <v>1873</v>
      </c>
      <c r="F3853" t="s">
        <v>1737</v>
      </c>
      <c r="K3853" t="str">
        <f>IF(ISBLANK('Q 5'!H1051),"",IF('Q 5'!H1051="&lt;please select&gt;","",'Q 5'!H1051))</f>
        <v/>
      </c>
    </row>
    <row r="3854" spans="1:11" x14ac:dyDescent="0.3">
      <c r="A3854" t="s">
        <v>1866</v>
      </c>
      <c r="B3854" t="s">
        <v>1867</v>
      </c>
      <c r="C3854">
        <v>16</v>
      </c>
      <c r="D3854" t="s">
        <v>1447</v>
      </c>
      <c r="E3854" t="s">
        <v>1873</v>
      </c>
      <c r="F3854" t="s">
        <v>1737</v>
      </c>
      <c r="K3854" t="str">
        <f>IF(ISBLANK('Q 5'!H1052),"",IF('Q 5'!H1052="&lt;please select&gt;","",'Q 5'!H1052))</f>
        <v/>
      </c>
    </row>
    <row r="3855" spans="1:11" x14ac:dyDescent="0.3">
      <c r="A3855" t="s">
        <v>1866</v>
      </c>
      <c r="B3855" t="s">
        <v>1867</v>
      </c>
      <c r="C3855">
        <v>17</v>
      </c>
      <c r="D3855" t="s">
        <v>1447</v>
      </c>
      <c r="E3855" t="s">
        <v>1873</v>
      </c>
      <c r="F3855" t="s">
        <v>1737</v>
      </c>
      <c r="K3855" t="str">
        <f>IF(ISBLANK('Q 5'!H1053),"",IF('Q 5'!H1053="&lt;please select&gt;","",'Q 5'!H1053))</f>
        <v/>
      </c>
    </row>
    <row r="3856" spans="1:11" x14ac:dyDescent="0.3">
      <c r="A3856" t="s">
        <v>1866</v>
      </c>
      <c r="B3856" t="s">
        <v>1867</v>
      </c>
      <c r="C3856">
        <v>18</v>
      </c>
      <c r="D3856" t="s">
        <v>1447</v>
      </c>
      <c r="E3856" t="s">
        <v>1873</v>
      </c>
      <c r="F3856" t="s">
        <v>1737</v>
      </c>
      <c r="K3856" t="str">
        <f>IF(ISBLANK('Q 5'!H1054),"",IF('Q 5'!H1054="&lt;please select&gt;","",'Q 5'!H1054))</f>
        <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
      </c>
    </row>
    <row r="3895" spans="1:11" x14ac:dyDescent="0.3">
      <c r="A3895" t="s">
        <v>1874</v>
      </c>
      <c r="B3895" t="s">
        <v>1875</v>
      </c>
      <c r="C3895">
        <v>2</v>
      </c>
      <c r="D3895" t="s">
        <v>1447</v>
      </c>
      <c r="E3895" t="s">
        <v>1876</v>
      </c>
      <c r="F3895" t="s">
        <v>1737</v>
      </c>
      <c r="K3895" t="str">
        <f>IF(ISBLANK('Q 5'!C1099),"",IF('Q 5'!C1099="&lt;please select&gt;","",'Q 5'!C1099))</f>
        <v/>
      </c>
    </row>
    <row r="3896" spans="1:11" x14ac:dyDescent="0.3">
      <c r="A3896" t="s">
        <v>1874</v>
      </c>
      <c r="B3896" t="s">
        <v>1875</v>
      </c>
      <c r="C3896">
        <v>3</v>
      </c>
      <c r="D3896" t="s">
        <v>1447</v>
      </c>
      <c r="E3896" t="s">
        <v>1876</v>
      </c>
      <c r="F3896" t="s">
        <v>1737</v>
      </c>
      <c r="K3896" t="str">
        <f>IF(ISBLANK('Q 5'!C1100),"",IF('Q 5'!C1100="&lt;please select&gt;","",'Q 5'!C1100))</f>
        <v/>
      </c>
    </row>
    <row r="3897" spans="1:11" x14ac:dyDescent="0.3">
      <c r="A3897" t="s">
        <v>1874</v>
      </c>
      <c r="B3897" t="s">
        <v>1875</v>
      </c>
      <c r="C3897">
        <v>4</v>
      </c>
      <c r="D3897" t="s">
        <v>1447</v>
      </c>
      <c r="E3897" t="s">
        <v>1876</v>
      </c>
      <c r="F3897" t="s">
        <v>1737</v>
      </c>
      <c r="K3897" t="str">
        <f>IF(ISBLANK('Q 5'!C1101),"",IF('Q 5'!C1101="&lt;please select&gt;","",'Q 5'!C1101))</f>
        <v/>
      </c>
    </row>
    <row r="3898" spans="1:11" x14ac:dyDescent="0.3">
      <c r="A3898" t="s">
        <v>1874</v>
      </c>
      <c r="B3898" t="s">
        <v>1875</v>
      </c>
      <c r="C3898">
        <v>5</v>
      </c>
      <c r="D3898" t="s">
        <v>1447</v>
      </c>
      <c r="E3898" t="s">
        <v>1876</v>
      </c>
      <c r="F3898" t="s">
        <v>1737</v>
      </c>
      <c r="K3898" t="str">
        <f>IF(ISBLANK('Q 5'!C1102),"",IF('Q 5'!C1102="&lt;please select&gt;","",'Q 5'!C1102))</f>
        <v/>
      </c>
    </row>
    <row r="3899" spans="1:11" x14ac:dyDescent="0.3">
      <c r="A3899" t="s">
        <v>1874</v>
      </c>
      <c r="B3899" t="s">
        <v>1875</v>
      </c>
      <c r="C3899">
        <v>6</v>
      </c>
      <c r="D3899" t="s">
        <v>1447</v>
      </c>
      <c r="E3899" t="s">
        <v>1876</v>
      </c>
      <c r="F3899" t="s">
        <v>1737</v>
      </c>
      <c r="K3899" t="str">
        <f>IF(ISBLANK('Q 5'!C1103),"",IF('Q 5'!C1103="&lt;please select&gt;","",'Q 5'!C1103))</f>
        <v/>
      </c>
    </row>
    <row r="3900" spans="1:11" x14ac:dyDescent="0.3">
      <c r="A3900" t="s">
        <v>1874</v>
      </c>
      <c r="B3900" t="s">
        <v>1875</v>
      </c>
      <c r="C3900">
        <v>7</v>
      </c>
      <c r="D3900" t="s">
        <v>1447</v>
      </c>
      <c r="E3900" t="s">
        <v>1876</v>
      </c>
      <c r="F3900" t="s">
        <v>1737</v>
      </c>
      <c r="K3900" t="str">
        <f>IF(ISBLANK('Q 5'!C1104),"",IF('Q 5'!C1104="&lt;please select&gt;","",'Q 5'!C1104))</f>
        <v/>
      </c>
    </row>
    <row r="3901" spans="1:11" x14ac:dyDescent="0.3">
      <c r="A3901" t="s">
        <v>1874</v>
      </c>
      <c r="B3901" t="s">
        <v>1875</v>
      </c>
      <c r="C3901">
        <v>8</v>
      </c>
      <c r="D3901" t="s">
        <v>1447</v>
      </c>
      <c r="E3901" t="s">
        <v>1876</v>
      </c>
      <c r="F3901" t="s">
        <v>1737</v>
      </c>
      <c r="K3901" t="str">
        <f>IF(ISBLANK('Q 5'!C1105),"",IF('Q 5'!C1105="&lt;please select&gt;","",'Q 5'!C1105))</f>
        <v/>
      </c>
    </row>
    <row r="3902" spans="1:11" x14ac:dyDescent="0.3">
      <c r="A3902" t="s">
        <v>1874</v>
      </c>
      <c r="B3902" t="s">
        <v>1875</v>
      </c>
      <c r="C3902">
        <v>9</v>
      </c>
      <c r="D3902" t="s">
        <v>1447</v>
      </c>
      <c r="E3902" t="s">
        <v>1876</v>
      </c>
      <c r="F3902" t="s">
        <v>1737</v>
      </c>
      <c r="K3902" t="str">
        <f>IF(ISBLANK('Q 5'!C1106),"",IF('Q 5'!C1106="&lt;please select&gt;","",'Q 5'!C1106))</f>
        <v/>
      </c>
    </row>
    <row r="3903" spans="1:11" x14ac:dyDescent="0.3">
      <c r="A3903" t="s">
        <v>1874</v>
      </c>
      <c r="B3903" t="s">
        <v>1875</v>
      </c>
      <c r="C3903">
        <v>10</v>
      </c>
      <c r="D3903" t="s">
        <v>1447</v>
      </c>
      <c r="E3903" t="s">
        <v>1876</v>
      </c>
      <c r="F3903" t="s">
        <v>1737</v>
      </c>
      <c r="K3903" t="str">
        <f>IF(ISBLANK('Q 5'!C1107),"",IF('Q 5'!C1107="&lt;please select&gt;","",'Q 5'!C1107))</f>
        <v/>
      </c>
    </row>
    <row r="3904" spans="1:11" x14ac:dyDescent="0.3">
      <c r="A3904" t="s">
        <v>1874</v>
      </c>
      <c r="B3904" t="s">
        <v>1875</v>
      </c>
      <c r="C3904">
        <v>11</v>
      </c>
      <c r="D3904" t="s">
        <v>1447</v>
      </c>
      <c r="E3904" t="s">
        <v>1876</v>
      </c>
      <c r="F3904" t="s">
        <v>1737</v>
      </c>
      <c r="K3904" t="str">
        <f>IF(ISBLANK('Q 5'!C1108),"",IF('Q 5'!C1108="&lt;please select&gt;","",'Q 5'!C1108))</f>
        <v/>
      </c>
    </row>
    <row r="3905" spans="1:11" x14ac:dyDescent="0.3">
      <c r="A3905" t="s">
        <v>1874</v>
      </c>
      <c r="B3905" t="s">
        <v>1875</v>
      </c>
      <c r="C3905">
        <v>12</v>
      </c>
      <c r="D3905" t="s">
        <v>1447</v>
      </c>
      <c r="E3905" t="s">
        <v>1876</v>
      </c>
      <c r="F3905" t="s">
        <v>1737</v>
      </c>
      <c r="K3905" t="str">
        <f>IF(ISBLANK('Q 5'!C1109),"",IF('Q 5'!C1109="&lt;please select&gt;","",'Q 5'!C1109))</f>
        <v/>
      </c>
    </row>
    <row r="3906" spans="1:11" x14ac:dyDescent="0.3">
      <c r="A3906" t="s">
        <v>1874</v>
      </c>
      <c r="B3906" t="s">
        <v>1875</v>
      </c>
      <c r="C3906">
        <v>13</v>
      </c>
      <c r="D3906" t="s">
        <v>1447</v>
      </c>
      <c r="E3906" t="s">
        <v>1876</v>
      </c>
      <c r="F3906" t="s">
        <v>1737</v>
      </c>
      <c r="K3906" t="str">
        <f>IF(ISBLANK('Q 5'!C1110),"",IF('Q 5'!C1110="&lt;please select&gt;","",'Q 5'!C1110))</f>
        <v/>
      </c>
    </row>
    <row r="3907" spans="1:11" x14ac:dyDescent="0.3">
      <c r="A3907" t="s">
        <v>1874</v>
      </c>
      <c r="B3907" t="s">
        <v>1875</v>
      </c>
      <c r="C3907">
        <v>14</v>
      </c>
      <c r="D3907" t="s">
        <v>1447</v>
      </c>
      <c r="E3907" t="s">
        <v>1876</v>
      </c>
      <c r="F3907" t="s">
        <v>1737</v>
      </c>
      <c r="K3907" t="str">
        <f>IF(ISBLANK('Q 5'!C1111),"",IF('Q 5'!C1111="&lt;please select&gt;","",'Q 5'!C1111))</f>
        <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
      </c>
    </row>
    <row r="3917" spans="1:11" x14ac:dyDescent="0.3">
      <c r="A3917" t="s">
        <v>1874</v>
      </c>
      <c r="B3917" t="s">
        <v>1875</v>
      </c>
      <c r="C3917">
        <v>2</v>
      </c>
      <c r="D3917" t="s">
        <v>1447</v>
      </c>
      <c r="E3917" t="s">
        <v>1877</v>
      </c>
      <c r="F3917" t="s">
        <v>1737</v>
      </c>
      <c r="K3917" t="str">
        <f>IF(ISBLANK('Q 5'!E1099),"",IF('Q 5'!E1099="&lt;please select&gt;","",'Q 5'!E1099))</f>
        <v/>
      </c>
    </row>
    <row r="3918" spans="1:11" x14ac:dyDescent="0.3">
      <c r="A3918" t="s">
        <v>1874</v>
      </c>
      <c r="B3918" t="s">
        <v>1875</v>
      </c>
      <c r="C3918">
        <v>3</v>
      </c>
      <c r="D3918" t="s">
        <v>1447</v>
      </c>
      <c r="E3918" t="s">
        <v>1877</v>
      </c>
      <c r="F3918" t="s">
        <v>1737</v>
      </c>
      <c r="K3918" t="str">
        <f>IF(ISBLANK('Q 5'!E1100),"",IF('Q 5'!E1100="&lt;please select&gt;","",'Q 5'!E1100))</f>
        <v/>
      </c>
    </row>
    <row r="3919" spans="1:11" x14ac:dyDescent="0.3">
      <c r="A3919" t="s">
        <v>1874</v>
      </c>
      <c r="B3919" t="s">
        <v>1875</v>
      </c>
      <c r="C3919">
        <v>4</v>
      </c>
      <c r="D3919" t="s">
        <v>1447</v>
      </c>
      <c r="E3919" t="s">
        <v>1877</v>
      </c>
      <c r="F3919" t="s">
        <v>1737</v>
      </c>
      <c r="K3919" t="str">
        <f>IF(ISBLANK('Q 5'!E1101),"",IF('Q 5'!E1101="&lt;please select&gt;","",'Q 5'!E1101))</f>
        <v/>
      </c>
    </row>
    <row r="3920" spans="1:11" x14ac:dyDescent="0.3">
      <c r="A3920" t="s">
        <v>1874</v>
      </c>
      <c r="B3920" t="s">
        <v>1875</v>
      </c>
      <c r="C3920">
        <v>5</v>
      </c>
      <c r="D3920" t="s">
        <v>1447</v>
      </c>
      <c r="E3920" t="s">
        <v>1877</v>
      </c>
      <c r="F3920" t="s">
        <v>1737</v>
      </c>
      <c r="K3920" t="str">
        <f>IF(ISBLANK('Q 5'!E1102),"",IF('Q 5'!E1102="&lt;please select&gt;","",'Q 5'!E1102))</f>
        <v/>
      </c>
    </row>
    <row r="3921" spans="1:11" x14ac:dyDescent="0.3">
      <c r="A3921" t="s">
        <v>1874</v>
      </c>
      <c r="B3921" t="s">
        <v>1875</v>
      </c>
      <c r="C3921">
        <v>6</v>
      </c>
      <c r="D3921" t="s">
        <v>1447</v>
      </c>
      <c r="E3921" t="s">
        <v>1877</v>
      </c>
      <c r="F3921" t="s">
        <v>1737</v>
      </c>
      <c r="K3921" t="str">
        <f>IF(ISBLANK('Q 5'!E1103),"",IF('Q 5'!E1103="&lt;please select&gt;","",'Q 5'!E1103))</f>
        <v/>
      </c>
    </row>
    <row r="3922" spans="1:11" x14ac:dyDescent="0.3">
      <c r="A3922" t="s">
        <v>1874</v>
      </c>
      <c r="B3922" t="s">
        <v>1875</v>
      </c>
      <c r="C3922">
        <v>7</v>
      </c>
      <c r="D3922" t="s">
        <v>1447</v>
      </c>
      <c r="E3922" t="s">
        <v>1877</v>
      </c>
      <c r="F3922" t="s">
        <v>1737</v>
      </c>
      <c r="K3922" t="str">
        <f>IF(ISBLANK('Q 5'!E1104),"",IF('Q 5'!E1104="&lt;please select&gt;","",'Q 5'!E1104))</f>
        <v/>
      </c>
    </row>
    <row r="3923" spans="1:11" x14ac:dyDescent="0.3">
      <c r="A3923" t="s">
        <v>1874</v>
      </c>
      <c r="B3923" t="s">
        <v>1875</v>
      </c>
      <c r="C3923">
        <v>8</v>
      </c>
      <c r="D3923" t="s">
        <v>1447</v>
      </c>
      <c r="E3923" t="s">
        <v>1877</v>
      </c>
      <c r="F3923" t="s">
        <v>1737</v>
      </c>
      <c r="K3923" t="str">
        <f>IF(ISBLANK('Q 5'!E1105),"",IF('Q 5'!E1105="&lt;please select&gt;","",'Q 5'!E1105))</f>
        <v/>
      </c>
    </row>
    <row r="3924" spans="1:11" x14ac:dyDescent="0.3">
      <c r="A3924" t="s">
        <v>1874</v>
      </c>
      <c r="B3924" t="s">
        <v>1875</v>
      </c>
      <c r="C3924">
        <v>9</v>
      </c>
      <c r="D3924" t="s">
        <v>1447</v>
      </c>
      <c r="E3924" t="s">
        <v>1877</v>
      </c>
      <c r="F3924" t="s">
        <v>1737</v>
      </c>
      <c r="K3924" t="str">
        <f>IF(ISBLANK('Q 5'!E1106),"",IF('Q 5'!E1106="&lt;please select&gt;","",'Q 5'!E1106))</f>
        <v/>
      </c>
    </row>
    <row r="3925" spans="1:11" x14ac:dyDescent="0.3">
      <c r="A3925" t="s">
        <v>1874</v>
      </c>
      <c r="B3925" t="s">
        <v>1875</v>
      </c>
      <c r="C3925">
        <v>10</v>
      </c>
      <c r="D3925" t="s">
        <v>1447</v>
      </c>
      <c r="E3925" t="s">
        <v>1877</v>
      </c>
      <c r="F3925" t="s">
        <v>1737</v>
      </c>
      <c r="K3925" t="str">
        <f>IF(ISBLANK('Q 5'!E1107),"",IF('Q 5'!E1107="&lt;please select&gt;","",'Q 5'!E1107))</f>
        <v/>
      </c>
    </row>
    <row r="3926" spans="1:11" x14ac:dyDescent="0.3">
      <c r="A3926" t="s">
        <v>1874</v>
      </c>
      <c r="B3926" t="s">
        <v>1875</v>
      </c>
      <c r="C3926">
        <v>11</v>
      </c>
      <c r="D3926" t="s">
        <v>1447</v>
      </c>
      <c r="E3926" t="s">
        <v>1877</v>
      </c>
      <c r="F3926" t="s">
        <v>1737</v>
      </c>
      <c r="K3926" t="str">
        <f>IF(ISBLANK('Q 5'!E1108),"",IF('Q 5'!E1108="&lt;please select&gt;","",'Q 5'!E1108))</f>
        <v/>
      </c>
    </row>
    <row r="3927" spans="1:11" x14ac:dyDescent="0.3">
      <c r="A3927" t="s">
        <v>1874</v>
      </c>
      <c r="B3927" t="s">
        <v>1875</v>
      </c>
      <c r="C3927">
        <v>12</v>
      </c>
      <c r="D3927" t="s">
        <v>1447</v>
      </c>
      <c r="E3927" t="s">
        <v>1877</v>
      </c>
      <c r="F3927" t="s">
        <v>1737</v>
      </c>
      <c r="K3927" t="str">
        <f>IF(ISBLANK('Q 5'!E1109),"",IF('Q 5'!E1109="&lt;please select&gt;","",'Q 5'!E1109))</f>
        <v/>
      </c>
    </row>
    <row r="3928" spans="1:11" x14ac:dyDescent="0.3">
      <c r="A3928" t="s">
        <v>1874</v>
      </c>
      <c r="B3928" t="s">
        <v>1875</v>
      </c>
      <c r="C3928">
        <v>13</v>
      </c>
      <c r="D3928" t="s">
        <v>1447</v>
      </c>
      <c r="E3928" t="s">
        <v>1877</v>
      </c>
      <c r="F3928" t="s">
        <v>1737</v>
      </c>
      <c r="K3928" t="str">
        <f>IF(ISBLANK('Q 5'!E1110),"",IF('Q 5'!E1110="&lt;please select&gt;","",'Q 5'!E1110))</f>
        <v/>
      </c>
    </row>
    <row r="3929" spans="1:11" x14ac:dyDescent="0.3">
      <c r="A3929" t="s">
        <v>1874</v>
      </c>
      <c r="B3929" t="s">
        <v>1875</v>
      </c>
      <c r="C3929">
        <v>14</v>
      </c>
      <c r="D3929" t="s">
        <v>1447</v>
      </c>
      <c r="E3929" t="s">
        <v>1877</v>
      </c>
      <c r="F3929" t="s">
        <v>1737</v>
      </c>
      <c r="K3929" t="str">
        <f>IF(ISBLANK('Q 5'!E1111),"",IF('Q 5'!E1111="&lt;please select&gt;","",'Q 5'!E1111))</f>
        <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
      </c>
    </row>
    <row r="3939" spans="1:11" x14ac:dyDescent="0.3">
      <c r="A3939" t="s">
        <v>1874</v>
      </c>
      <c r="B3939" t="s">
        <v>1875</v>
      </c>
      <c r="C3939">
        <v>2</v>
      </c>
      <c r="D3939" t="s">
        <v>1447</v>
      </c>
      <c r="E3939" t="s">
        <v>1878</v>
      </c>
      <c r="F3939" t="s">
        <v>1748</v>
      </c>
      <c r="H3939" s="165" t="str">
        <f>IF(ISBLANK('Q 5'!H1099),"",IF('Q 5'!H1099="&lt;please select&gt;","",'Q 5'!H1099))</f>
        <v/>
      </c>
    </row>
    <row r="3940" spans="1:11" x14ac:dyDescent="0.3">
      <c r="A3940" t="s">
        <v>1874</v>
      </c>
      <c r="B3940" t="s">
        <v>1875</v>
      </c>
      <c r="C3940">
        <v>3</v>
      </c>
      <c r="D3940" t="s">
        <v>1447</v>
      </c>
      <c r="E3940" t="s">
        <v>1878</v>
      </c>
      <c r="F3940" t="s">
        <v>1748</v>
      </c>
      <c r="H3940" s="165" t="str">
        <f>IF(ISBLANK('Q 5'!H1100),"",IF('Q 5'!H1100="&lt;please select&gt;","",'Q 5'!H1100))</f>
        <v/>
      </c>
    </row>
    <row r="3941" spans="1:11" x14ac:dyDescent="0.3">
      <c r="A3941" t="s">
        <v>1874</v>
      </c>
      <c r="B3941" t="s">
        <v>1875</v>
      </c>
      <c r="C3941">
        <v>4</v>
      </c>
      <c r="D3941" t="s">
        <v>1447</v>
      </c>
      <c r="E3941" t="s">
        <v>1878</v>
      </c>
      <c r="F3941" t="s">
        <v>1748</v>
      </c>
      <c r="H3941" s="165" t="str">
        <f>IF(ISBLANK('Q 5'!H1101),"",IF('Q 5'!H1101="&lt;please select&gt;","",'Q 5'!H1101))</f>
        <v/>
      </c>
    </row>
    <row r="3942" spans="1:11" x14ac:dyDescent="0.3">
      <c r="A3942" t="s">
        <v>1874</v>
      </c>
      <c r="B3942" t="s">
        <v>1875</v>
      </c>
      <c r="C3942">
        <v>5</v>
      </c>
      <c r="D3942" t="s">
        <v>1447</v>
      </c>
      <c r="E3942" t="s">
        <v>1878</v>
      </c>
      <c r="F3942" t="s">
        <v>1748</v>
      </c>
      <c r="H3942" s="165" t="str">
        <f>IF(ISBLANK('Q 5'!H1102),"",IF('Q 5'!H1102="&lt;please select&gt;","",'Q 5'!H1102))</f>
        <v/>
      </c>
    </row>
    <row r="3943" spans="1:11" x14ac:dyDescent="0.3">
      <c r="A3943" t="s">
        <v>1874</v>
      </c>
      <c r="B3943" t="s">
        <v>1875</v>
      </c>
      <c r="C3943">
        <v>6</v>
      </c>
      <c r="D3943" t="s">
        <v>1447</v>
      </c>
      <c r="E3943" t="s">
        <v>1878</v>
      </c>
      <c r="F3943" t="s">
        <v>1748</v>
      </c>
      <c r="H3943" s="165" t="str">
        <f>IF(ISBLANK('Q 5'!H1103),"",IF('Q 5'!H1103="&lt;please select&gt;","",'Q 5'!H1103))</f>
        <v/>
      </c>
    </row>
    <row r="3944" spans="1:11" x14ac:dyDescent="0.3">
      <c r="A3944" t="s">
        <v>1874</v>
      </c>
      <c r="B3944" t="s">
        <v>1875</v>
      </c>
      <c r="C3944">
        <v>7</v>
      </c>
      <c r="D3944" t="s">
        <v>1447</v>
      </c>
      <c r="E3944" t="s">
        <v>1878</v>
      </c>
      <c r="F3944" t="s">
        <v>1748</v>
      </c>
      <c r="H3944" s="165" t="str">
        <f>IF(ISBLANK('Q 5'!H1104),"",IF('Q 5'!H1104="&lt;please select&gt;","",'Q 5'!H1104))</f>
        <v/>
      </c>
    </row>
    <row r="3945" spans="1:11" x14ac:dyDescent="0.3">
      <c r="A3945" t="s">
        <v>1874</v>
      </c>
      <c r="B3945" t="s">
        <v>1875</v>
      </c>
      <c r="C3945">
        <v>8</v>
      </c>
      <c r="D3945" t="s">
        <v>1447</v>
      </c>
      <c r="E3945" t="s">
        <v>1878</v>
      </c>
      <c r="F3945" t="s">
        <v>1748</v>
      </c>
      <c r="H3945" s="165" t="str">
        <f>IF(ISBLANK('Q 5'!H1105),"",IF('Q 5'!H1105="&lt;please select&gt;","",'Q 5'!H1105))</f>
        <v/>
      </c>
    </row>
    <row r="3946" spans="1:11" x14ac:dyDescent="0.3">
      <c r="A3946" t="s">
        <v>1874</v>
      </c>
      <c r="B3946" t="s">
        <v>1875</v>
      </c>
      <c r="C3946">
        <v>9</v>
      </c>
      <c r="D3946" t="s">
        <v>1447</v>
      </c>
      <c r="E3946" t="s">
        <v>1878</v>
      </c>
      <c r="F3946" t="s">
        <v>1748</v>
      </c>
      <c r="H3946" s="165" t="str">
        <f>IF(ISBLANK('Q 5'!H1106),"",IF('Q 5'!H1106="&lt;please select&gt;","",'Q 5'!H1106))</f>
        <v/>
      </c>
    </row>
    <row r="3947" spans="1:11" x14ac:dyDescent="0.3">
      <c r="A3947" t="s">
        <v>1874</v>
      </c>
      <c r="B3947" t="s">
        <v>1875</v>
      </c>
      <c r="C3947">
        <v>10</v>
      </c>
      <c r="D3947" t="s">
        <v>1447</v>
      </c>
      <c r="E3947" t="s">
        <v>1878</v>
      </c>
      <c r="F3947" t="s">
        <v>1748</v>
      </c>
      <c r="H3947" s="165" t="str">
        <f>IF(ISBLANK('Q 5'!H1107),"",IF('Q 5'!H1107="&lt;please select&gt;","",'Q 5'!H1107))</f>
        <v/>
      </c>
    </row>
    <row r="3948" spans="1:11" x14ac:dyDescent="0.3">
      <c r="A3948" t="s">
        <v>1874</v>
      </c>
      <c r="B3948" t="s">
        <v>1875</v>
      </c>
      <c r="C3948">
        <v>11</v>
      </c>
      <c r="D3948" t="s">
        <v>1447</v>
      </c>
      <c r="E3948" t="s">
        <v>1878</v>
      </c>
      <c r="F3948" t="s">
        <v>1748</v>
      </c>
      <c r="H3948" s="165" t="str">
        <f>IF(ISBLANK('Q 5'!H1108),"",IF('Q 5'!H1108="&lt;please select&gt;","",'Q 5'!H1108))</f>
        <v/>
      </c>
    </row>
    <row r="3949" spans="1:11" x14ac:dyDescent="0.3">
      <c r="A3949" t="s">
        <v>1874</v>
      </c>
      <c r="B3949" t="s">
        <v>1875</v>
      </c>
      <c r="C3949">
        <v>12</v>
      </c>
      <c r="D3949" t="s">
        <v>1447</v>
      </c>
      <c r="E3949" t="s">
        <v>1878</v>
      </c>
      <c r="F3949" t="s">
        <v>1748</v>
      </c>
      <c r="H3949" s="165" t="str">
        <f>IF(ISBLANK('Q 5'!H1109),"",IF('Q 5'!H1109="&lt;please select&gt;","",'Q 5'!H1109))</f>
        <v/>
      </c>
    </row>
    <row r="3950" spans="1:11" x14ac:dyDescent="0.3">
      <c r="A3950" t="s">
        <v>1874</v>
      </c>
      <c r="B3950" t="s">
        <v>1875</v>
      </c>
      <c r="C3950">
        <v>13</v>
      </c>
      <c r="D3950" t="s">
        <v>1447</v>
      </c>
      <c r="E3950" t="s">
        <v>1878</v>
      </c>
      <c r="F3950" t="s">
        <v>1748</v>
      </c>
      <c r="H3950" s="165" t="str">
        <f>IF(ISBLANK('Q 5'!H1110),"",IF('Q 5'!H1110="&lt;please select&gt;","",'Q 5'!H1110))</f>
        <v/>
      </c>
    </row>
    <row r="3951" spans="1:11" x14ac:dyDescent="0.3">
      <c r="A3951" t="s">
        <v>1874</v>
      </c>
      <c r="B3951" t="s">
        <v>1875</v>
      </c>
      <c r="C3951">
        <v>14</v>
      </c>
      <c r="D3951" t="s">
        <v>1447</v>
      </c>
      <c r="E3951" t="s">
        <v>1878</v>
      </c>
      <c r="F3951" t="s">
        <v>1748</v>
      </c>
      <c r="H3951" s="165" t="str">
        <f>IF(ISBLANK('Q 5'!H1111),"",IF('Q 5'!H1111="&lt;please select&gt;","",'Q 5'!H1111))</f>
        <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No</v>
      </c>
    </row>
    <row r="3961" spans="1:11" x14ac:dyDescent="0.3">
      <c r="A3961" t="s">
        <v>1879</v>
      </c>
      <c r="B3961" t="s">
        <v>1881</v>
      </c>
      <c r="C3961">
        <v>1</v>
      </c>
      <c r="D3961" t="s">
        <v>1447</v>
      </c>
      <c r="E3961" t="s">
        <v>1882</v>
      </c>
      <c r="F3961" t="s">
        <v>1741</v>
      </c>
      <c r="G3961" t="str">
        <f>IF(ISBLANK('Q 5'!C1127),"",IF('Q 5'!C1127="&lt;please select&gt;","",'Q 5'!C1127))</f>
        <v/>
      </c>
    </row>
    <row r="3962" spans="1:11" x14ac:dyDescent="0.3">
      <c r="A3962" t="s">
        <v>1879</v>
      </c>
      <c r="B3962" t="s">
        <v>1881</v>
      </c>
      <c r="C3962">
        <v>2</v>
      </c>
      <c r="D3962" t="s">
        <v>1447</v>
      </c>
      <c r="E3962" t="s">
        <v>1882</v>
      </c>
      <c r="F3962" t="s">
        <v>1741</v>
      </c>
      <c r="G3962" t="str">
        <f>IF(ISBLANK('Q 5'!C1128),"",IF('Q 5'!C1128="&lt;please select&gt;","",'Q 5'!C1128))</f>
        <v/>
      </c>
    </row>
    <row r="3963" spans="1:11" x14ac:dyDescent="0.3">
      <c r="A3963" t="s">
        <v>1879</v>
      </c>
      <c r="B3963" t="s">
        <v>1881</v>
      </c>
      <c r="C3963">
        <v>3</v>
      </c>
      <c r="D3963" t="s">
        <v>1447</v>
      </c>
      <c r="E3963" t="s">
        <v>1882</v>
      </c>
      <c r="F3963" t="s">
        <v>1741</v>
      </c>
      <c r="G3963" t="str">
        <f>IF(ISBLANK('Q 5'!C1129),"",IF('Q 5'!C1129="&lt;please select&gt;","",'Q 5'!C1129))</f>
        <v/>
      </c>
    </row>
    <row r="3964" spans="1:11" x14ac:dyDescent="0.3">
      <c r="A3964" t="s">
        <v>1879</v>
      </c>
      <c r="B3964" t="s">
        <v>1881</v>
      </c>
      <c r="C3964">
        <v>4</v>
      </c>
      <c r="D3964" t="s">
        <v>1447</v>
      </c>
      <c r="E3964" t="s">
        <v>1882</v>
      </c>
      <c r="F3964" t="s">
        <v>1741</v>
      </c>
      <c r="G3964" t="str">
        <f>IF(ISBLANK('Q 5'!C1130),"",IF('Q 5'!C1130="&lt;please select&gt;","",'Q 5'!C1130))</f>
        <v/>
      </c>
    </row>
    <row r="3965" spans="1:11" x14ac:dyDescent="0.3">
      <c r="A3965" t="s">
        <v>1879</v>
      </c>
      <c r="B3965" t="s">
        <v>1881</v>
      </c>
      <c r="C3965">
        <v>5</v>
      </c>
      <c r="D3965" t="s">
        <v>1447</v>
      </c>
      <c r="E3965" t="s">
        <v>1882</v>
      </c>
      <c r="F3965" t="s">
        <v>1741</v>
      </c>
      <c r="G3965" t="str">
        <f>IF(ISBLANK('Q 5'!C1131),"",IF('Q 5'!C1131="&lt;please select&gt;","",'Q 5'!C1131))</f>
        <v/>
      </c>
    </row>
    <row r="3966" spans="1:11" x14ac:dyDescent="0.3">
      <c r="A3966" t="s">
        <v>1879</v>
      </c>
      <c r="B3966" t="s">
        <v>1881</v>
      </c>
      <c r="C3966">
        <v>6</v>
      </c>
      <c r="D3966" t="s">
        <v>1447</v>
      </c>
      <c r="E3966" t="s">
        <v>1882</v>
      </c>
      <c r="F3966" t="s">
        <v>1741</v>
      </c>
      <c r="G3966" t="str">
        <f>IF(ISBLANK('Q 5'!C1132),"",IF('Q 5'!C1132="&lt;please select&gt;","",'Q 5'!C1132))</f>
        <v/>
      </c>
    </row>
    <row r="3967" spans="1:11" x14ac:dyDescent="0.3">
      <c r="A3967" t="s">
        <v>1879</v>
      </c>
      <c r="B3967" t="s">
        <v>1881</v>
      </c>
      <c r="C3967">
        <v>7</v>
      </c>
      <c r="D3967" t="s">
        <v>1447</v>
      </c>
      <c r="E3967" t="s">
        <v>1882</v>
      </c>
      <c r="F3967" t="s">
        <v>1741</v>
      </c>
      <c r="G3967" t="str">
        <f>IF(ISBLANK('Q 5'!C1133),"",IF('Q 5'!C1133="&lt;please select&gt;","",'Q 5'!C1133))</f>
        <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
      </c>
    </row>
    <row r="3972" spans="1:11" x14ac:dyDescent="0.3">
      <c r="A3972" t="s">
        <v>1879</v>
      </c>
      <c r="B3972" t="s">
        <v>1881</v>
      </c>
      <c r="C3972">
        <v>2</v>
      </c>
      <c r="D3972" t="s">
        <v>1447</v>
      </c>
      <c r="E3972" t="s">
        <v>1883</v>
      </c>
      <c r="F3972" t="s">
        <v>1737</v>
      </c>
      <c r="K3972" t="str">
        <f>IF(ISBLANK('Q 5'!D1128),"",IF('Q 5'!D1128="&lt;please select&gt;","",'Q 5'!D1128))</f>
        <v/>
      </c>
    </row>
    <row r="3973" spans="1:11" x14ac:dyDescent="0.3">
      <c r="A3973" t="s">
        <v>1879</v>
      </c>
      <c r="B3973" t="s">
        <v>1881</v>
      </c>
      <c r="C3973">
        <v>3</v>
      </c>
      <c r="D3973" t="s">
        <v>1447</v>
      </c>
      <c r="E3973" t="s">
        <v>1883</v>
      </c>
      <c r="F3973" t="s">
        <v>1737</v>
      </c>
      <c r="K3973" t="str">
        <f>IF(ISBLANK('Q 5'!D1129),"",IF('Q 5'!D1129="&lt;please select&gt;","",'Q 5'!D1129))</f>
        <v/>
      </c>
    </row>
    <row r="3974" spans="1:11" x14ac:dyDescent="0.3">
      <c r="A3974" t="s">
        <v>1879</v>
      </c>
      <c r="B3974" t="s">
        <v>1881</v>
      </c>
      <c r="C3974">
        <v>4</v>
      </c>
      <c r="D3974" t="s">
        <v>1447</v>
      </c>
      <c r="E3974" t="s">
        <v>1883</v>
      </c>
      <c r="F3974" t="s">
        <v>1737</v>
      </c>
      <c r="K3974" t="str">
        <f>IF(ISBLANK('Q 5'!D1130),"",IF('Q 5'!D1130="&lt;please select&gt;","",'Q 5'!D1130))</f>
        <v/>
      </c>
    </row>
    <row r="3975" spans="1:11" x14ac:dyDescent="0.3">
      <c r="A3975" t="s">
        <v>1879</v>
      </c>
      <c r="B3975" t="s">
        <v>1881</v>
      </c>
      <c r="C3975">
        <v>5</v>
      </c>
      <c r="D3975" t="s">
        <v>1447</v>
      </c>
      <c r="E3975" t="s">
        <v>1883</v>
      </c>
      <c r="F3975" t="s">
        <v>1737</v>
      </c>
      <c r="K3975" t="str">
        <f>IF(ISBLANK('Q 5'!D1131),"",IF('Q 5'!D1131="&lt;please select&gt;","",'Q 5'!D1131))</f>
        <v/>
      </c>
    </row>
    <row r="3976" spans="1:11" x14ac:dyDescent="0.3">
      <c r="A3976" t="s">
        <v>1879</v>
      </c>
      <c r="B3976" t="s">
        <v>1881</v>
      </c>
      <c r="C3976">
        <v>6</v>
      </c>
      <c r="D3976" t="s">
        <v>1447</v>
      </c>
      <c r="E3976" t="s">
        <v>1883</v>
      </c>
      <c r="F3976" t="s">
        <v>1737</v>
      </c>
      <c r="K3976" t="str">
        <f>IF(ISBLANK('Q 5'!D1132),"",IF('Q 5'!D1132="&lt;please select&gt;","",'Q 5'!D1132))</f>
        <v/>
      </c>
    </row>
    <row r="3977" spans="1:11" x14ac:dyDescent="0.3">
      <c r="A3977" t="s">
        <v>1879</v>
      </c>
      <c r="B3977" t="s">
        <v>1881</v>
      </c>
      <c r="C3977">
        <v>7</v>
      </c>
      <c r="D3977" t="s">
        <v>1447</v>
      </c>
      <c r="E3977" t="s">
        <v>1883</v>
      </c>
      <c r="F3977" t="s">
        <v>1737</v>
      </c>
      <c r="K3977" t="str">
        <f>IF(ISBLANK('Q 5'!D1133),"",IF('Q 5'!D1133="&lt;please select&gt;","",'Q 5'!D1133))</f>
        <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
      </c>
    </row>
    <row r="3982" spans="1:11" x14ac:dyDescent="0.3">
      <c r="A3982" t="s">
        <v>1879</v>
      </c>
      <c r="B3982" t="s">
        <v>1881</v>
      </c>
      <c r="C3982">
        <v>2</v>
      </c>
      <c r="D3982" t="s">
        <v>1447</v>
      </c>
      <c r="E3982" t="s">
        <v>1884</v>
      </c>
      <c r="F3982" t="s">
        <v>1737</v>
      </c>
      <c r="K3982" t="str">
        <f>IF(ISBLANK('Q 5'!H1128),"",IF('Q 5'!H1128="&lt;please select&gt;","",'Q 5'!H1128))</f>
        <v/>
      </c>
    </row>
    <row r="3983" spans="1:11" x14ac:dyDescent="0.3">
      <c r="A3983" t="s">
        <v>1879</v>
      </c>
      <c r="B3983" t="s">
        <v>1881</v>
      </c>
      <c r="C3983">
        <v>3</v>
      </c>
      <c r="D3983" t="s">
        <v>1447</v>
      </c>
      <c r="E3983" t="s">
        <v>1884</v>
      </c>
      <c r="F3983" t="s">
        <v>1737</v>
      </c>
      <c r="K3983" t="str">
        <f>IF(ISBLANK('Q 5'!H1129),"",IF('Q 5'!H1129="&lt;please select&gt;","",'Q 5'!H1129))</f>
        <v/>
      </c>
    </row>
    <row r="3984" spans="1:11" x14ac:dyDescent="0.3">
      <c r="A3984" t="s">
        <v>1879</v>
      </c>
      <c r="B3984" t="s">
        <v>1881</v>
      </c>
      <c r="C3984">
        <v>4</v>
      </c>
      <c r="D3984" t="s">
        <v>1447</v>
      </c>
      <c r="E3984" t="s">
        <v>1884</v>
      </c>
      <c r="F3984" t="s">
        <v>1737</v>
      </c>
      <c r="K3984" t="str">
        <f>IF(ISBLANK('Q 5'!H1130),"",IF('Q 5'!H1130="&lt;please select&gt;","",'Q 5'!H1130))</f>
        <v/>
      </c>
    </row>
    <row r="3985" spans="1:11" x14ac:dyDescent="0.3">
      <c r="A3985" t="s">
        <v>1879</v>
      </c>
      <c r="B3985" t="s">
        <v>1881</v>
      </c>
      <c r="C3985">
        <v>5</v>
      </c>
      <c r="D3985" t="s">
        <v>1447</v>
      </c>
      <c r="E3985" t="s">
        <v>1884</v>
      </c>
      <c r="F3985" t="s">
        <v>1737</v>
      </c>
      <c r="K3985" t="str">
        <f>IF(ISBLANK('Q 5'!H1131),"",IF('Q 5'!H1131="&lt;please select&gt;","",'Q 5'!H1131))</f>
        <v/>
      </c>
    </row>
    <row r="3986" spans="1:11" x14ac:dyDescent="0.3">
      <c r="A3986" t="s">
        <v>1879</v>
      </c>
      <c r="B3986" t="s">
        <v>1881</v>
      </c>
      <c r="C3986">
        <v>6</v>
      </c>
      <c r="D3986" t="s">
        <v>1447</v>
      </c>
      <c r="E3986" t="s">
        <v>1884</v>
      </c>
      <c r="F3986" t="s">
        <v>1737</v>
      </c>
      <c r="K3986" t="str">
        <f>IF(ISBLANK('Q 5'!H1132),"",IF('Q 5'!H1132="&lt;please select&gt;","",'Q 5'!H1132))</f>
        <v/>
      </c>
    </row>
    <row r="3987" spans="1:11" x14ac:dyDescent="0.3">
      <c r="A3987" t="s">
        <v>1879</v>
      </c>
      <c r="B3987" t="s">
        <v>1881</v>
      </c>
      <c r="C3987">
        <v>7</v>
      </c>
      <c r="D3987" t="s">
        <v>1447</v>
      </c>
      <c r="E3987" t="s">
        <v>1884</v>
      </c>
      <c r="F3987" t="s">
        <v>1737</v>
      </c>
      <c r="K3987" t="str">
        <f>IF(ISBLANK('Q 5'!H1133),"",IF('Q 5'!H1133="&lt;please select&gt;","",'Q 5'!H1133))</f>
        <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
      </c>
    </row>
    <row r="3992" spans="1:11" x14ac:dyDescent="0.3">
      <c r="A3992" t="s">
        <v>1879</v>
      </c>
      <c r="B3992" t="s">
        <v>1881</v>
      </c>
      <c r="C3992">
        <v>2</v>
      </c>
      <c r="D3992" t="s">
        <v>1447</v>
      </c>
      <c r="E3992" t="s">
        <v>1885</v>
      </c>
      <c r="F3992" t="s">
        <v>1806</v>
      </c>
      <c r="I3992" t="str">
        <f>IF(ISBLANK('Q 5'!I1128),"",IF('Q 5'!I1128="&lt;please select&gt;","",'Q 5'!I1128))</f>
        <v/>
      </c>
    </row>
    <row r="3993" spans="1:11" x14ac:dyDescent="0.3">
      <c r="A3993" t="s">
        <v>1879</v>
      </c>
      <c r="B3993" t="s">
        <v>1881</v>
      </c>
      <c r="C3993">
        <v>3</v>
      </c>
      <c r="D3993" t="s">
        <v>1447</v>
      </c>
      <c r="E3993" t="s">
        <v>1885</v>
      </c>
      <c r="F3993" t="s">
        <v>1806</v>
      </c>
      <c r="I3993" t="str">
        <f>IF(ISBLANK('Q 5'!I1129),"",IF('Q 5'!I1129="&lt;please select&gt;","",'Q 5'!I1129))</f>
        <v/>
      </c>
    </row>
    <row r="3994" spans="1:11" x14ac:dyDescent="0.3">
      <c r="A3994" t="s">
        <v>1879</v>
      </c>
      <c r="B3994" t="s">
        <v>1881</v>
      </c>
      <c r="C3994">
        <v>4</v>
      </c>
      <c r="D3994" t="s">
        <v>1447</v>
      </c>
      <c r="E3994" t="s">
        <v>1885</v>
      </c>
      <c r="F3994" t="s">
        <v>1806</v>
      </c>
      <c r="I3994" t="str">
        <f>IF(ISBLANK('Q 5'!I1130),"",IF('Q 5'!I1130="&lt;please select&gt;","",'Q 5'!I1130))</f>
        <v/>
      </c>
    </row>
    <row r="3995" spans="1:11" x14ac:dyDescent="0.3">
      <c r="A3995" t="s">
        <v>1879</v>
      </c>
      <c r="B3995" t="s">
        <v>1881</v>
      </c>
      <c r="C3995">
        <v>5</v>
      </c>
      <c r="D3995" t="s">
        <v>1447</v>
      </c>
      <c r="E3995" t="s">
        <v>1885</v>
      </c>
      <c r="F3995" t="s">
        <v>1806</v>
      </c>
      <c r="I3995" t="str">
        <f>IF(ISBLANK('Q 5'!I1131),"",IF('Q 5'!I1131="&lt;please select&gt;","",'Q 5'!I1131))</f>
        <v/>
      </c>
    </row>
    <row r="3996" spans="1:11" x14ac:dyDescent="0.3">
      <c r="A3996" t="s">
        <v>1879</v>
      </c>
      <c r="B3996" t="s">
        <v>1881</v>
      </c>
      <c r="C3996">
        <v>6</v>
      </c>
      <c r="D3996" t="s">
        <v>1447</v>
      </c>
      <c r="E3996" t="s">
        <v>1885</v>
      </c>
      <c r="F3996" t="s">
        <v>1806</v>
      </c>
      <c r="I3996" t="str">
        <f>IF(ISBLANK('Q 5'!I1132),"",IF('Q 5'!I1132="&lt;please select&gt;","",'Q 5'!I1132))</f>
        <v/>
      </c>
    </row>
    <row r="3997" spans="1:11" x14ac:dyDescent="0.3">
      <c r="A3997" t="s">
        <v>1879</v>
      </c>
      <c r="B3997" t="s">
        <v>1881</v>
      </c>
      <c r="C3997">
        <v>7</v>
      </c>
      <c r="D3997" t="s">
        <v>1447</v>
      </c>
      <c r="E3997" t="s">
        <v>1885</v>
      </c>
      <c r="F3997" t="s">
        <v>1806</v>
      </c>
      <c r="I3997" t="str">
        <f>IF(ISBLANK('Q 5'!I1133),"",IF('Q 5'!I1133="&lt;please select&gt;","",'Q 5'!I1133))</f>
        <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
      </c>
    </row>
    <row r="4002" spans="1:11" x14ac:dyDescent="0.3">
      <c r="A4002" t="s">
        <v>1886</v>
      </c>
      <c r="B4002" t="s">
        <v>1887</v>
      </c>
      <c r="C4002">
        <v>2</v>
      </c>
      <c r="D4002" t="s">
        <v>1447</v>
      </c>
      <c r="E4002" t="s">
        <v>1856</v>
      </c>
      <c r="F4002" t="s">
        <v>1737</v>
      </c>
      <c r="K4002" t="str">
        <f>IF(ISBLANK('Q 5'!C1145),"",IF('Q 5'!C1145="&lt;please select&gt;","",'Q 5'!C1145))</f>
        <v/>
      </c>
    </row>
    <row r="4003" spans="1:11" x14ac:dyDescent="0.3">
      <c r="A4003" t="s">
        <v>1886</v>
      </c>
      <c r="B4003" t="s">
        <v>1887</v>
      </c>
      <c r="C4003">
        <v>3</v>
      </c>
      <c r="D4003" t="s">
        <v>1447</v>
      </c>
      <c r="E4003" t="s">
        <v>1856</v>
      </c>
      <c r="F4003" t="s">
        <v>1737</v>
      </c>
      <c r="K4003" t="str">
        <f>IF(ISBLANK('Q 5'!C1146),"",IF('Q 5'!C1146="&lt;please select&gt;","",'Q 5'!C1146))</f>
        <v/>
      </c>
    </row>
    <row r="4004" spans="1:11" x14ac:dyDescent="0.3">
      <c r="A4004" t="s">
        <v>1886</v>
      </c>
      <c r="B4004" t="s">
        <v>1887</v>
      </c>
      <c r="C4004">
        <v>4</v>
      </c>
      <c r="D4004" t="s">
        <v>1447</v>
      </c>
      <c r="E4004" t="s">
        <v>1856</v>
      </c>
      <c r="F4004" t="s">
        <v>1737</v>
      </c>
      <c r="K4004" t="str">
        <f>IF(ISBLANK('Q 5'!C1147),"",IF('Q 5'!C1147="&lt;please select&gt;","",'Q 5'!C1147))</f>
        <v/>
      </c>
    </row>
    <row r="4005" spans="1:11" x14ac:dyDescent="0.3">
      <c r="A4005" t="s">
        <v>1886</v>
      </c>
      <c r="B4005" t="s">
        <v>1887</v>
      </c>
      <c r="C4005">
        <v>5</v>
      </c>
      <c r="D4005" t="s">
        <v>1447</v>
      </c>
      <c r="E4005" t="s">
        <v>1856</v>
      </c>
      <c r="F4005" t="s">
        <v>1737</v>
      </c>
      <c r="K4005" t="str">
        <f>IF(ISBLANK('Q 5'!C1148),"",IF('Q 5'!C1148="&lt;please select&gt;","",'Q 5'!C1148))</f>
        <v/>
      </c>
    </row>
    <row r="4006" spans="1:11" x14ac:dyDescent="0.3">
      <c r="A4006" t="s">
        <v>1886</v>
      </c>
      <c r="B4006" t="s">
        <v>1887</v>
      </c>
      <c r="C4006">
        <v>6</v>
      </c>
      <c r="D4006" t="s">
        <v>1447</v>
      </c>
      <c r="E4006" t="s">
        <v>1856</v>
      </c>
      <c r="F4006" t="s">
        <v>1737</v>
      </c>
      <c r="K4006" t="str">
        <f>IF(ISBLANK('Q 5'!C1149),"",IF('Q 5'!C1149="&lt;please select&gt;","",'Q 5'!C1149))</f>
        <v/>
      </c>
    </row>
    <row r="4007" spans="1:11" x14ac:dyDescent="0.3">
      <c r="A4007" t="s">
        <v>1886</v>
      </c>
      <c r="B4007" t="s">
        <v>1887</v>
      </c>
      <c r="C4007">
        <v>7</v>
      </c>
      <c r="D4007" t="s">
        <v>1447</v>
      </c>
      <c r="E4007" t="s">
        <v>1856</v>
      </c>
      <c r="F4007" t="s">
        <v>1737</v>
      </c>
      <c r="K4007" t="str">
        <f>IF(ISBLANK('Q 5'!C1150),"",IF('Q 5'!C1150="&lt;please select&gt;","",'Q 5'!C1150))</f>
        <v/>
      </c>
    </row>
    <row r="4008" spans="1:11" x14ac:dyDescent="0.3">
      <c r="A4008" t="s">
        <v>1886</v>
      </c>
      <c r="B4008" t="s">
        <v>1887</v>
      </c>
      <c r="C4008">
        <v>8</v>
      </c>
      <c r="D4008" t="s">
        <v>1447</v>
      </c>
      <c r="E4008" t="s">
        <v>1856</v>
      </c>
      <c r="F4008" t="s">
        <v>1737</v>
      </c>
      <c r="K4008" t="str">
        <f>IF(ISBLANK('Q 5'!C1151),"",IF('Q 5'!C1151="&lt;please select&gt;","",'Q 5'!C1151))</f>
        <v/>
      </c>
    </row>
    <row r="4009" spans="1:11" x14ac:dyDescent="0.3">
      <c r="A4009" t="s">
        <v>1886</v>
      </c>
      <c r="B4009" t="s">
        <v>1887</v>
      </c>
      <c r="C4009">
        <v>9</v>
      </c>
      <c r="D4009" t="s">
        <v>1447</v>
      </c>
      <c r="E4009" t="s">
        <v>1856</v>
      </c>
      <c r="F4009" t="s">
        <v>1737</v>
      </c>
      <c r="K4009" t="str">
        <f>IF(ISBLANK('Q 5'!C1152),"",IF('Q 5'!C1152="&lt;please select&gt;","",'Q 5'!C1152))</f>
        <v/>
      </c>
    </row>
    <row r="4010" spans="1:11" x14ac:dyDescent="0.3">
      <c r="A4010" t="s">
        <v>1886</v>
      </c>
      <c r="B4010" t="s">
        <v>1887</v>
      </c>
      <c r="C4010">
        <v>10</v>
      </c>
      <c r="D4010" t="s">
        <v>1447</v>
      </c>
      <c r="E4010" t="s">
        <v>1856</v>
      </c>
      <c r="F4010" t="s">
        <v>1737</v>
      </c>
      <c r="K4010" t="str">
        <f>IF(ISBLANK('Q 5'!C1153),"",IF('Q 5'!C1153="&lt;please select&gt;","",'Q 5'!C1153))</f>
        <v/>
      </c>
    </row>
    <row r="4011" spans="1:11" x14ac:dyDescent="0.3">
      <c r="A4011" t="s">
        <v>1886</v>
      </c>
      <c r="B4011" t="s">
        <v>1887</v>
      </c>
      <c r="C4011">
        <v>11</v>
      </c>
      <c r="D4011" t="s">
        <v>1447</v>
      </c>
      <c r="E4011" t="s">
        <v>1856</v>
      </c>
      <c r="F4011" t="s">
        <v>1737</v>
      </c>
      <c r="K4011" t="str">
        <f>IF(ISBLANK('Q 5'!C1154),"",IF('Q 5'!C1154="&lt;please select&gt;","",'Q 5'!C1154))</f>
        <v/>
      </c>
    </row>
    <row r="4012" spans="1:11" x14ac:dyDescent="0.3">
      <c r="A4012" t="s">
        <v>1886</v>
      </c>
      <c r="B4012" t="s">
        <v>1887</v>
      </c>
      <c r="C4012">
        <v>12</v>
      </c>
      <c r="D4012" t="s">
        <v>1447</v>
      </c>
      <c r="E4012" t="s">
        <v>1856</v>
      </c>
      <c r="F4012" t="s">
        <v>1737</v>
      </c>
      <c r="K4012" t="str">
        <f>IF(ISBLANK('Q 5'!C1155),"",IF('Q 5'!C1155="&lt;please select&gt;","",'Q 5'!C1155))</f>
        <v/>
      </c>
    </row>
    <row r="4013" spans="1:11" x14ac:dyDescent="0.3">
      <c r="A4013" t="s">
        <v>1886</v>
      </c>
      <c r="B4013" t="s">
        <v>1887</v>
      </c>
      <c r="C4013">
        <v>13</v>
      </c>
      <c r="D4013" t="s">
        <v>1447</v>
      </c>
      <c r="E4013" t="s">
        <v>1856</v>
      </c>
      <c r="F4013" t="s">
        <v>1737</v>
      </c>
      <c r="K4013" t="str">
        <f>IF(ISBLANK('Q 5'!C1156),"",IF('Q 5'!C1156="&lt;please select&gt;","",'Q 5'!C1156))</f>
        <v/>
      </c>
    </row>
    <row r="4014" spans="1:11" x14ac:dyDescent="0.3">
      <c r="A4014" t="s">
        <v>1886</v>
      </c>
      <c r="B4014" t="s">
        <v>1887</v>
      </c>
      <c r="C4014">
        <v>14</v>
      </c>
      <c r="D4014" t="s">
        <v>1447</v>
      </c>
      <c r="E4014" t="s">
        <v>1856</v>
      </c>
      <c r="F4014" t="s">
        <v>1737</v>
      </c>
      <c r="K4014" t="str">
        <f>IF(ISBLANK('Q 5'!C1157),"",IF('Q 5'!C1157="&lt;please select&gt;","",'Q 5'!C1157))</f>
        <v/>
      </c>
    </row>
    <row r="4015" spans="1:11" x14ac:dyDescent="0.3">
      <c r="A4015" t="s">
        <v>1886</v>
      </c>
      <c r="B4015" t="s">
        <v>1887</v>
      </c>
      <c r="C4015">
        <v>15</v>
      </c>
      <c r="D4015" t="s">
        <v>1447</v>
      </c>
      <c r="E4015" t="s">
        <v>1856</v>
      </c>
      <c r="F4015" t="s">
        <v>1737</v>
      </c>
      <c r="K4015" t="str">
        <f>IF(ISBLANK('Q 5'!C1158),"",IF('Q 5'!C1158="&lt;please select&gt;","",'Q 5'!C1158))</f>
        <v/>
      </c>
    </row>
    <row r="4016" spans="1:11" x14ac:dyDescent="0.3">
      <c r="A4016" t="s">
        <v>1886</v>
      </c>
      <c r="B4016" t="s">
        <v>1887</v>
      </c>
      <c r="C4016">
        <v>16</v>
      </c>
      <c r="D4016" t="s">
        <v>1447</v>
      </c>
      <c r="E4016" t="s">
        <v>1856</v>
      </c>
      <c r="F4016" t="s">
        <v>1737</v>
      </c>
      <c r="K4016" t="str">
        <f>IF(ISBLANK('Q 5'!C1159),"",IF('Q 5'!C1159="&lt;please select&gt;","",'Q 5'!C1159))</f>
        <v/>
      </c>
    </row>
    <row r="4017" spans="1:11" x14ac:dyDescent="0.3">
      <c r="A4017" t="s">
        <v>1886</v>
      </c>
      <c r="B4017" t="s">
        <v>1887</v>
      </c>
      <c r="C4017">
        <v>17</v>
      </c>
      <c r="D4017" t="s">
        <v>1447</v>
      </c>
      <c r="E4017" t="s">
        <v>1856</v>
      </c>
      <c r="F4017" t="s">
        <v>1737</v>
      </c>
      <c r="K4017" t="str">
        <f>IF(ISBLANK('Q 5'!C1160),"",IF('Q 5'!C1160="&lt;please select&gt;","",'Q 5'!C1160))</f>
        <v/>
      </c>
    </row>
    <row r="4018" spans="1:11" x14ac:dyDescent="0.3">
      <c r="A4018" t="s">
        <v>1886</v>
      </c>
      <c r="B4018" t="s">
        <v>1887</v>
      </c>
      <c r="C4018">
        <v>18</v>
      </c>
      <c r="D4018" t="s">
        <v>1447</v>
      </c>
      <c r="E4018" t="s">
        <v>1856</v>
      </c>
      <c r="F4018" t="s">
        <v>1737</v>
      </c>
      <c r="K4018" t="str">
        <f>IF(ISBLANK('Q 5'!C1161),"",IF('Q 5'!C1161="&lt;please select&gt;","",'Q 5'!C1161))</f>
        <v/>
      </c>
    </row>
    <row r="4019" spans="1:11" x14ac:dyDescent="0.3">
      <c r="A4019" t="s">
        <v>1886</v>
      </c>
      <c r="B4019" t="s">
        <v>1887</v>
      </c>
      <c r="C4019">
        <v>19</v>
      </c>
      <c r="D4019" t="s">
        <v>1447</v>
      </c>
      <c r="E4019" t="s">
        <v>1856</v>
      </c>
      <c r="F4019" t="s">
        <v>1737</v>
      </c>
      <c r="K4019" t="str">
        <f>IF(ISBLANK('Q 5'!C1162),"",IF('Q 5'!C1162="&lt;please select&gt;","",'Q 5'!C1162))</f>
        <v/>
      </c>
    </row>
    <row r="4020" spans="1:11" x14ac:dyDescent="0.3">
      <c r="A4020" t="s">
        <v>1886</v>
      </c>
      <c r="B4020" t="s">
        <v>1887</v>
      </c>
      <c r="C4020">
        <v>20</v>
      </c>
      <c r="D4020" t="s">
        <v>1447</v>
      </c>
      <c r="E4020" t="s">
        <v>1856</v>
      </c>
      <c r="F4020" t="s">
        <v>1737</v>
      </c>
      <c r="K4020" t="str">
        <f>IF(ISBLANK('Q 5'!C1163),"",IF('Q 5'!C1163="&lt;please select&gt;","",'Q 5'!C1163))</f>
        <v/>
      </c>
    </row>
    <row r="4021" spans="1:11" x14ac:dyDescent="0.3">
      <c r="A4021" t="s">
        <v>1886</v>
      </c>
      <c r="B4021" t="s">
        <v>1887</v>
      </c>
      <c r="C4021">
        <v>21</v>
      </c>
      <c r="D4021" t="s">
        <v>1447</v>
      </c>
      <c r="E4021" t="s">
        <v>1856</v>
      </c>
      <c r="F4021" t="s">
        <v>1737</v>
      </c>
      <c r="K4021" t="str">
        <f>IF(ISBLANK('Q 5'!C1164),"",IF('Q 5'!C1164="&lt;please select&gt;","",'Q 5'!C1164))</f>
        <v/>
      </c>
    </row>
    <row r="4022" spans="1:11" x14ac:dyDescent="0.3">
      <c r="A4022" t="s">
        <v>1886</v>
      </c>
      <c r="B4022" t="s">
        <v>1887</v>
      </c>
      <c r="C4022">
        <v>22</v>
      </c>
      <c r="D4022" t="s">
        <v>1447</v>
      </c>
      <c r="E4022" t="s">
        <v>1856</v>
      </c>
      <c r="F4022" t="s">
        <v>1737</v>
      </c>
      <c r="K4022" t="str">
        <f>IF(ISBLANK('Q 5'!C1165),"",IF('Q 5'!C1165="&lt;please select&gt;","",'Q 5'!C1165))</f>
        <v/>
      </c>
    </row>
    <row r="4023" spans="1:11" x14ac:dyDescent="0.3">
      <c r="A4023" t="s">
        <v>1886</v>
      </c>
      <c r="B4023" t="s">
        <v>1887</v>
      </c>
      <c r="C4023">
        <v>23</v>
      </c>
      <c r="D4023" t="s">
        <v>1447</v>
      </c>
      <c r="E4023" t="s">
        <v>1856</v>
      </c>
      <c r="F4023" t="s">
        <v>1737</v>
      </c>
      <c r="K4023" t="str">
        <f>IF(ISBLANK('Q 5'!C1166),"",IF('Q 5'!C1166="&lt;please select&gt;","",'Q 5'!C1166))</f>
        <v/>
      </c>
    </row>
    <row r="4024" spans="1:11" x14ac:dyDescent="0.3">
      <c r="A4024" t="s">
        <v>1886</v>
      </c>
      <c r="B4024" t="s">
        <v>1887</v>
      </c>
      <c r="C4024">
        <v>24</v>
      </c>
      <c r="D4024" t="s">
        <v>1447</v>
      </c>
      <c r="E4024" t="s">
        <v>1856</v>
      </c>
      <c r="F4024" t="s">
        <v>1737</v>
      </c>
      <c r="K4024" t="str">
        <f>IF(ISBLANK('Q 5'!C1167),"",IF('Q 5'!C1167="&lt;please select&gt;","",'Q 5'!C1167))</f>
        <v/>
      </c>
    </row>
    <row r="4025" spans="1:11" x14ac:dyDescent="0.3">
      <c r="A4025" t="s">
        <v>1886</v>
      </c>
      <c r="B4025" t="s">
        <v>1887</v>
      </c>
      <c r="C4025">
        <v>25</v>
      </c>
      <c r="D4025" t="s">
        <v>1447</v>
      </c>
      <c r="E4025" t="s">
        <v>1856</v>
      </c>
      <c r="F4025" t="s">
        <v>1737</v>
      </c>
      <c r="K4025" t="str">
        <f>IF(ISBLANK('Q 5'!C1168),"",IF('Q 5'!C1168="&lt;please select&gt;","",'Q 5'!C1168))</f>
        <v/>
      </c>
    </row>
    <row r="4026" spans="1:11" x14ac:dyDescent="0.3">
      <c r="A4026" t="s">
        <v>1886</v>
      </c>
      <c r="B4026" t="s">
        <v>1887</v>
      </c>
      <c r="C4026">
        <v>26</v>
      </c>
      <c r="D4026" t="s">
        <v>1447</v>
      </c>
      <c r="E4026" t="s">
        <v>1856</v>
      </c>
      <c r="F4026" t="s">
        <v>1737</v>
      </c>
      <c r="K4026" t="str">
        <f>IF(ISBLANK('Q 5'!C1169),"",IF('Q 5'!C1169="&lt;please select&gt;","",'Q 5'!C1169))</f>
        <v/>
      </c>
    </row>
    <row r="4027" spans="1:11" x14ac:dyDescent="0.3">
      <c r="A4027" t="s">
        <v>1886</v>
      </c>
      <c r="B4027" t="s">
        <v>1887</v>
      </c>
      <c r="C4027">
        <v>27</v>
      </c>
      <c r="D4027" t="s">
        <v>1447</v>
      </c>
      <c r="E4027" t="s">
        <v>1856</v>
      </c>
      <c r="F4027" t="s">
        <v>1737</v>
      </c>
      <c r="K4027" t="str">
        <f>IF(ISBLANK('Q 5'!C1170),"",IF('Q 5'!C1170="&lt;please select&gt;","",'Q 5'!C1170))</f>
        <v/>
      </c>
    </row>
    <row r="4028" spans="1:11" x14ac:dyDescent="0.3">
      <c r="A4028" t="s">
        <v>1886</v>
      </c>
      <c r="B4028" t="s">
        <v>1887</v>
      </c>
      <c r="C4028">
        <v>28</v>
      </c>
      <c r="D4028" t="s">
        <v>1447</v>
      </c>
      <c r="E4028" t="s">
        <v>1856</v>
      </c>
      <c r="F4028" t="s">
        <v>1737</v>
      </c>
      <c r="K4028" t="str">
        <f>IF(ISBLANK('Q 5'!C1171),"",IF('Q 5'!C1171="&lt;please select&gt;","",'Q 5'!C1171))</f>
        <v/>
      </c>
    </row>
    <row r="4029" spans="1:11" x14ac:dyDescent="0.3">
      <c r="A4029" t="s">
        <v>1886</v>
      </c>
      <c r="B4029" t="s">
        <v>1887</v>
      </c>
      <c r="C4029">
        <v>29</v>
      </c>
      <c r="D4029" t="s">
        <v>1447</v>
      </c>
      <c r="E4029" t="s">
        <v>1856</v>
      </c>
      <c r="F4029" t="s">
        <v>1737</v>
      </c>
      <c r="K4029" t="str">
        <f>IF(ISBLANK('Q 5'!C1172),"",IF('Q 5'!C1172="&lt;please select&gt;","",'Q 5'!C1172))</f>
        <v/>
      </c>
    </row>
    <row r="4030" spans="1:11" x14ac:dyDescent="0.3">
      <c r="A4030" t="s">
        <v>1886</v>
      </c>
      <c r="B4030" t="s">
        <v>1887</v>
      </c>
      <c r="C4030">
        <v>30</v>
      </c>
      <c r="D4030" t="s">
        <v>1447</v>
      </c>
      <c r="E4030" t="s">
        <v>1856</v>
      </c>
      <c r="F4030" t="s">
        <v>1737</v>
      </c>
      <c r="K4030" t="str">
        <f>IF(ISBLANK('Q 5'!C1173),"",IF('Q 5'!C1173="&lt;please select&gt;","",'Q 5'!C1173))</f>
        <v/>
      </c>
    </row>
    <row r="4031" spans="1:11" x14ac:dyDescent="0.3">
      <c r="A4031" t="s">
        <v>1886</v>
      </c>
      <c r="B4031" t="s">
        <v>1887</v>
      </c>
      <c r="C4031">
        <v>31</v>
      </c>
      <c r="D4031" t="s">
        <v>1447</v>
      </c>
      <c r="E4031" t="s">
        <v>1856</v>
      </c>
      <c r="F4031" t="s">
        <v>1737</v>
      </c>
      <c r="K4031" t="str">
        <f>IF(ISBLANK('Q 5'!C1174),"",IF('Q 5'!C1174="&lt;please select&gt;","",'Q 5'!C1174))</f>
        <v/>
      </c>
    </row>
    <row r="4032" spans="1:11" x14ac:dyDescent="0.3">
      <c r="A4032" t="s">
        <v>1886</v>
      </c>
      <c r="B4032" t="s">
        <v>1887</v>
      </c>
      <c r="C4032">
        <v>32</v>
      </c>
      <c r="D4032" t="s">
        <v>1447</v>
      </c>
      <c r="E4032" t="s">
        <v>1856</v>
      </c>
      <c r="F4032" t="s">
        <v>1737</v>
      </c>
      <c r="K4032" t="str">
        <f>IF(ISBLANK('Q 5'!C1175),"",IF('Q 5'!C1175="&lt;please select&gt;","",'Q 5'!C1175))</f>
        <v/>
      </c>
    </row>
    <row r="4033" spans="1:11" x14ac:dyDescent="0.3">
      <c r="A4033" t="s">
        <v>1886</v>
      </c>
      <c r="B4033" t="s">
        <v>1887</v>
      </c>
      <c r="C4033">
        <v>33</v>
      </c>
      <c r="D4033" t="s">
        <v>1447</v>
      </c>
      <c r="E4033" t="s">
        <v>1856</v>
      </c>
      <c r="F4033" t="s">
        <v>1737</v>
      </c>
      <c r="K4033" t="str">
        <f>IF(ISBLANK('Q 5'!C1176),"",IF('Q 5'!C1176="&lt;please select&gt;","",'Q 5'!C1176))</f>
        <v/>
      </c>
    </row>
    <row r="4034" spans="1:11" x14ac:dyDescent="0.3">
      <c r="A4034" t="s">
        <v>1886</v>
      </c>
      <c r="B4034" t="s">
        <v>1887</v>
      </c>
      <c r="C4034">
        <v>34</v>
      </c>
      <c r="D4034" t="s">
        <v>1447</v>
      </c>
      <c r="E4034" t="s">
        <v>1856</v>
      </c>
      <c r="F4034" t="s">
        <v>1737</v>
      </c>
      <c r="K4034" t="str">
        <f>IF(ISBLANK('Q 5'!C1177),"",IF('Q 5'!C1177="&lt;please select&gt;","",'Q 5'!C1177))</f>
        <v/>
      </c>
    </row>
    <row r="4035" spans="1:11" x14ac:dyDescent="0.3">
      <c r="A4035" t="s">
        <v>1886</v>
      </c>
      <c r="B4035" t="s">
        <v>1887</v>
      </c>
      <c r="C4035">
        <v>35</v>
      </c>
      <c r="D4035" t="s">
        <v>1447</v>
      </c>
      <c r="E4035" t="s">
        <v>1856</v>
      </c>
      <c r="F4035" t="s">
        <v>1737</v>
      </c>
      <c r="K4035" t="str">
        <f>IF(ISBLANK('Q 5'!C1178),"",IF('Q 5'!C1178="&lt;please select&gt;","",'Q 5'!C1178))</f>
        <v/>
      </c>
    </row>
    <row r="4036" spans="1:11" x14ac:dyDescent="0.3">
      <c r="A4036" t="s">
        <v>1886</v>
      </c>
      <c r="B4036" t="s">
        <v>1887</v>
      </c>
      <c r="C4036">
        <v>36</v>
      </c>
      <c r="D4036" t="s">
        <v>1447</v>
      </c>
      <c r="E4036" t="s">
        <v>1856</v>
      </c>
      <c r="F4036" t="s">
        <v>1737</v>
      </c>
      <c r="K4036" t="str">
        <f>IF(ISBLANK('Q 5'!C1179),"",IF('Q 5'!C1179="&lt;please select&gt;","",'Q 5'!C1179))</f>
        <v/>
      </c>
    </row>
    <row r="4037" spans="1:11" x14ac:dyDescent="0.3">
      <c r="A4037" t="s">
        <v>1886</v>
      </c>
      <c r="B4037" t="s">
        <v>1887</v>
      </c>
      <c r="C4037">
        <v>37</v>
      </c>
      <c r="D4037" t="s">
        <v>1447</v>
      </c>
      <c r="E4037" t="s">
        <v>1856</v>
      </c>
      <c r="F4037" t="s">
        <v>1737</v>
      </c>
      <c r="K4037" t="str">
        <f>IF(ISBLANK('Q 5'!C1180),"",IF('Q 5'!C1180="&lt;please select&gt;","",'Q 5'!C1180))</f>
        <v/>
      </c>
    </row>
    <row r="4038" spans="1:11" x14ac:dyDescent="0.3">
      <c r="A4038" t="s">
        <v>1886</v>
      </c>
      <c r="B4038" t="s">
        <v>1887</v>
      </c>
      <c r="C4038">
        <v>38</v>
      </c>
      <c r="D4038" t="s">
        <v>1447</v>
      </c>
      <c r="E4038" t="s">
        <v>1856</v>
      </c>
      <c r="F4038" t="s">
        <v>1737</v>
      </c>
      <c r="K4038" t="str">
        <f>IF(ISBLANK('Q 5'!C1181),"",IF('Q 5'!C1181="&lt;please select&gt;","",'Q 5'!C1181))</f>
        <v/>
      </c>
    </row>
    <row r="4039" spans="1:11" x14ac:dyDescent="0.3">
      <c r="A4039" t="s">
        <v>1886</v>
      </c>
      <c r="B4039" t="s">
        <v>1887</v>
      </c>
      <c r="C4039">
        <v>39</v>
      </c>
      <c r="D4039" t="s">
        <v>1447</v>
      </c>
      <c r="E4039" t="s">
        <v>1856</v>
      </c>
      <c r="F4039" t="s">
        <v>1737</v>
      </c>
      <c r="K4039" t="str">
        <f>IF(ISBLANK('Q 5'!C1182),"",IF('Q 5'!C1182="&lt;please select&gt;","",'Q 5'!C1182))</f>
        <v/>
      </c>
    </row>
    <row r="4040" spans="1:11" x14ac:dyDescent="0.3">
      <c r="A4040" t="s">
        <v>1886</v>
      </c>
      <c r="B4040" t="s">
        <v>1887</v>
      </c>
      <c r="C4040">
        <v>40</v>
      </c>
      <c r="D4040" t="s">
        <v>1447</v>
      </c>
      <c r="E4040" t="s">
        <v>1856</v>
      </c>
      <c r="F4040" t="s">
        <v>1737</v>
      </c>
      <c r="K4040" t="str">
        <f>IF(ISBLANK('Q 5'!C1183),"",IF('Q 5'!C1183="&lt;please select&gt;","",'Q 5'!C1183))</f>
        <v/>
      </c>
    </row>
    <row r="4041" spans="1:11" x14ac:dyDescent="0.3">
      <c r="A4041" t="s">
        <v>1886</v>
      </c>
      <c r="B4041" t="s">
        <v>1887</v>
      </c>
      <c r="C4041">
        <v>41</v>
      </c>
      <c r="D4041" t="s">
        <v>1447</v>
      </c>
      <c r="E4041" t="s">
        <v>1856</v>
      </c>
      <c r="F4041" t="s">
        <v>1737</v>
      </c>
      <c r="K4041" t="str">
        <f>IF(ISBLANK('Q 5'!C1184),"",IF('Q 5'!C1184="&lt;please select&gt;","",'Q 5'!C1184))</f>
        <v/>
      </c>
    </row>
    <row r="4042" spans="1:11" x14ac:dyDescent="0.3">
      <c r="A4042" t="s">
        <v>1886</v>
      </c>
      <c r="B4042" t="s">
        <v>1887</v>
      </c>
      <c r="C4042">
        <v>42</v>
      </c>
      <c r="D4042" t="s">
        <v>1447</v>
      </c>
      <c r="E4042" t="s">
        <v>1856</v>
      </c>
      <c r="F4042" t="s">
        <v>1737</v>
      </c>
      <c r="K4042" t="str">
        <f>IF(ISBLANK('Q 5'!C1185),"",IF('Q 5'!C1185="&lt;please select&gt;","",'Q 5'!C1185))</f>
        <v/>
      </c>
    </row>
    <row r="4043" spans="1:11" x14ac:dyDescent="0.3">
      <c r="A4043" t="s">
        <v>1886</v>
      </c>
      <c r="B4043" t="s">
        <v>1887</v>
      </c>
      <c r="C4043">
        <v>43</v>
      </c>
      <c r="D4043" t="s">
        <v>1447</v>
      </c>
      <c r="E4043" t="s">
        <v>1856</v>
      </c>
      <c r="F4043" t="s">
        <v>1737</v>
      </c>
      <c r="K4043" t="str">
        <f>IF(ISBLANK('Q 5'!C1186),"",IF('Q 5'!C1186="&lt;please select&gt;","",'Q 5'!C1186))</f>
        <v/>
      </c>
    </row>
    <row r="4044" spans="1:11" x14ac:dyDescent="0.3">
      <c r="A4044" t="s">
        <v>1886</v>
      </c>
      <c r="B4044" t="s">
        <v>1887</v>
      </c>
      <c r="C4044">
        <v>44</v>
      </c>
      <c r="D4044" t="s">
        <v>1447</v>
      </c>
      <c r="E4044" t="s">
        <v>1856</v>
      </c>
      <c r="F4044" t="s">
        <v>1737</v>
      </c>
      <c r="K4044" t="str">
        <f>IF(ISBLANK('Q 5'!C1187),"",IF('Q 5'!C1187="&lt;please select&gt;","",'Q 5'!C1187))</f>
        <v/>
      </c>
    </row>
    <row r="4045" spans="1:11" x14ac:dyDescent="0.3">
      <c r="A4045" t="s">
        <v>1886</v>
      </c>
      <c r="B4045" t="s">
        <v>1887</v>
      </c>
      <c r="C4045">
        <v>45</v>
      </c>
      <c r="D4045" t="s">
        <v>1447</v>
      </c>
      <c r="E4045" t="s">
        <v>1856</v>
      </c>
      <c r="F4045" t="s">
        <v>1737</v>
      </c>
      <c r="K4045" t="str">
        <f>IF(ISBLANK('Q 5'!C1188),"",IF('Q 5'!C1188="&lt;please select&gt;","",'Q 5'!C1188))</f>
        <v/>
      </c>
    </row>
    <row r="4046" spans="1:11" x14ac:dyDescent="0.3">
      <c r="A4046" t="s">
        <v>1886</v>
      </c>
      <c r="B4046" t="s">
        <v>1887</v>
      </c>
      <c r="C4046">
        <v>46</v>
      </c>
      <c r="D4046" t="s">
        <v>1447</v>
      </c>
      <c r="E4046" t="s">
        <v>1856</v>
      </c>
      <c r="F4046" t="s">
        <v>1737</v>
      </c>
      <c r="K4046" t="str">
        <f>IF(ISBLANK('Q 5'!C1189),"",IF('Q 5'!C1189="&lt;please select&gt;","",'Q 5'!C1189))</f>
        <v/>
      </c>
    </row>
    <row r="4047" spans="1:11" x14ac:dyDescent="0.3">
      <c r="A4047" t="s">
        <v>1886</v>
      </c>
      <c r="B4047" t="s">
        <v>1887</v>
      </c>
      <c r="C4047">
        <v>47</v>
      </c>
      <c r="D4047" t="s">
        <v>1447</v>
      </c>
      <c r="E4047" t="s">
        <v>1856</v>
      </c>
      <c r="F4047" t="s">
        <v>1737</v>
      </c>
      <c r="K4047" t="str">
        <f>IF(ISBLANK('Q 5'!C1190),"",IF('Q 5'!C1190="&lt;please select&gt;","",'Q 5'!C1190))</f>
        <v/>
      </c>
    </row>
    <row r="4048" spans="1:11" x14ac:dyDescent="0.3">
      <c r="A4048" t="s">
        <v>1886</v>
      </c>
      <c r="B4048" t="s">
        <v>1887</v>
      </c>
      <c r="C4048">
        <v>48</v>
      </c>
      <c r="D4048" t="s">
        <v>1447</v>
      </c>
      <c r="E4048" t="s">
        <v>1856</v>
      </c>
      <c r="F4048" t="s">
        <v>1737</v>
      </c>
      <c r="K4048" t="str">
        <f>IF(ISBLANK('Q 5'!C1191),"",IF('Q 5'!C1191="&lt;please select&gt;","",'Q 5'!C1191))</f>
        <v/>
      </c>
    </row>
    <row r="4049" spans="1:11" x14ac:dyDescent="0.3">
      <c r="A4049" t="s">
        <v>1886</v>
      </c>
      <c r="B4049" t="s">
        <v>1887</v>
      </c>
      <c r="C4049">
        <v>49</v>
      </c>
      <c r="D4049" t="s">
        <v>1447</v>
      </c>
      <c r="E4049" t="s">
        <v>1856</v>
      </c>
      <c r="F4049" t="s">
        <v>1737</v>
      </c>
      <c r="K4049" t="str">
        <f>IF(ISBLANK('Q 5'!C1192),"",IF('Q 5'!C1192="&lt;please select&gt;","",'Q 5'!C1192))</f>
        <v/>
      </c>
    </row>
    <row r="4050" spans="1:11" x14ac:dyDescent="0.3">
      <c r="A4050" t="s">
        <v>1886</v>
      </c>
      <c r="B4050" t="s">
        <v>1887</v>
      </c>
      <c r="C4050">
        <v>50</v>
      </c>
      <c r="D4050" t="s">
        <v>1447</v>
      </c>
      <c r="E4050" t="s">
        <v>1856</v>
      </c>
      <c r="F4050" t="s">
        <v>1737</v>
      </c>
      <c r="K4050" t="str">
        <f>IF(ISBLANK('Q 5'!C1193),"",IF('Q 5'!C1193="&lt;please select&gt;","",'Q 5'!C1193))</f>
        <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
      </c>
    </row>
    <row r="4072" spans="1:11" x14ac:dyDescent="0.3">
      <c r="A4072" t="s">
        <v>1886</v>
      </c>
      <c r="B4072" t="s">
        <v>1887</v>
      </c>
      <c r="C4072">
        <v>2</v>
      </c>
      <c r="D4072" t="s">
        <v>1447</v>
      </c>
      <c r="E4072" t="s">
        <v>1888</v>
      </c>
      <c r="F4072" t="s">
        <v>1737</v>
      </c>
      <c r="K4072" t="str">
        <f>IF(ISBLANK('Q 5'!D1145),"",IF('Q 5'!D1145="&lt;please select&gt;","",'Q 5'!D1145))</f>
        <v/>
      </c>
    </row>
    <row r="4073" spans="1:11" x14ac:dyDescent="0.3">
      <c r="A4073" t="s">
        <v>1886</v>
      </c>
      <c r="B4073" t="s">
        <v>1887</v>
      </c>
      <c r="C4073">
        <v>3</v>
      </c>
      <c r="D4073" t="s">
        <v>1447</v>
      </c>
      <c r="E4073" t="s">
        <v>1888</v>
      </c>
      <c r="F4073" t="s">
        <v>1737</v>
      </c>
      <c r="K4073" t="str">
        <f>IF(ISBLANK('Q 5'!D1146),"",IF('Q 5'!D1146="&lt;please select&gt;","",'Q 5'!D1146))</f>
        <v/>
      </c>
    </row>
    <row r="4074" spans="1:11" x14ac:dyDescent="0.3">
      <c r="A4074" t="s">
        <v>1886</v>
      </c>
      <c r="B4074" t="s">
        <v>1887</v>
      </c>
      <c r="C4074">
        <v>4</v>
      </c>
      <c r="D4074" t="s">
        <v>1447</v>
      </c>
      <c r="E4074" t="s">
        <v>1888</v>
      </c>
      <c r="F4074" t="s">
        <v>1737</v>
      </c>
      <c r="K4074" t="str">
        <f>IF(ISBLANK('Q 5'!D1147),"",IF('Q 5'!D1147="&lt;please select&gt;","",'Q 5'!D1147))</f>
        <v/>
      </c>
    </row>
    <row r="4075" spans="1:11" x14ac:dyDescent="0.3">
      <c r="A4075" t="s">
        <v>1886</v>
      </c>
      <c r="B4075" t="s">
        <v>1887</v>
      </c>
      <c r="C4075">
        <v>5</v>
      </c>
      <c r="D4075" t="s">
        <v>1447</v>
      </c>
      <c r="E4075" t="s">
        <v>1888</v>
      </c>
      <c r="F4075" t="s">
        <v>1737</v>
      </c>
      <c r="K4075" t="str">
        <f>IF(ISBLANK('Q 5'!D1148),"",IF('Q 5'!D1148="&lt;please select&gt;","",'Q 5'!D1148))</f>
        <v/>
      </c>
    </row>
    <row r="4076" spans="1:11" x14ac:dyDescent="0.3">
      <c r="A4076" t="s">
        <v>1886</v>
      </c>
      <c r="B4076" t="s">
        <v>1887</v>
      </c>
      <c r="C4076">
        <v>6</v>
      </c>
      <c r="D4076" t="s">
        <v>1447</v>
      </c>
      <c r="E4076" t="s">
        <v>1888</v>
      </c>
      <c r="F4076" t="s">
        <v>1737</v>
      </c>
      <c r="K4076" t="str">
        <f>IF(ISBLANK('Q 5'!D1149),"",IF('Q 5'!D1149="&lt;please select&gt;","",'Q 5'!D1149))</f>
        <v/>
      </c>
    </row>
    <row r="4077" spans="1:11" x14ac:dyDescent="0.3">
      <c r="A4077" t="s">
        <v>1886</v>
      </c>
      <c r="B4077" t="s">
        <v>1887</v>
      </c>
      <c r="C4077">
        <v>7</v>
      </c>
      <c r="D4077" t="s">
        <v>1447</v>
      </c>
      <c r="E4077" t="s">
        <v>1888</v>
      </c>
      <c r="F4077" t="s">
        <v>1737</v>
      </c>
      <c r="K4077" t="str">
        <f>IF(ISBLANK('Q 5'!D1150),"",IF('Q 5'!D1150="&lt;please select&gt;","",'Q 5'!D1150))</f>
        <v/>
      </c>
    </row>
    <row r="4078" spans="1:11" x14ac:dyDescent="0.3">
      <c r="A4078" t="s">
        <v>1886</v>
      </c>
      <c r="B4078" t="s">
        <v>1887</v>
      </c>
      <c r="C4078">
        <v>8</v>
      </c>
      <c r="D4078" t="s">
        <v>1447</v>
      </c>
      <c r="E4078" t="s">
        <v>1888</v>
      </c>
      <c r="F4078" t="s">
        <v>1737</v>
      </c>
      <c r="K4078" t="str">
        <f>IF(ISBLANK('Q 5'!D1151),"",IF('Q 5'!D1151="&lt;please select&gt;","",'Q 5'!D1151))</f>
        <v/>
      </c>
    </row>
    <row r="4079" spans="1:11" x14ac:dyDescent="0.3">
      <c r="A4079" t="s">
        <v>1886</v>
      </c>
      <c r="B4079" t="s">
        <v>1887</v>
      </c>
      <c r="C4079">
        <v>9</v>
      </c>
      <c r="D4079" t="s">
        <v>1447</v>
      </c>
      <c r="E4079" t="s">
        <v>1888</v>
      </c>
      <c r="F4079" t="s">
        <v>1737</v>
      </c>
      <c r="K4079" t="str">
        <f>IF(ISBLANK('Q 5'!D1152),"",IF('Q 5'!D1152="&lt;please select&gt;","",'Q 5'!D1152))</f>
        <v/>
      </c>
    </row>
    <row r="4080" spans="1:11" x14ac:dyDescent="0.3">
      <c r="A4080" t="s">
        <v>1886</v>
      </c>
      <c r="B4080" t="s">
        <v>1887</v>
      </c>
      <c r="C4080">
        <v>10</v>
      </c>
      <c r="D4080" t="s">
        <v>1447</v>
      </c>
      <c r="E4080" t="s">
        <v>1888</v>
      </c>
      <c r="F4080" t="s">
        <v>1737</v>
      </c>
      <c r="K4080" t="str">
        <f>IF(ISBLANK('Q 5'!D1153),"",IF('Q 5'!D1153="&lt;please select&gt;","",'Q 5'!D1153))</f>
        <v/>
      </c>
    </row>
    <row r="4081" spans="1:11" x14ac:dyDescent="0.3">
      <c r="A4081" t="s">
        <v>1886</v>
      </c>
      <c r="B4081" t="s">
        <v>1887</v>
      </c>
      <c r="C4081">
        <v>11</v>
      </c>
      <c r="D4081" t="s">
        <v>1447</v>
      </c>
      <c r="E4081" t="s">
        <v>1888</v>
      </c>
      <c r="F4081" t="s">
        <v>1737</v>
      </c>
      <c r="K4081" t="str">
        <f>IF(ISBLANK('Q 5'!D1154),"",IF('Q 5'!D1154="&lt;please select&gt;","",'Q 5'!D1154))</f>
        <v/>
      </c>
    </row>
    <row r="4082" spans="1:11" x14ac:dyDescent="0.3">
      <c r="A4082" t="s">
        <v>1886</v>
      </c>
      <c r="B4082" t="s">
        <v>1887</v>
      </c>
      <c r="C4082">
        <v>12</v>
      </c>
      <c r="D4082" t="s">
        <v>1447</v>
      </c>
      <c r="E4082" t="s">
        <v>1888</v>
      </c>
      <c r="F4082" t="s">
        <v>1737</v>
      </c>
      <c r="K4082" t="str">
        <f>IF(ISBLANK('Q 5'!D1155),"",IF('Q 5'!D1155="&lt;please select&gt;","",'Q 5'!D1155))</f>
        <v/>
      </c>
    </row>
    <row r="4083" spans="1:11" x14ac:dyDescent="0.3">
      <c r="A4083" t="s">
        <v>1886</v>
      </c>
      <c r="B4083" t="s">
        <v>1887</v>
      </c>
      <c r="C4083">
        <v>13</v>
      </c>
      <c r="D4083" t="s">
        <v>1447</v>
      </c>
      <c r="E4083" t="s">
        <v>1888</v>
      </c>
      <c r="F4083" t="s">
        <v>1737</v>
      </c>
      <c r="K4083" t="str">
        <f>IF(ISBLANK('Q 5'!D1156),"",IF('Q 5'!D1156="&lt;please select&gt;","",'Q 5'!D1156))</f>
        <v/>
      </c>
    </row>
    <row r="4084" spans="1:11" x14ac:dyDescent="0.3">
      <c r="A4084" t="s">
        <v>1886</v>
      </c>
      <c r="B4084" t="s">
        <v>1887</v>
      </c>
      <c r="C4084">
        <v>14</v>
      </c>
      <c r="D4084" t="s">
        <v>1447</v>
      </c>
      <c r="E4084" t="s">
        <v>1888</v>
      </c>
      <c r="F4084" t="s">
        <v>1737</v>
      </c>
      <c r="K4084" t="str">
        <f>IF(ISBLANK('Q 5'!D1157),"",IF('Q 5'!D1157="&lt;please select&gt;","",'Q 5'!D1157))</f>
        <v/>
      </c>
    </row>
    <row r="4085" spans="1:11" x14ac:dyDescent="0.3">
      <c r="A4085" t="s">
        <v>1886</v>
      </c>
      <c r="B4085" t="s">
        <v>1887</v>
      </c>
      <c r="C4085">
        <v>15</v>
      </c>
      <c r="D4085" t="s">
        <v>1447</v>
      </c>
      <c r="E4085" t="s">
        <v>1888</v>
      </c>
      <c r="F4085" t="s">
        <v>1737</v>
      </c>
      <c r="K4085" t="str">
        <f>IF(ISBLANK('Q 5'!D1158),"",IF('Q 5'!D1158="&lt;please select&gt;","",'Q 5'!D1158))</f>
        <v/>
      </c>
    </row>
    <row r="4086" spans="1:11" x14ac:dyDescent="0.3">
      <c r="A4086" t="s">
        <v>1886</v>
      </c>
      <c r="B4086" t="s">
        <v>1887</v>
      </c>
      <c r="C4086">
        <v>16</v>
      </c>
      <c r="D4086" t="s">
        <v>1447</v>
      </c>
      <c r="E4086" t="s">
        <v>1888</v>
      </c>
      <c r="F4086" t="s">
        <v>1737</v>
      </c>
      <c r="K4086" t="str">
        <f>IF(ISBLANK('Q 5'!D1159),"",IF('Q 5'!D1159="&lt;please select&gt;","",'Q 5'!D1159))</f>
        <v/>
      </c>
    </row>
    <row r="4087" spans="1:11" x14ac:dyDescent="0.3">
      <c r="A4087" t="s">
        <v>1886</v>
      </c>
      <c r="B4087" t="s">
        <v>1887</v>
      </c>
      <c r="C4087">
        <v>17</v>
      </c>
      <c r="D4087" t="s">
        <v>1447</v>
      </c>
      <c r="E4087" t="s">
        <v>1888</v>
      </c>
      <c r="F4087" t="s">
        <v>1737</v>
      </c>
      <c r="K4087" t="str">
        <f>IF(ISBLANK('Q 5'!D1160),"",IF('Q 5'!D1160="&lt;please select&gt;","",'Q 5'!D1160))</f>
        <v/>
      </c>
    </row>
    <row r="4088" spans="1:11" x14ac:dyDescent="0.3">
      <c r="A4088" t="s">
        <v>1886</v>
      </c>
      <c r="B4088" t="s">
        <v>1887</v>
      </c>
      <c r="C4088">
        <v>18</v>
      </c>
      <c r="D4088" t="s">
        <v>1447</v>
      </c>
      <c r="E4088" t="s">
        <v>1888</v>
      </c>
      <c r="F4088" t="s">
        <v>1737</v>
      </c>
      <c r="K4088" t="str">
        <f>IF(ISBLANK('Q 5'!D1161),"",IF('Q 5'!D1161="&lt;please select&gt;","",'Q 5'!D1161))</f>
        <v/>
      </c>
    </row>
    <row r="4089" spans="1:11" x14ac:dyDescent="0.3">
      <c r="A4089" t="s">
        <v>1886</v>
      </c>
      <c r="B4089" t="s">
        <v>1887</v>
      </c>
      <c r="C4089">
        <v>19</v>
      </c>
      <c r="D4089" t="s">
        <v>1447</v>
      </c>
      <c r="E4089" t="s">
        <v>1888</v>
      </c>
      <c r="F4089" t="s">
        <v>1737</v>
      </c>
      <c r="K4089" t="str">
        <f>IF(ISBLANK('Q 5'!D1162),"",IF('Q 5'!D1162="&lt;please select&gt;","",'Q 5'!D1162))</f>
        <v/>
      </c>
    </row>
    <row r="4090" spans="1:11" x14ac:dyDescent="0.3">
      <c r="A4090" t="s">
        <v>1886</v>
      </c>
      <c r="B4090" t="s">
        <v>1887</v>
      </c>
      <c r="C4090">
        <v>20</v>
      </c>
      <c r="D4090" t="s">
        <v>1447</v>
      </c>
      <c r="E4090" t="s">
        <v>1888</v>
      </c>
      <c r="F4090" t="s">
        <v>1737</v>
      </c>
      <c r="K4090" t="str">
        <f>IF(ISBLANK('Q 5'!D1163),"",IF('Q 5'!D1163="&lt;please select&gt;","",'Q 5'!D1163))</f>
        <v/>
      </c>
    </row>
    <row r="4091" spans="1:11" x14ac:dyDescent="0.3">
      <c r="A4091" t="s">
        <v>1886</v>
      </c>
      <c r="B4091" t="s">
        <v>1887</v>
      </c>
      <c r="C4091">
        <v>21</v>
      </c>
      <c r="D4091" t="s">
        <v>1447</v>
      </c>
      <c r="E4091" t="s">
        <v>1888</v>
      </c>
      <c r="F4091" t="s">
        <v>1737</v>
      </c>
      <c r="K4091" t="str">
        <f>IF(ISBLANK('Q 5'!D1164),"",IF('Q 5'!D1164="&lt;please select&gt;","",'Q 5'!D1164))</f>
        <v/>
      </c>
    </row>
    <row r="4092" spans="1:11" x14ac:dyDescent="0.3">
      <c r="A4092" t="s">
        <v>1886</v>
      </c>
      <c r="B4092" t="s">
        <v>1887</v>
      </c>
      <c r="C4092">
        <v>22</v>
      </c>
      <c r="D4092" t="s">
        <v>1447</v>
      </c>
      <c r="E4092" t="s">
        <v>1888</v>
      </c>
      <c r="F4092" t="s">
        <v>1737</v>
      </c>
      <c r="K4092" t="str">
        <f>IF(ISBLANK('Q 5'!D1165),"",IF('Q 5'!D1165="&lt;please select&gt;","",'Q 5'!D1165))</f>
        <v/>
      </c>
    </row>
    <row r="4093" spans="1:11" x14ac:dyDescent="0.3">
      <c r="A4093" t="s">
        <v>1886</v>
      </c>
      <c r="B4093" t="s">
        <v>1887</v>
      </c>
      <c r="C4093">
        <v>23</v>
      </c>
      <c r="D4093" t="s">
        <v>1447</v>
      </c>
      <c r="E4093" t="s">
        <v>1888</v>
      </c>
      <c r="F4093" t="s">
        <v>1737</v>
      </c>
      <c r="K4093" t="str">
        <f>IF(ISBLANK('Q 5'!D1166),"",IF('Q 5'!D1166="&lt;please select&gt;","",'Q 5'!D1166))</f>
        <v/>
      </c>
    </row>
    <row r="4094" spans="1:11" x14ac:dyDescent="0.3">
      <c r="A4094" t="s">
        <v>1886</v>
      </c>
      <c r="B4094" t="s">
        <v>1887</v>
      </c>
      <c r="C4094">
        <v>24</v>
      </c>
      <c r="D4094" t="s">
        <v>1447</v>
      </c>
      <c r="E4094" t="s">
        <v>1888</v>
      </c>
      <c r="F4094" t="s">
        <v>1737</v>
      </c>
      <c r="K4094" t="str">
        <f>IF(ISBLANK('Q 5'!D1167),"",IF('Q 5'!D1167="&lt;please select&gt;","",'Q 5'!D1167))</f>
        <v/>
      </c>
    </row>
    <row r="4095" spans="1:11" x14ac:dyDescent="0.3">
      <c r="A4095" t="s">
        <v>1886</v>
      </c>
      <c r="B4095" t="s">
        <v>1887</v>
      </c>
      <c r="C4095">
        <v>25</v>
      </c>
      <c r="D4095" t="s">
        <v>1447</v>
      </c>
      <c r="E4095" t="s">
        <v>1888</v>
      </c>
      <c r="F4095" t="s">
        <v>1737</v>
      </c>
      <c r="K4095" t="str">
        <f>IF(ISBLANK('Q 5'!D1168),"",IF('Q 5'!D1168="&lt;please select&gt;","",'Q 5'!D1168))</f>
        <v/>
      </c>
    </row>
    <row r="4096" spans="1:11" x14ac:dyDescent="0.3">
      <c r="A4096" t="s">
        <v>1886</v>
      </c>
      <c r="B4096" t="s">
        <v>1887</v>
      </c>
      <c r="C4096">
        <v>26</v>
      </c>
      <c r="D4096" t="s">
        <v>1447</v>
      </c>
      <c r="E4096" t="s">
        <v>1888</v>
      </c>
      <c r="F4096" t="s">
        <v>1737</v>
      </c>
      <c r="K4096" t="str">
        <f>IF(ISBLANK('Q 5'!D1169),"",IF('Q 5'!D1169="&lt;please select&gt;","",'Q 5'!D1169))</f>
        <v/>
      </c>
    </row>
    <row r="4097" spans="1:11" x14ac:dyDescent="0.3">
      <c r="A4097" t="s">
        <v>1886</v>
      </c>
      <c r="B4097" t="s">
        <v>1887</v>
      </c>
      <c r="C4097">
        <v>27</v>
      </c>
      <c r="D4097" t="s">
        <v>1447</v>
      </c>
      <c r="E4097" t="s">
        <v>1888</v>
      </c>
      <c r="F4097" t="s">
        <v>1737</v>
      </c>
      <c r="K4097" t="str">
        <f>IF(ISBLANK('Q 5'!D1170),"",IF('Q 5'!D1170="&lt;please select&gt;","",'Q 5'!D1170))</f>
        <v/>
      </c>
    </row>
    <row r="4098" spans="1:11" x14ac:dyDescent="0.3">
      <c r="A4098" t="s">
        <v>1886</v>
      </c>
      <c r="B4098" t="s">
        <v>1887</v>
      </c>
      <c r="C4098">
        <v>28</v>
      </c>
      <c r="D4098" t="s">
        <v>1447</v>
      </c>
      <c r="E4098" t="s">
        <v>1888</v>
      </c>
      <c r="F4098" t="s">
        <v>1737</v>
      </c>
      <c r="K4098" t="str">
        <f>IF(ISBLANK('Q 5'!D1171),"",IF('Q 5'!D1171="&lt;please select&gt;","",'Q 5'!D1171))</f>
        <v/>
      </c>
    </row>
    <row r="4099" spans="1:11" x14ac:dyDescent="0.3">
      <c r="A4099" t="s">
        <v>1886</v>
      </c>
      <c r="B4099" t="s">
        <v>1887</v>
      </c>
      <c r="C4099">
        <v>29</v>
      </c>
      <c r="D4099" t="s">
        <v>1447</v>
      </c>
      <c r="E4099" t="s">
        <v>1888</v>
      </c>
      <c r="F4099" t="s">
        <v>1737</v>
      </c>
      <c r="K4099" t="str">
        <f>IF(ISBLANK('Q 5'!D1172),"",IF('Q 5'!D1172="&lt;please select&gt;","",'Q 5'!D1172))</f>
        <v/>
      </c>
    </row>
    <row r="4100" spans="1:11" x14ac:dyDescent="0.3">
      <c r="A4100" t="s">
        <v>1886</v>
      </c>
      <c r="B4100" t="s">
        <v>1887</v>
      </c>
      <c r="C4100">
        <v>30</v>
      </c>
      <c r="D4100" t="s">
        <v>1447</v>
      </c>
      <c r="E4100" t="s">
        <v>1888</v>
      </c>
      <c r="F4100" t="s">
        <v>1737</v>
      </c>
      <c r="K4100" t="str">
        <f>IF(ISBLANK('Q 5'!D1173),"",IF('Q 5'!D1173="&lt;please select&gt;","",'Q 5'!D1173))</f>
        <v/>
      </c>
    </row>
    <row r="4101" spans="1:11" x14ac:dyDescent="0.3">
      <c r="A4101" t="s">
        <v>1886</v>
      </c>
      <c r="B4101" t="s">
        <v>1887</v>
      </c>
      <c r="C4101">
        <v>31</v>
      </c>
      <c r="D4101" t="s">
        <v>1447</v>
      </c>
      <c r="E4101" t="s">
        <v>1888</v>
      </c>
      <c r="F4101" t="s">
        <v>1737</v>
      </c>
      <c r="K4101" t="str">
        <f>IF(ISBLANK('Q 5'!D1174),"",IF('Q 5'!D1174="&lt;please select&gt;","",'Q 5'!D1174))</f>
        <v/>
      </c>
    </row>
    <row r="4102" spans="1:11" x14ac:dyDescent="0.3">
      <c r="A4102" t="s">
        <v>1886</v>
      </c>
      <c r="B4102" t="s">
        <v>1887</v>
      </c>
      <c r="C4102">
        <v>32</v>
      </c>
      <c r="D4102" t="s">
        <v>1447</v>
      </c>
      <c r="E4102" t="s">
        <v>1888</v>
      </c>
      <c r="F4102" t="s">
        <v>1737</v>
      </c>
      <c r="K4102" t="str">
        <f>IF(ISBLANK('Q 5'!D1175),"",IF('Q 5'!D1175="&lt;please select&gt;","",'Q 5'!D1175))</f>
        <v/>
      </c>
    </row>
    <row r="4103" spans="1:11" x14ac:dyDescent="0.3">
      <c r="A4103" t="s">
        <v>1886</v>
      </c>
      <c r="B4103" t="s">
        <v>1887</v>
      </c>
      <c r="C4103">
        <v>33</v>
      </c>
      <c r="D4103" t="s">
        <v>1447</v>
      </c>
      <c r="E4103" t="s">
        <v>1888</v>
      </c>
      <c r="F4103" t="s">
        <v>1737</v>
      </c>
      <c r="K4103" t="str">
        <f>IF(ISBLANK('Q 5'!D1176),"",IF('Q 5'!D1176="&lt;please select&gt;","",'Q 5'!D1176))</f>
        <v/>
      </c>
    </row>
    <row r="4104" spans="1:11" x14ac:dyDescent="0.3">
      <c r="A4104" t="s">
        <v>1886</v>
      </c>
      <c r="B4104" t="s">
        <v>1887</v>
      </c>
      <c r="C4104">
        <v>34</v>
      </c>
      <c r="D4104" t="s">
        <v>1447</v>
      </c>
      <c r="E4104" t="s">
        <v>1888</v>
      </c>
      <c r="F4104" t="s">
        <v>1737</v>
      </c>
      <c r="K4104" t="str">
        <f>IF(ISBLANK('Q 5'!D1177),"",IF('Q 5'!D1177="&lt;please select&gt;","",'Q 5'!D1177))</f>
        <v/>
      </c>
    </row>
    <row r="4105" spans="1:11" x14ac:dyDescent="0.3">
      <c r="A4105" t="s">
        <v>1886</v>
      </c>
      <c r="B4105" t="s">
        <v>1887</v>
      </c>
      <c r="C4105">
        <v>35</v>
      </c>
      <c r="D4105" t="s">
        <v>1447</v>
      </c>
      <c r="E4105" t="s">
        <v>1888</v>
      </c>
      <c r="F4105" t="s">
        <v>1737</v>
      </c>
      <c r="K4105" t="str">
        <f>IF(ISBLANK('Q 5'!D1178),"",IF('Q 5'!D1178="&lt;please select&gt;","",'Q 5'!D1178))</f>
        <v/>
      </c>
    </row>
    <row r="4106" spans="1:11" x14ac:dyDescent="0.3">
      <c r="A4106" t="s">
        <v>1886</v>
      </c>
      <c r="B4106" t="s">
        <v>1887</v>
      </c>
      <c r="C4106">
        <v>36</v>
      </c>
      <c r="D4106" t="s">
        <v>1447</v>
      </c>
      <c r="E4106" t="s">
        <v>1888</v>
      </c>
      <c r="F4106" t="s">
        <v>1737</v>
      </c>
      <c r="K4106" t="str">
        <f>IF(ISBLANK('Q 5'!D1179),"",IF('Q 5'!D1179="&lt;please select&gt;","",'Q 5'!D1179))</f>
        <v/>
      </c>
    </row>
    <row r="4107" spans="1:11" x14ac:dyDescent="0.3">
      <c r="A4107" t="s">
        <v>1886</v>
      </c>
      <c r="B4107" t="s">
        <v>1887</v>
      </c>
      <c r="C4107">
        <v>37</v>
      </c>
      <c r="D4107" t="s">
        <v>1447</v>
      </c>
      <c r="E4107" t="s">
        <v>1888</v>
      </c>
      <c r="F4107" t="s">
        <v>1737</v>
      </c>
      <c r="K4107" t="str">
        <f>IF(ISBLANK('Q 5'!D1180),"",IF('Q 5'!D1180="&lt;please select&gt;","",'Q 5'!D1180))</f>
        <v/>
      </c>
    </row>
    <row r="4108" spans="1:11" x14ac:dyDescent="0.3">
      <c r="A4108" t="s">
        <v>1886</v>
      </c>
      <c r="B4108" t="s">
        <v>1887</v>
      </c>
      <c r="C4108">
        <v>38</v>
      </c>
      <c r="D4108" t="s">
        <v>1447</v>
      </c>
      <c r="E4108" t="s">
        <v>1888</v>
      </c>
      <c r="F4108" t="s">
        <v>1737</v>
      </c>
      <c r="K4108" t="str">
        <f>IF(ISBLANK('Q 5'!D1181),"",IF('Q 5'!D1181="&lt;please select&gt;","",'Q 5'!D1181))</f>
        <v/>
      </c>
    </row>
    <row r="4109" spans="1:11" x14ac:dyDescent="0.3">
      <c r="A4109" t="s">
        <v>1886</v>
      </c>
      <c r="B4109" t="s">
        <v>1887</v>
      </c>
      <c r="C4109">
        <v>39</v>
      </c>
      <c r="D4109" t="s">
        <v>1447</v>
      </c>
      <c r="E4109" t="s">
        <v>1888</v>
      </c>
      <c r="F4109" t="s">
        <v>1737</v>
      </c>
      <c r="K4109" t="str">
        <f>IF(ISBLANK('Q 5'!D1182),"",IF('Q 5'!D1182="&lt;please select&gt;","",'Q 5'!D1182))</f>
        <v/>
      </c>
    </row>
    <row r="4110" spans="1:11" x14ac:dyDescent="0.3">
      <c r="A4110" t="s">
        <v>1886</v>
      </c>
      <c r="B4110" t="s">
        <v>1887</v>
      </c>
      <c r="C4110">
        <v>40</v>
      </c>
      <c r="D4110" t="s">
        <v>1447</v>
      </c>
      <c r="E4110" t="s">
        <v>1888</v>
      </c>
      <c r="F4110" t="s">
        <v>1737</v>
      </c>
      <c r="K4110" t="str">
        <f>IF(ISBLANK('Q 5'!D1183),"",IF('Q 5'!D1183="&lt;please select&gt;","",'Q 5'!D1183))</f>
        <v/>
      </c>
    </row>
    <row r="4111" spans="1:11" x14ac:dyDescent="0.3">
      <c r="A4111" t="s">
        <v>1886</v>
      </c>
      <c r="B4111" t="s">
        <v>1887</v>
      </c>
      <c r="C4111">
        <v>41</v>
      </c>
      <c r="D4111" t="s">
        <v>1447</v>
      </c>
      <c r="E4111" t="s">
        <v>1888</v>
      </c>
      <c r="F4111" t="s">
        <v>1737</v>
      </c>
      <c r="K4111" t="str">
        <f>IF(ISBLANK('Q 5'!D1184),"",IF('Q 5'!D1184="&lt;please select&gt;","",'Q 5'!D1184))</f>
        <v/>
      </c>
    </row>
    <row r="4112" spans="1:11" x14ac:dyDescent="0.3">
      <c r="A4112" t="s">
        <v>1886</v>
      </c>
      <c r="B4112" t="s">
        <v>1887</v>
      </c>
      <c r="C4112">
        <v>42</v>
      </c>
      <c r="D4112" t="s">
        <v>1447</v>
      </c>
      <c r="E4112" t="s">
        <v>1888</v>
      </c>
      <c r="F4112" t="s">
        <v>1737</v>
      </c>
      <c r="K4112" t="str">
        <f>IF(ISBLANK('Q 5'!D1185),"",IF('Q 5'!D1185="&lt;please select&gt;","",'Q 5'!D1185))</f>
        <v/>
      </c>
    </row>
    <row r="4113" spans="1:11" x14ac:dyDescent="0.3">
      <c r="A4113" t="s">
        <v>1886</v>
      </c>
      <c r="B4113" t="s">
        <v>1887</v>
      </c>
      <c r="C4113">
        <v>43</v>
      </c>
      <c r="D4113" t="s">
        <v>1447</v>
      </c>
      <c r="E4113" t="s">
        <v>1888</v>
      </c>
      <c r="F4113" t="s">
        <v>1737</v>
      </c>
      <c r="K4113" t="str">
        <f>IF(ISBLANK('Q 5'!D1186),"",IF('Q 5'!D1186="&lt;please select&gt;","",'Q 5'!D1186))</f>
        <v/>
      </c>
    </row>
    <row r="4114" spans="1:11" x14ac:dyDescent="0.3">
      <c r="A4114" t="s">
        <v>1886</v>
      </c>
      <c r="B4114" t="s">
        <v>1887</v>
      </c>
      <c r="C4114">
        <v>44</v>
      </c>
      <c r="D4114" t="s">
        <v>1447</v>
      </c>
      <c r="E4114" t="s">
        <v>1888</v>
      </c>
      <c r="F4114" t="s">
        <v>1737</v>
      </c>
      <c r="K4114" t="str">
        <f>IF(ISBLANK('Q 5'!D1187),"",IF('Q 5'!D1187="&lt;please select&gt;","",'Q 5'!D1187))</f>
        <v/>
      </c>
    </row>
    <row r="4115" spans="1:11" x14ac:dyDescent="0.3">
      <c r="A4115" t="s">
        <v>1886</v>
      </c>
      <c r="B4115" t="s">
        <v>1887</v>
      </c>
      <c r="C4115">
        <v>45</v>
      </c>
      <c r="D4115" t="s">
        <v>1447</v>
      </c>
      <c r="E4115" t="s">
        <v>1888</v>
      </c>
      <c r="F4115" t="s">
        <v>1737</v>
      </c>
      <c r="K4115" t="str">
        <f>IF(ISBLANK('Q 5'!D1188),"",IF('Q 5'!D1188="&lt;please select&gt;","",'Q 5'!D1188))</f>
        <v/>
      </c>
    </row>
    <row r="4116" spans="1:11" x14ac:dyDescent="0.3">
      <c r="A4116" t="s">
        <v>1886</v>
      </c>
      <c r="B4116" t="s">
        <v>1887</v>
      </c>
      <c r="C4116">
        <v>46</v>
      </c>
      <c r="D4116" t="s">
        <v>1447</v>
      </c>
      <c r="E4116" t="s">
        <v>1888</v>
      </c>
      <c r="F4116" t="s">
        <v>1737</v>
      </c>
      <c r="K4116" t="str">
        <f>IF(ISBLANK('Q 5'!D1189),"",IF('Q 5'!D1189="&lt;please select&gt;","",'Q 5'!D1189))</f>
        <v/>
      </c>
    </row>
    <row r="4117" spans="1:11" x14ac:dyDescent="0.3">
      <c r="A4117" t="s">
        <v>1886</v>
      </c>
      <c r="B4117" t="s">
        <v>1887</v>
      </c>
      <c r="C4117">
        <v>47</v>
      </c>
      <c r="D4117" t="s">
        <v>1447</v>
      </c>
      <c r="E4117" t="s">
        <v>1888</v>
      </c>
      <c r="F4117" t="s">
        <v>1737</v>
      </c>
      <c r="K4117" t="str">
        <f>IF(ISBLANK('Q 5'!D1190),"",IF('Q 5'!D1190="&lt;please select&gt;","",'Q 5'!D1190))</f>
        <v/>
      </c>
    </row>
    <row r="4118" spans="1:11" x14ac:dyDescent="0.3">
      <c r="A4118" t="s">
        <v>1886</v>
      </c>
      <c r="B4118" t="s">
        <v>1887</v>
      </c>
      <c r="C4118">
        <v>48</v>
      </c>
      <c r="D4118" t="s">
        <v>1447</v>
      </c>
      <c r="E4118" t="s">
        <v>1888</v>
      </c>
      <c r="F4118" t="s">
        <v>1737</v>
      </c>
      <c r="K4118" t="str">
        <f>IF(ISBLANK('Q 5'!D1191),"",IF('Q 5'!D1191="&lt;please select&gt;","",'Q 5'!D1191))</f>
        <v/>
      </c>
    </row>
    <row r="4119" spans="1:11" x14ac:dyDescent="0.3">
      <c r="A4119" t="s">
        <v>1886</v>
      </c>
      <c r="B4119" t="s">
        <v>1887</v>
      </c>
      <c r="C4119">
        <v>49</v>
      </c>
      <c r="D4119" t="s">
        <v>1447</v>
      </c>
      <c r="E4119" t="s">
        <v>1888</v>
      </c>
      <c r="F4119" t="s">
        <v>1737</v>
      </c>
      <c r="K4119" t="str">
        <f>IF(ISBLANK('Q 5'!D1192),"",IF('Q 5'!D1192="&lt;please select&gt;","",'Q 5'!D1192))</f>
        <v/>
      </c>
    </row>
    <row r="4120" spans="1:11" x14ac:dyDescent="0.3">
      <c r="A4120" t="s">
        <v>1886</v>
      </c>
      <c r="B4120" t="s">
        <v>1887</v>
      </c>
      <c r="C4120">
        <v>50</v>
      </c>
      <c r="D4120" t="s">
        <v>1447</v>
      </c>
      <c r="E4120" t="s">
        <v>1888</v>
      </c>
      <c r="F4120" t="s">
        <v>1737</v>
      </c>
      <c r="K4120" t="str">
        <f>IF(ISBLANK('Q 5'!D1193),"",IF('Q 5'!D1193="&lt;please select&gt;","",'Q 5'!D1193))</f>
        <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
      </c>
    </row>
    <row r="4142" spans="1:11" x14ac:dyDescent="0.3">
      <c r="A4142" t="s">
        <v>1886</v>
      </c>
      <c r="B4142" t="s">
        <v>1887</v>
      </c>
      <c r="C4142">
        <v>2</v>
      </c>
      <c r="D4142" t="s">
        <v>1447</v>
      </c>
      <c r="E4142" t="s">
        <v>1889</v>
      </c>
      <c r="F4142" t="s">
        <v>1737</v>
      </c>
      <c r="K4142" t="str">
        <f>IF(ISBLANK('Q 5'!F1145),"",IF('Q 5'!F1145="&lt;please select&gt;","",'Q 5'!F1145))</f>
        <v/>
      </c>
    </row>
    <row r="4143" spans="1:11" x14ac:dyDescent="0.3">
      <c r="A4143" t="s">
        <v>1886</v>
      </c>
      <c r="B4143" t="s">
        <v>1887</v>
      </c>
      <c r="C4143">
        <v>3</v>
      </c>
      <c r="D4143" t="s">
        <v>1447</v>
      </c>
      <c r="E4143" t="s">
        <v>1889</v>
      </c>
      <c r="F4143" t="s">
        <v>1737</v>
      </c>
      <c r="K4143" t="str">
        <f>IF(ISBLANK('Q 5'!F1146),"",IF('Q 5'!F1146="&lt;please select&gt;","",'Q 5'!F1146))</f>
        <v/>
      </c>
    </row>
    <row r="4144" spans="1:11" x14ac:dyDescent="0.3">
      <c r="A4144" t="s">
        <v>1886</v>
      </c>
      <c r="B4144" t="s">
        <v>1887</v>
      </c>
      <c r="C4144">
        <v>4</v>
      </c>
      <c r="D4144" t="s">
        <v>1447</v>
      </c>
      <c r="E4144" t="s">
        <v>1889</v>
      </c>
      <c r="F4144" t="s">
        <v>1737</v>
      </c>
      <c r="K4144" t="str">
        <f>IF(ISBLANK('Q 5'!F1147),"",IF('Q 5'!F1147="&lt;please select&gt;","",'Q 5'!F1147))</f>
        <v/>
      </c>
    </row>
    <row r="4145" spans="1:11" x14ac:dyDescent="0.3">
      <c r="A4145" t="s">
        <v>1886</v>
      </c>
      <c r="B4145" t="s">
        <v>1887</v>
      </c>
      <c r="C4145">
        <v>5</v>
      </c>
      <c r="D4145" t="s">
        <v>1447</v>
      </c>
      <c r="E4145" t="s">
        <v>1889</v>
      </c>
      <c r="F4145" t="s">
        <v>1737</v>
      </c>
      <c r="K4145" t="str">
        <f>IF(ISBLANK('Q 5'!F1148),"",IF('Q 5'!F1148="&lt;please select&gt;","",'Q 5'!F1148))</f>
        <v/>
      </c>
    </row>
    <row r="4146" spans="1:11" x14ac:dyDescent="0.3">
      <c r="A4146" t="s">
        <v>1886</v>
      </c>
      <c r="B4146" t="s">
        <v>1887</v>
      </c>
      <c r="C4146">
        <v>6</v>
      </c>
      <c r="D4146" t="s">
        <v>1447</v>
      </c>
      <c r="E4146" t="s">
        <v>1889</v>
      </c>
      <c r="F4146" t="s">
        <v>1737</v>
      </c>
      <c r="K4146" t="str">
        <f>IF(ISBLANK('Q 5'!F1149),"",IF('Q 5'!F1149="&lt;please select&gt;","",'Q 5'!F1149))</f>
        <v/>
      </c>
    </row>
    <row r="4147" spans="1:11" x14ac:dyDescent="0.3">
      <c r="A4147" t="s">
        <v>1886</v>
      </c>
      <c r="B4147" t="s">
        <v>1887</v>
      </c>
      <c r="C4147">
        <v>7</v>
      </c>
      <c r="D4147" t="s">
        <v>1447</v>
      </c>
      <c r="E4147" t="s">
        <v>1889</v>
      </c>
      <c r="F4147" t="s">
        <v>1737</v>
      </c>
      <c r="K4147" t="str">
        <f>IF(ISBLANK('Q 5'!F1150),"",IF('Q 5'!F1150="&lt;please select&gt;","",'Q 5'!F1150))</f>
        <v/>
      </c>
    </row>
    <row r="4148" spans="1:11" x14ac:dyDescent="0.3">
      <c r="A4148" t="s">
        <v>1886</v>
      </c>
      <c r="B4148" t="s">
        <v>1887</v>
      </c>
      <c r="C4148">
        <v>8</v>
      </c>
      <c r="D4148" t="s">
        <v>1447</v>
      </c>
      <c r="E4148" t="s">
        <v>1889</v>
      </c>
      <c r="F4148" t="s">
        <v>1737</v>
      </c>
      <c r="K4148" t="str">
        <f>IF(ISBLANK('Q 5'!F1151),"",IF('Q 5'!F1151="&lt;please select&gt;","",'Q 5'!F1151))</f>
        <v/>
      </c>
    </row>
    <row r="4149" spans="1:11" x14ac:dyDescent="0.3">
      <c r="A4149" t="s">
        <v>1886</v>
      </c>
      <c r="B4149" t="s">
        <v>1887</v>
      </c>
      <c r="C4149">
        <v>9</v>
      </c>
      <c r="D4149" t="s">
        <v>1447</v>
      </c>
      <c r="E4149" t="s">
        <v>1889</v>
      </c>
      <c r="F4149" t="s">
        <v>1737</v>
      </c>
      <c r="K4149" t="str">
        <f>IF(ISBLANK('Q 5'!F1152),"",IF('Q 5'!F1152="&lt;please select&gt;","",'Q 5'!F1152))</f>
        <v/>
      </c>
    </row>
    <row r="4150" spans="1:11" x14ac:dyDescent="0.3">
      <c r="A4150" t="s">
        <v>1886</v>
      </c>
      <c r="B4150" t="s">
        <v>1887</v>
      </c>
      <c r="C4150">
        <v>10</v>
      </c>
      <c r="D4150" t="s">
        <v>1447</v>
      </c>
      <c r="E4150" t="s">
        <v>1889</v>
      </c>
      <c r="F4150" t="s">
        <v>1737</v>
      </c>
      <c r="K4150" t="str">
        <f>IF(ISBLANK('Q 5'!F1153),"",IF('Q 5'!F1153="&lt;please select&gt;","",'Q 5'!F1153))</f>
        <v/>
      </c>
    </row>
    <row r="4151" spans="1:11" x14ac:dyDescent="0.3">
      <c r="A4151" t="s">
        <v>1886</v>
      </c>
      <c r="B4151" t="s">
        <v>1887</v>
      </c>
      <c r="C4151">
        <v>11</v>
      </c>
      <c r="D4151" t="s">
        <v>1447</v>
      </c>
      <c r="E4151" t="s">
        <v>1889</v>
      </c>
      <c r="F4151" t="s">
        <v>1737</v>
      </c>
      <c r="K4151" t="str">
        <f>IF(ISBLANK('Q 5'!F1154),"",IF('Q 5'!F1154="&lt;please select&gt;","",'Q 5'!F1154))</f>
        <v/>
      </c>
    </row>
    <row r="4152" spans="1:11" x14ac:dyDescent="0.3">
      <c r="A4152" t="s">
        <v>1886</v>
      </c>
      <c r="B4152" t="s">
        <v>1887</v>
      </c>
      <c r="C4152">
        <v>12</v>
      </c>
      <c r="D4152" t="s">
        <v>1447</v>
      </c>
      <c r="E4152" t="s">
        <v>1889</v>
      </c>
      <c r="F4152" t="s">
        <v>1737</v>
      </c>
      <c r="K4152" t="str">
        <f>IF(ISBLANK('Q 5'!F1155),"",IF('Q 5'!F1155="&lt;please select&gt;","",'Q 5'!F1155))</f>
        <v/>
      </c>
    </row>
    <row r="4153" spans="1:11" x14ac:dyDescent="0.3">
      <c r="A4153" t="s">
        <v>1886</v>
      </c>
      <c r="B4153" t="s">
        <v>1887</v>
      </c>
      <c r="C4153">
        <v>13</v>
      </c>
      <c r="D4153" t="s">
        <v>1447</v>
      </c>
      <c r="E4153" t="s">
        <v>1889</v>
      </c>
      <c r="F4153" t="s">
        <v>1737</v>
      </c>
      <c r="K4153" t="str">
        <f>IF(ISBLANK('Q 5'!F1156),"",IF('Q 5'!F1156="&lt;please select&gt;","",'Q 5'!F1156))</f>
        <v/>
      </c>
    </row>
    <row r="4154" spans="1:11" x14ac:dyDescent="0.3">
      <c r="A4154" t="s">
        <v>1886</v>
      </c>
      <c r="B4154" t="s">
        <v>1887</v>
      </c>
      <c r="C4154">
        <v>14</v>
      </c>
      <c r="D4154" t="s">
        <v>1447</v>
      </c>
      <c r="E4154" t="s">
        <v>1889</v>
      </c>
      <c r="F4154" t="s">
        <v>1737</v>
      </c>
      <c r="K4154" t="str">
        <f>IF(ISBLANK('Q 5'!F1157),"",IF('Q 5'!F1157="&lt;please select&gt;","",'Q 5'!F1157))</f>
        <v/>
      </c>
    </row>
    <row r="4155" spans="1:11" x14ac:dyDescent="0.3">
      <c r="A4155" t="s">
        <v>1886</v>
      </c>
      <c r="B4155" t="s">
        <v>1887</v>
      </c>
      <c r="C4155">
        <v>15</v>
      </c>
      <c r="D4155" t="s">
        <v>1447</v>
      </c>
      <c r="E4155" t="s">
        <v>1889</v>
      </c>
      <c r="F4155" t="s">
        <v>1737</v>
      </c>
      <c r="K4155" t="str">
        <f>IF(ISBLANK('Q 5'!F1158),"",IF('Q 5'!F1158="&lt;please select&gt;","",'Q 5'!F1158))</f>
        <v/>
      </c>
    </row>
    <row r="4156" spans="1:11" x14ac:dyDescent="0.3">
      <c r="A4156" t="s">
        <v>1886</v>
      </c>
      <c r="B4156" t="s">
        <v>1887</v>
      </c>
      <c r="C4156">
        <v>16</v>
      </c>
      <c r="D4156" t="s">
        <v>1447</v>
      </c>
      <c r="E4156" t="s">
        <v>1889</v>
      </c>
      <c r="F4156" t="s">
        <v>1737</v>
      </c>
      <c r="K4156" t="str">
        <f>IF(ISBLANK('Q 5'!F1159),"",IF('Q 5'!F1159="&lt;please select&gt;","",'Q 5'!F1159))</f>
        <v/>
      </c>
    </row>
    <row r="4157" spans="1:11" x14ac:dyDescent="0.3">
      <c r="A4157" t="s">
        <v>1886</v>
      </c>
      <c r="B4157" t="s">
        <v>1887</v>
      </c>
      <c r="C4157">
        <v>17</v>
      </c>
      <c r="D4157" t="s">
        <v>1447</v>
      </c>
      <c r="E4157" t="s">
        <v>1889</v>
      </c>
      <c r="F4157" t="s">
        <v>1737</v>
      </c>
      <c r="K4157" t="str">
        <f>IF(ISBLANK('Q 5'!F1160),"",IF('Q 5'!F1160="&lt;please select&gt;","",'Q 5'!F1160))</f>
        <v/>
      </c>
    </row>
    <row r="4158" spans="1:11" x14ac:dyDescent="0.3">
      <c r="A4158" t="s">
        <v>1886</v>
      </c>
      <c r="B4158" t="s">
        <v>1887</v>
      </c>
      <c r="C4158">
        <v>18</v>
      </c>
      <c r="D4158" t="s">
        <v>1447</v>
      </c>
      <c r="E4158" t="s">
        <v>1889</v>
      </c>
      <c r="F4158" t="s">
        <v>1737</v>
      </c>
      <c r="K4158" t="str">
        <f>IF(ISBLANK('Q 5'!F1161),"",IF('Q 5'!F1161="&lt;please select&gt;","",'Q 5'!F1161))</f>
        <v/>
      </c>
    </row>
    <row r="4159" spans="1:11" x14ac:dyDescent="0.3">
      <c r="A4159" t="s">
        <v>1886</v>
      </c>
      <c r="B4159" t="s">
        <v>1887</v>
      </c>
      <c r="C4159">
        <v>19</v>
      </c>
      <c r="D4159" t="s">
        <v>1447</v>
      </c>
      <c r="E4159" t="s">
        <v>1889</v>
      </c>
      <c r="F4159" t="s">
        <v>1737</v>
      </c>
      <c r="K4159" t="str">
        <f>IF(ISBLANK('Q 5'!F1162),"",IF('Q 5'!F1162="&lt;please select&gt;","",'Q 5'!F1162))</f>
        <v/>
      </c>
    </row>
    <row r="4160" spans="1:11" x14ac:dyDescent="0.3">
      <c r="A4160" t="s">
        <v>1886</v>
      </c>
      <c r="B4160" t="s">
        <v>1887</v>
      </c>
      <c r="C4160">
        <v>20</v>
      </c>
      <c r="D4160" t="s">
        <v>1447</v>
      </c>
      <c r="E4160" t="s">
        <v>1889</v>
      </c>
      <c r="F4160" t="s">
        <v>1737</v>
      </c>
      <c r="K4160" t="str">
        <f>IF(ISBLANK('Q 5'!F1163),"",IF('Q 5'!F1163="&lt;please select&gt;","",'Q 5'!F1163))</f>
        <v/>
      </c>
    </row>
    <row r="4161" spans="1:11" x14ac:dyDescent="0.3">
      <c r="A4161" t="s">
        <v>1886</v>
      </c>
      <c r="B4161" t="s">
        <v>1887</v>
      </c>
      <c r="C4161">
        <v>21</v>
      </c>
      <c r="D4161" t="s">
        <v>1447</v>
      </c>
      <c r="E4161" t="s">
        <v>1889</v>
      </c>
      <c r="F4161" t="s">
        <v>1737</v>
      </c>
      <c r="K4161" t="str">
        <f>IF(ISBLANK('Q 5'!F1164),"",IF('Q 5'!F1164="&lt;please select&gt;","",'Q 5'!F1164))</f>
        <v/>
      </c>
    </row>
    <row r="4162" spans="1:11" x14ac:dyDescent="0.3">
      <c r="A4162" t="s">
        <v>1886</v>
      </c>
      <c r="B4162" t="s">
        <v>1887</v>
      </c>
      <c r="C4162">
        <v>22</v>
      </c>
      <c r="D4162" t="s">
        <v>1447</v>
      </c>
      <c r="E4162" t="s">
        <v>1889</v>
      </c>
      <c r="F4162" t="s">
        <v>1737</v>
      </c>
      <c r="K4162" t="str">
        <f>IF(ISBLANK('Q 5'!F1165),"",IF('Q 5'!F1165="&lt;please select&gt;","",'Q 5'!F1165))</f>
        <v/>
      </c>
    </row>
    <row r="4163" spans="1:11" x14ac:dyDescent="0.3">
      <c r="A4163" t="s">
        <v>1886</v>
      </c>
      <c r="B4163" t="s">
        <v>1887</v>
      </c>
      <c r="C4163">
        <v>23</v>
      </c>
      <c r="D4163" t="s">
        <v>1447</v>
      </c>
      <c r="E4163" t="s">
        <v>1889</v>
      </c>
      <c r="F4163" t="s">
        <v>1737</v>
      </c>
      <c r="K4163" t="str">
        <f>IF(ISBLANK('Q 5'!F1166),"",IF('Q 5'!F1166="&lt;please select&gt;","",'Q 5'!F1166))</f>
        <v/>
      </c>
    </row>
    <row r="4164" spans="1:11" x14ac:dyDescent="0.3">
      <c r="A4164" t="s">
        <v>1886</v>
      </c>
      <c r="B4164" t="s">
        <v>1887</v>
      </c>
      <c r="C4164">
        <v>24</v>
      </c>
      <c r="D4164" t="s">
        <v>1447</v>
      </c>
      <c r="E4164" t="s">
        <v>1889</v>
      </c>
      <c r="F4164" t="s">
        <v>1737</v>
      </c>
      <c r="K4164" t="str">
        <f>IF(ISBLANK('Q 5'!F1167),"",IF('Q 5'!F1167="&lt;please select&gt;","",'Q 5'!F1167))</f>
        <v/>
      </c>
    </row>
    <row r="4165" spans="1:11" x14ac:dyDescent="0.3">
      <c r="A4165" t="s">
        <v>1886</v>
      </c>
      <c r="B4165" t="s">
        <v>1887</v>
      </c>
      <c r="C4165">
        <v>25</v>
      </c>
      <c r="D4165" t="s">
        <v>1447</v>
      </c>
      <c r="E4165" t="s">
        <v>1889</v>
      </c>
      <c r="F4165" t="s">
        <v>1737</v>
      </c>
      <c r="K4165" t="str">
        <f>IF(ISBLANK('Q 5'!F1168),"",IF('Q 5'!F1168="&lt;please select&gt;","",'Q 5'!F1168))</f>
        <v/>
      </c>
    </row>
    <row r="4166" spans="1:11" x14ac:dyDescent="0.3">
      <c r="A4166" t="s">
        <v>1886</v>
      </c>
      <c r="B4166" t="s">
        <v>1887</v>
      </c>
      <c r="C4166">
        <v>26</v>
      </c>
      <c r="D4166" t="s">
        <v>1447</v>
      </c>
      <c r="E4166" t="s">
        <v>1889</v>
      </c>
      <c r="F4166" t="s">
        <v>1737</v>
      </c>
      <c r="K4166" t="str">
        <f>IF(ISBLANK('Q 5'!F1169),"",IF('Q 5'!F1169="&lt;please select&gt;","",'Q 5'!F1169))</f>
        <v/>
      </c>
    </row>
    <row r="4167" spans="1:11" x14ac:dyDescent="0.3">
      <c r="A4167" t="s">
        <v>1886</v>
      </c>
      <c r="B4167" t="s">
        <v>1887</v>
      </c>
      <c r="C4167">
        <v>27</v>
      </c>
      <c r="D4167" t="s">
        <v>1447</v>
      </c>
      <c r="E4167" t="s">
        <v>1889</v>
      </c>
      <c r="F4167" t="s">
        <v>1737</v>
      </c>
      <c r="K4167" t="str">
        <f>IF(ISBLANK('Q 5'!F1170),"",IF('Q 5'!F1170="&lt;please select&gt;","",'Q 5'!F1170))</f>
        <v/>
      </c>
    </row>
    <row r="4168" spans="1:11" x14ac:dyDescent="0.3">
      <c r="A4168" t="s">
        <v>1886</v>
      </c>
      <c r="B4168" t="s">
        <v>1887</v>
      </c>
      <c r="C4168">
        <v>28</v>
      </c>
      <c r="D4168" t="s">
        <v>1447</v>
      </c>
      <c r="E4168" t="s">
        <v>1889</v>
      </c>
      <c r="F4168" t="s">
        <v>1737</v>
      </c>
      <c r="K4168" t="str">
        <f>IF(ISBLANK('Q 5'!F1171),"",IF('Q 5'!F1171="&lt;please select&gt;","",'Q 5'!F1171))</f>
        <v/>
      </c>
    </row>
    <row r="4169" spans="1:11" x14ac:dyDescent="0.3">
      <c r="A4169" t="s">
        <v>1886</v>
      </c>
      <c r="B4169" t="s">
        <v>1887</v>
      </c>
      <c r="C4169">
        <v>29</v>
      </c>
      <c r="D4169" t="s">
        <v>1447</v>
      </c>
      <c r="E4169" t="s">
        <v>1889</v>
      </c>
      <c r="F4169" t="s">
        <v>1737</v>
      </c>
      <c r="K4169" t="str">
        <f>IF(ISBLANK('Q 5'!F1172),"",IF('Q 5'!F1172="&lt;please select&gt;","",'Q 5'!F1172))</f>
        <v/>
      </c>
    </row>
    <row r="4170" spans="1:11" x14ac:dyDescent="0.3">
      <c r="A4170" t="s">
        <v>1886</v>
      </c>
      <c r="B4170" t="s">
        <v>1887</v>
      </c>
      <c r="C4170">
        <v>30</v>
      </c>
      <c r="D4170" t="s">
        <v>1447</v>
      </c>
      <c r="E4170" t="s">
        <v>1889</v>
      </c>
      <c r="F4170" t="s">
        <v>1737</v>
      </c>
      <c r="K4170" t="str">
        <f>IF(ISBLANK('Q 5'!F1173),"",IF('Q 5'!F1173="&lt;please select&gt;","",'Q 5'!F1173))</f>
        <v/>
      </c>
    </row>
    <row r="4171" spans="1:11" x14ac:dyDescent="0.3">
      <c r="A4171" t="s">
        <v>1886</v>
      </c>
      <c r="B4171" t="s">
        <v>1887</v>
      </c>
      <c r="C4171">
        <v>31</v>
      </c>
      <c r="D4171" t="s">
        <v>1447</v>
      </c>
      <c r="E4171" t="s">
        <v>1889</v>
      </c>
      <c r="F4171" t="s">
        <v>1737</v>
      </c>
      <c r="K4171" t="str">
        <f>IF(ISBLANK('Q 5'!F1174),"",IF('Q 5'!F1174="&lt;please select&gt;","",'Q 5'!F1174))</f>
        <v/>
      </c>
    </row>
    <row r="4172" spans="1:11" x14ac:dyDescent="0.3">
      <c r="A4172" t="s">
        <v>1886</v>
      </c>
      <c r="B4172" t="s">
        <v>1887</v>
      </c>
      <c r="C4172">
        <v>32</v>
      </c>
      <c r="D4172" t="s">
        <v>1447</v>
      </c>
      <c r="E4172" t="s">
        <v>1889</v>
      </c>
      <c r="F4172" t="s">
        <v>1737</v>
      </c>
      <c r="K4172" t="str">
        <f>IF(ISBLANK('Q 5'!F1175),"",IF('Q 5'!F1175="&lt;please select&gt;","",'Q 5'!F1175))</f>
        <v/>
      </c>
    </row>
    <row r="4173" spans="1:11" x14ac:dyDescent="0.3">
      <c r="A4173" t="s">
        <v>1886</v>
      </c>
      <c r="B4173" t="s">
        <v>1887</v>
      </c>
      <c r="C4173">
        <v>33</v>
      </c>
      <c r="D4173" t="s">
        <v>1447</v>
      </c>
      <c r="E4173" t="s">
        <v>1889</v>
      </c>
      <c r="F4173" t="s">
        <v>1737</v>
      </c>
      <c r="K4173" t="str">
        <f>IF(ISBLANK('Q 5'!F1176),"",IF('Q 5'!F1176="&lt;please select&gt;","",'Q 5'!F1176))</f>
        <v/>
      </c>
    </row>
    <row r="4174" spans="1:11" x14ac:dyDescent="0.3">
      <c r="A4174" t="s">
        <v>1886</v>
      </c>
      <c r="B4174" t="s">
        <v>1887</v>
      </c>
      <c r="C4174">
        <v>34</v>
      </c>
      <c r="D4174" t="s">
        <v>1447</v>
      </c>
      <c r="E4174" t="s">
        <v>1889</v>
      </c>
      <c r="F4174" t="s">
        <v>1737</v>
      </c>
      <c r="K4174" t="str">
        <f>IF(ISBLANK('Q 5'!F1177),"",IF('Q 5'!F1177="&lt;please select&gt;","",'Q 5'!F1177))</f>
        <v/>
      </c>
    </row>
    <row r="4175" spans="1:11" x14ac:dyDescent="0.3">
      <c r="A4175" t="s">
        <v>1886</v>
      </c>
      <c r="B4175" t="s">
        <v>1887</v>
      </c>
      <c r="C4175">
        <v>35</v>
      </c>
      <c r="D4175" t="s">
        <v>1447</v>
      </c>
      <c r="E4175" t="s">
        <v>1889</v>
      </c>
      <c r="F4175" t="s">
        <v>1737</v>
      </c>
      <c r="K4175" t="str">
        <f>IF(ISBLANK('Q 5'!F1178),"",IF('Q 5'!F1178="&lt;please select&gt;","",'Q 5'!F1178))</f>
        <v/>
      </c>
    </row>
    <row r="4176" spans="1:11" x14ac:dyDescent="0.3">
      <c r="A4176" t="s">
        <v>1886</v>
      </c>
      <c r="B4176" t="s">
        <v>1887</v>
      </c>
      <c r="C4176">
        <v>36</v>
      </c>
      <c r="D4176" t="s">
        <v>1447</v>
      </c>
      <c r="E4176" t="s">
        <v>1889</v>
      </c>
      <c r="F4176" t="s">
        <v>1737</v>
      </c>
      <c r="K4176" t="str">
        <f>IF(ISBLANK('Q 5'!F1179),"",IF('Q 5'!F1179="&lt;please select&gt;","",'Q 5'!F1179))</f>
        <v/>
      </c>
    </row>
    <row r="4177" spans="1:11" x14ac:dyDescent="0.3">
      <c r="A4177" t="s">
        <v>1886</v>
      </c>
      <c r="B4177" t="s">
        <v>1887</v>
      </c>
      <c r="C4177">
        <v>37</v>
      </c>
      <c r="D4177" t="s">
        <v>1447</v>
      </c>
      <c r="E4177" t="s">
        <v>1889</v>
      </c>
      <c r="F4177" t="s">
        <v>1737</v>
      </c>
      <c r="K4177" t="str">
        <f>IF(ISBLANK('Q 5'!F1180),"",IF('Q 5'!F1180="&lt;please select&gt;","",'Q 5'!F1180))</f>
        <v/>
      </c>
    </row>
    <row r="4178" spans="1:11" x14ac:dyDescent="0.3">
      <c r="A4178" t="s">
        <v>1886</v>
      </c>
      <c r="B4178" t="s">
        <v>1887</v>
      </c>
      <c r="C4178">
        <v>38</v>
      </c>
      <c r="D4178" t="s">
        <v>1447</v>
      </c>
      <c r="E4178" t="s">
        <v>1889</v>
      </c>
      <c r="F4178" t="s">
        <v>1737</v>
      </c>
      <c r="K4178" t="str">
        <f>IF(ISBLANK('Q 5'!F1181),"",IF('Q 5'!F1181="&lt;please select&gt;","",'Q 5'!F1181))</f>
        <v/>
      </c>
    </row>
    <row r="4179" spans="1:11" x14ac:dyDescent="0.3">
      <c r="A4179" t="s">
        <v>1886</v>
      </c>
      <c r="B4179" t="s">
        <v>1887</v>
      </c>
      <c r="C4179">
        <v>39</v>
      </c>
      <c r="D4179" t="s">
        <v>1447</v>
      </c>
      <c r="E4179" t="s">
        <v>1889</v>
      </c>
      <c r="F4179" t="s">
        <v>1737</v>
      </c>
      <c r="K4179" t="str">
        <f>IF(ISBLANK('Q 5'!F1182),"",IF('Q 5'!F1182="&lt;please select&gt;","",'Q 5'!F1182))</f>
        <v/>
      </c>
    </row>
    <row r="4180" spans="1:11" x14ac:dyDescent="0.3">
      <c r="A4180" t="s">
        <v>1886</v>
      </c>
      <c r="B4180" t="s">
        <v>1887</v>
      </c>
      <c r="C4180">
        <v>40</v>
      </c>
      <c r="D4180" t="s">
        <v>1447</v>
      </c>
      <c r="E4180" t="s">
        <v>1889</v>
      </c>
      <c r="F4180" t="s">
        <v>1737</v>
      </c>
      <c r="K4180" t="str">
        <f>IF(ISBLANK('Q 5'!F1183),"",IF('Q 5'!F1183="&lt;please select&gt;","",'Q 5'!F1183))</f>
        <v/>
      </c>
    </row>
    <row r="4181" spans="1:11" x14ac:dyDescent="0.3">
      <c r="A4181" t="s">
        <v>1886</v>
      </c>
      <c r="B4181" t="s">
        <v>1887</v>
      </c>
      <c r="C4181">
        <v>41</v>
      </c>
      <c r="D4181" t="s">
        <v>1447</v>
      </c>
      <c r="E4181" t="s">
        <v>1889</v>
      </c>
      <c r="F4181" t="s">
        <v>1737</v>
      </c>
      <c r="K4181" t="str">
        <f>IF(ISBLANK('Q 5'!F1184),"",IF('Q 5'!F1184="&lt;please select&gt;","",'Q 5'!F1184))</f>
        <v/>
      </c>
    </row>
    <row r="4182" spans="1:11" x14ac:dyDescent="0.3">
      <c r="A4182" t="s">
        <v>1886</v>
      </c>
      <c r="B4182" t="s">
        <v>1887</v>
      </c>
      <c r="C4182">
        <v>42</v>
      </c>
      <c r="D4182" t="s">
        <v>1447</v>
      </c>
      <c r="E4182" t="s">
        <v>1889</v>
      </c>
      <c r="F4182" t="s">
        <v>1737</v>
      </c>
      <c r="K4182" t="str">
        <f>IF(ISBLANK('Q 5'!F1185),"",IF('Q 5'!F1185="&lt;please select&gt;","",'Q 5'!F1185))</f>
        <v/>
      </c>
    </row>
    <row r="4183" spans="1:11" x14ac:dyDescent="0.3">
      <c r="A4183" t="s">
        <v>1886</v>
      </c>
      <c r="B4183" t="s">
        <v>1887</v>
      </c>
      <c r="C4183">
        <v>43</v>
      </c>
      <c r="D4183" t="s">
        <v>1447</v>
      </c>
      <c r="E4183" t="s">
        <v>1889</v>
      </c>
      <c r="F4183" t="s">
        <v>1737</v>
      </c>
      <c r="K4183" t="str">
        <f>IF(ISBLANK('Q 5'!F1186),"",IF('Q 5'!F1186="&lt;please select&gt;","",'Q 5'!F1186))</f>
        <v/>
      </c>
    </row>
    <row r="4184" spans="1:11" x14ac:dyDescent="0.3">
      <c r="A4184" t="s">
        <v>1886</v>
      </c>
      <c r="B4184" t="s">
        <v>1887</v>
      </c>
      <c r="C4184">
        <v>44</v>
      </c>
      <c r="D4184" t="s">
        <v>1447</v>
      </c>
      <c r="E4184" t="s">
        <v>1889</v>
      </c>
      <c r="F4184" t="s">
        <v>1737</v>
      </c>
      <c r="K4184" t="str">
        <f>IF(ISBLANK('Q 5'!F1187),"",IF('Q 5'!F1187="&lt;please select&gt;","",'Q 5'!F1187))</f>
        <v/>
      </c>
    </row>
    <row r="4185" spans="1:11" x14ac:dyDescent="0.3">
      <c r="A4185" t="s">
        <v>1886</v>
      </c>
      <c r="B4185" t="s">
        <v>1887</v>
      </c>
      <c r="C4185">
        <v>45</v>
      </c>
      <c r="D4185" t="s">
        <v>1447</v>
      </c>
      <c r="E4185" t="s">
        <v>1889</v>
      </c>
      <c r="F4185" t="s">
        <v>1737</v>
      </c>
      <c r="K4185" t="str">
        <f>IF(ISBLANK('Q 5'!F1188),"",IF('Q 5'!F1188="&lt;please select&gt;","",'Q 5'!F1188))</f>
        <v/>
      </c>
    </row>
    <row r="4186" spans="1:11" x14ac:dyDescent="0.3">
      <c r="A4186" t="s">
        <v>1886</v>
      </c>
      <c r="B4186" t="s">
        <v>1887</v>
      </c>
      <c r="C4186">
        <v>46</v>
      </c>
      <c r="D4186" t="s">
        <v>1447</v>
      </c>
      <c r="E4186" t="s">
        <v>1889</v>
      </c>
      <c r="F4186" t="s">
        <v>1737</v>
      </c>
      <c r="K4186" t="str">
        <f>IF(ISBLANK('Q 5'!F1189),"",IF('Q 5'!F1189="&lt;please select&gt;","",'Q 5'!F1189))</f>
        <v/>
      </c>
    </row>
    <row r="4187" spans="1:11" x14ac:dyDescent="0.3">
      <c r="A4187" t="s">
        <v>1886</v>
      </c>
      <c r="B4187" t="s">
        <v>1887</v>
      </c>
      <c r="C4187">
        <v>47</v>
      </c>
      <c r="D4187" t="s">
        <v>1447</v>
      </c>
      <c r="E4187" t="s">
        <v>1889</v>
      </c>
      <c r="F4187" t="s">
        <v>1737</v>
      </c>
      <c r="K4187" t="str">
        <f>IF(ISBLANK('Q 5'!F1190),"",IF('Q 5'!F1190="&lt;please select&gt;","",'Q 5'!F1190))</f>
        <v/>
      </c>
    </row>
    <row r="4188" spans="1:11" x14ac:dyDescent="0.3">
      <c r="A4188" t="s">
        <v>1886</v>
      </c>
      <c r="B4188" t="s">
        <v>1887</v>
      </c>
      <c r="C4188">
        <v>48</v>
      </c>
      <c r="D4188" t="s">
        <v>1447</v>
      </c>
      <c r="E4188" t="s">
        <v>1889</v>
      </c>
      <c r="F4188" t="s">
        <v>1737</v>
      </c>
      <c r="K4188" t="str">
        <f>IF(ISBLANK('Q 5'!F1191),"",IF('Q 5'!F1191="&lt;please select&gt;","",'Q 5'!F1191))</f>
        <v/>
      </c>
    </row>
    <row r="4189" spans="1:11" x14ac:dyDescent="0.3">
      <c r="A4189" t="s">
        <v>1886</v>
      </c>
      <c r="B4189" t="s">
        <v>1887</v>
      </c>
      <c r="C4189">
        <v>49</v>
      </c>
      <c r="D4189" t="s">
        <v>1447</v>
      </c>
      <c r="E4189" t="s">
        <v>1889</v>
      </c>
      <c r="F4189" t="s">
        <v>1737</v>
      </c>
      <c r="K4189" t="str">
        <f>IF(ISBLANK('Q 5'!F1192),"",IF('Q 5'!F1192="&lt;please select&gt;","",'Q 5'!F1192))</f>
        <v/>
      </c>
    </row>
    <row r="4190" spans="1:11" x14ac:dyDescent="0.3">
      <c r="A4190" t="s">
        <v>1886</v>
      </c>
      <c r="B4190" t="s">
        <v>1887</v>
      </c>
      <c r="C4190">
        <v>50</v>
      </c>
      <c r="D4190" t="s">
        <v>1447</v>
      </c>
      <c r="E4190" t="s">
        <v>1889</v>
      </c>
      <c r="F4190" t="s">
        <v>1737</v>
      </c>
      <c r="K4190" t="str">
        <f>IF(ISBLANK('Q 5'!F1193),"",IF('Q 5'!F1193="&lt;please select&gt;","",'Q 5'!F1193))</f>
        <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
      </c>
    </row>
    <row r="4212" spans="1:11" x14ac:dyDescent="0.3">
      <c r="A4212" t="s">
        <v>1886</v>
      </c>
      <c r="B4212" t="s">
        <v>1887</v>
      </c>
      <c r="C4212">
        <v>2</v>
      </c>
      <c r="D4212" t="s">
        <v>1447</v>
      </c>
      <c r="E4212" t="s">
        <v>1890</v>
      </c>
      <c r="F4212" t="s">
        <v>1748</v>
      </c>
      <c r="H4212" t="str">
        <f>IF(ISBLANK('Q 5'!H1145),"",IF('Q 5'!H1145="&lt;please select&gt;","",'Q 5'!H1145))</f>
        <v/>
      </c>
    </row>
    <row r="4213" spans="1:11" x14ac:dyDescent="0.3">
      <c r="A4213" t="s">
        <v>1886</v>
      </c>
      <c r="B4213" t="s">
        <v>1887</v>
      </c>
      <c r="C4213">
        <v>3</v>
      </c>
      <c r="D4213" t="s">
        <v>1447</v>
      </c>
      <c r="E4213" t="s">
        <v>1890</v>
      </c>
      <c r="F4213" t="s">
        <v>1748</v>
      </c>
      <c r="H4213" t="str">
        <f>IF(ISBLANK('Q 5'!H1146),"",IF('Q 5'!H1146="&lt;please select&gt;","",'Q 5'!H1146))</f>
        <v/>
      </c>
    </row>
    <row r="4214" spans="1:11" x14ac:dyDescent="0.3">
      <c r="A4214" t="s">
        <v>1886</v>
      </c>
      <c r="B4214" t="s">
        <v>1887</v>
      </c>
      <c r="C4214">
        <v>4</v>
      </c>
      <c r="D4214" t="s">
        <v>1447</v>
      </c>
      <c r="E4214" t="s">
        <v>1890</v>
      </c>
      <c r="F4214" t="s">
        <v>1748</v>
      </c>
      <c r="H4214" t="str">
        <f>IF(ISBLANK('Q 5'!H1147),"",IF('Q 5'!H1147="&lt;please select&gt;","",'Q 5'!H1147))</f>
        <v/>
      </c>
    </row>
    <row r="4215" spans="1:11" x14ac:dyDescent="0.3">
      <c r="A4215" t="s">
        <v>1886</v>
      </c>
      <c r="B4215" t="s">
        <v>1887</v>
      </c>
      <c r="C4215">
        <v>5</v>
      </c>
      <c r="D4215" t="s">
        <v>1447</v>
      </c>
      <c r="E4215" t="s">
        <v>1890</v>
      </c>
      <c r="F4215" t="s">
        <v>1748</v>
      </c>
      <c r="H4215" t="str">
        <f>IF(ISBLANK('Q 5'!H1148),"",IF('Q 5'!H1148="&lt;please select&gt;","",'Q 5'!H1148))</f>
        <v/>
      </c>
    </row>
    <row r="4216" spans="1:11" x14ac:dyDescent="0.3">
      <c r="A4216" t="s">
        <v>1886</v>
      </c>
      <c r="B4216" t="s">
        <v>1887</v>
      </c>
      <c r="C4216">
        <v>6</v>
      </c>
      <c r="D4216" t="s">
        <v>1447</v>
      </c>
      <c r="E4216" t="s">
        <v>1890</v>
      </c>
      <c r="F4216" t="s">
        <v>1748</v>
      </c>
      <c r="H4216" t="str">
        <f>IF(ISBLANK('Q 5'!H1149),"",IF('Q 5'!H1149="&lt;please select&gt;","",'Q 5'!H1149))</f>
        <v/>
      </c>
    </row>
    <row r="4217" spans="1:11" x14ac:dyDescent="0.3">
      <c r="A4217" t="s">
        <v>1886</v>
      </c>
      <c r="B4217" t="s">
        <v>1887</v>
      </c>
      <c r="C4217">
        <v>7</v>
      </c>
      <c r="D4217" t="s">
        <v>1447</v>
      </c>
      <c r="E4217" t="s">
        <v>1890</v>
      </c>
      <c r="F4217" t="s">
        <v>1748</v>
      </c>
      <c r="H4217" t="str">
        <f>IF(ISBLANK('Q 5'!H1150),"",IF('Q 5'!H1150="&lt;please select&gt;","",'Q 5'!H1150))</f>
        <v/>
      </c>
    </row>
    <row r="4218" spans="1:11" x14ac:dyDescent="0.3">
      <c r="A4218" t="s">
        <v>1886</v>
      </c>
      <c r="B4218" t="s">
        <v>1887</v>
      </c>
      <c r="C4218">
        <v>8</v>
      </c>
      <c r="D4218" t="s">
        <v>1447</v>
      </c>
      <c r="E4218" t="s">
        <v>1890</v>
      </c>
      <c r="F4218" t="s">
        <v>1748</v>
      </c>
      <c r="H4218" t="str">
        <f>IF(ISBLANK('Q 5'!H1151),"",IF('Q 5'!H1151="&lt;please select&gt;","",'Q 5'!H1151))</f>
        <v/>
      </c>
    </row>
    <row r="4219" spans="1:11" x14ac:dyDescent="0.3">
      <c r="A4219" t="s">
        <v>1886</v>
      </c>
      <c r="B4219" t="s">
        <v>1887</v>
      </c>
      <c r="C4219">
        <v>9</v>
      </c>
      <c r="D4219" t="s">
        <v>1447</v>
      </c>
      <c r="E4219" t="s">
        <v>1890</v>
      </c>
      <c r="F4219" t="s">
        <v>1748</v>
      </c>
      <c r="H4219" t="str">
        <f>IF(ISBLANK('Q 5'!H1152),"",IF('Q 5'!H1152="&lt;please select&gt;","",'Q 5'!H1152))</f>
        <v/>
      </c>
    </row>
    <row r="4220" spans="1:11" x14ac:dyDescent="0.3">
      <c r="A4220" t="s">
        <v>1886</v>
      </c>
      <c r="B4220" t="s">
        <v>1887</v>
      </c>
      <c r="C4220">
        <v>10</v>
      </c>
      <c r="D4220" t="s">
        <v>1447</v>
      </c>
      <c r="E4220" t="s">
        <v>1890</v>
      </c>
      <c r="F4220" t="s">
        <v>1748</v>
      </c>
      <c r="H4220" t="str">
        <f>IF(ISBLANK('Q 5'!H1153),"",IF('Q 5'!H1153="&lt;please select&gt;","",'Q 5'!H1153))</f>
        <v/>
      </c>
    </row>
    <row r="4221" spans="1:11" x14ac:dyDescent="0.3">
      <c r="A4221" t="s">
        <v>1886</v>
      </c>
      <c r="B4221" t="s">
        <v>1887</v>
      </c>
      <c r="C4221">
        <v>11</v>
      </c>
      <c r="D4221" t="s">
        <v>1447</v>
      </c>
      <c r="E4221" t="s">
        <v>1890</v>
      </c>
      <c r="F4221" t="s">
        <v>1748</v>
      </c>
      <c r="H4221" t="str">
        <f>IF(ISBLANK('Q 5'!H1154),"",IF('Q 5'!H1154="&lt;please select&gt;","",'Q 5'!H1154))</f>
        <v/>
      </c>
    </row>
    <row r="4222" spans="1:11" x14ac:dyDescent="0.3">
      <c r="A4222" t="s">
        <v>1886</v>
      </c>
      <c r="B4222" t="s">
        <v>1887</v>
      </c>
      <c r="C4222">
        <v>12</v>
      </c>
      <c r="D4222" t="s">
        <v>1447</v>
      </c>
      <c r="E4222" t="s">
        <v>1890</v>
      </c>
      <c r="F4222" t="s">
        <v>1748</v>
      </c>
      <c r="H4222" t="str">
        <f>IF(ISBLANK('Q 5'!H1155),"",IF('Q 5'!H1155="&lt;please select&gt;","",'Q 5'!H1155))</f>
        <v/>
      </c>
    </row>
    <row r="4223" spans="1:11" x14ac:dyDescent="0.3">
      <c r="A4223" t="s">
        <v>1886</v>
      </c>
      <c r="B4223" t="s">
        <v>1887</v>
      </c>
      <c r="C4223">
        <v>13</v>
      </c>
      <c r="D4223" t="s">
        <v>1447</v>
      </c>
      <c r="E4223" t="s">
        <v>1890</v>
      </c>
      <c r="F4223" t="s">
        <v>1748</v>
      </c>
      <c r="H4223" t="str">
        <f>IF(ISBLANK('Q 5'!H1156),"",IF('Q 5'!H1156="&lt;please select&gt;","",'Q 5'!H1156))</f>
        <v/>
      </c>
    </row>
    <row r="4224" spans="1:11" x14ac:dyDescent="0.3">
      <c r="A4224" t="s">
        <v>1886</v>
      </c>
      <c r="B4224" t="s">
        <v>1887</v>
      </c>
      <c r="C4224">
        <v>14</v>
      </c>
      <c r="D4224" t="s">
        <v>1447</v>
      </c>
      <c r="E4224" t="s">
        <v>1890</v>
      </c>
      <c r="F4224" t="s">
        <v>1748</v>
      </c>
      <c r="H4224" t="str">
        <f>IF(ISBLANK('Q 5'!H1157),"",IF('Q 5'!H1157="&lt;please select&gt;","",'Q 5'!H1157))</f>
        <v/>
      </c>
    </row>
    <row r="4225" spans="1:8" x14ac:dyDescent="0.3">
      <c r="A4225" t="s">
        <v>1886</v>
      </c>
      <c r="B4225" t="s">
        <v>1887</v>
      </c>
      <c r="C4225">
        <v>15</v>
      </c>
      <c r="D4225" t="s">
        <v>1447</v>
      </c>
      <c r="E4225" t="s">
        <v>1890</v>
      </c>
      <c r="F4225" t="s">
        <v>1748</v>
      </c>
      <c r="H4225" t="str">
        <f>IF(ISBLANK('Q 5'!H1158),"",IF('Q 5'!H1158="&lt;please select&gt;","",'Q 5'!H1158))</f>
        <v/>
      </c>
    </row>
    <row r="4226" spans="1:8" x14ac:dyDescent="0.3">
      <c r="A4226" t="s">
        <v>1886</v>
      </c>
      <c r="B4226" t="s">
        <v>1887</v>
      </c>
      <c r="C4226">
        <v>16</v>
      </c>
      <c r="D4226" t="s">
        <v>1447</v>
      </c>
      <c r="E4226" t="s">
        <v>1890</v>
      </c>
      <c r="F4226" t="s">
        <v>1748</v>
      </c>
      <c r="H4226" t="str">
        <f>IF(ISBLANK('Q 5'!H1159),"",IF('Q 5'!H1159="&lt;please select&gt;","",'Q 5'!H1159))</f>
        <v/>
      </c>
    </row>
    <row r="4227" spans="1:8" x14ac:dyDescent="0.3">
      <c r="A4227" t="s">
        <v>1886</v>
      </c>
      <c r="B4227" t="s">
        <v>1887</v>
      </c>
      <c r="C4227">
        <v>17</v>
      </c>
      <c r="D4227" t="s">
        <v>1447</v>
      </c>
      <c r="E4227" t="s">
        <v>1890</v>
      </c>
      <c r="F4227" t="s">
        <v>1748</v>
      </c>
      <c r="H4227" t="str">
        <f>IF(ISBLANK('Q 5'!H1160),"",IF('Q 5'!H1160="&lt;please select&gt;","",'Q 5'!H1160))</f>
        <v/>
      </c>
    </row>
    <row r="4228" spans="1:8" x14ac:dyDescent="0.3">
      <c r="A4228" t="s">
        <v>1886</v>
      </c>
      <c r="B4228" t="s">
        <v>1887</v>
      </c>
      <c r="C4228">
        <v>18</v>
      </c>
      <c r="D4228" t="s">
        <v>1447</v>
      </c>
      <c r="E4228" t="s">
        <v>1890</v>
      </c>
      <c r="F4228" t="s">
        <v>1748</v>
      </c>
      <c r="H4228" t="str">
        <f>IF(ISBLANK('Q 5'!H1161),"",IF('Q 5'!H1161="&lt;please select&gt;","",'Q 5'!H1161))</f>
        <v/>
      </c>
    </row>
    <row r="4229" spans="1:8" x14ac:dyDescent="0.3">
      <c r="A4229" t="s">
        <v>1886</v>
      </c>
      <c r="B4229" t="s">
        <v>1887</v>
      </c>
      <c r="C4229">
        <v>19</v>
      </c>
      <c r="D4229" t="s">
        <v>1447</v>
      </c>
      <c r="E4229" t="s">
        <v>1890</v>
      </c>
      <c r="F4229" t="s">
        <v>1748</v>
      </c>
      <c r="H4229" t="str">
        <f>IF(ISBLANK('Q 5'!H1162),"",IF('Q 5'!H1162="&lt;please select&gt;","",'Q 5'!H1162))</f>
        <v/>
      </c>
    </row>
    <row r="4230" spans="1:8" x14ac:dyDescent="0.3">
      <c r="A4230" t="s">
        <v>1886</v>
      </c>
      <c r="B4230" t="s">
        <v>1887</v>
      </c>
      <c r="C4230">
        <v>20</v>
      </c>
      <c r="D4230" t="s">
        <v>1447</v>
      </c>
      <c r="E4230" t="s">
        <v>1890</v>
      </c>
      <c r="F4230" t="s">
        <v>1748</v>
      </c>
      <c r="H4230" t="str">
        <f>IF(ISBLANK('Q 5'!H1163),"",IF('Q 5'!H1163="&lt;please select&gt;","",'Q 5'!H1163))</f>
        <v/>
      </c>
    </row>
    <row r="4231" spans="1:8" x14ac:dyDescent="0.3">
      <c r="A4231" t="s">
        <v>1886</v>
      </c>
      <c r="B4231" t="s">
        <v>1887</v>
      </c>
      <c r="C4231">
        <v>21</v>
      </c>
      <c r="D4231" t="s">
        <v>1447</v>
      </c>
      <c r="E4231" t="s">
        <v>1890</v>
      </c>
      <c r="F4231" t="s">
        <v>1748</v>
      </c>
      <c r="H4231" t="str">
        <f>IF(ISBLANK('Q 5'!H1164),"",IF('Q 5'!H1164="&lt;please select&gt;","",'Q 5'!H1164))</f>
        <v/>
      </c>
    </row>
    <row r="4232" spans="1:8" x14ac:dyDescent="0.3">
      <c r="A4232" t="s">
        <v>1886</v>
      </c>
      <c r="B4232" t="s">
        <v>1887</v>
      </c>
      <c r="C4232">
        <v>22</v>
      </c>
      <c r="D4232" t="s">
        <v>1447</v>
      </c>
      <c r="E4232" t="s">
        <v>1890</v>
      </c>
      <c r="F4232" t="s">
        <v>1748</v>
      </c>
      <c r="H4232" t="str">
        <f>IF(ISBLANK('Q 5'!H1165),"",IF('Q 5'!H1165="&lt;please select&gt;","",'Q 5'!H1165))</f>
        <v/>
      </c>
    </row>
    <row r="4233" spans="1:8" x14ac:dyDescent="0.3">
      <c r="A4233" t="s">
        <v>1886</v>
      </c>
      <c r="B4233" t="s">
        <v>1887</v>
      </c>
      <c r="C4233">
        <v>23</v>
      </c>
      <c r="D4233" t="s">
        <v>1447</v>
      </c>
      <c r="E4233" t="s">
        <v>1890</v>
      </c>
      <c r="F4233" t="s">
        <v>1748</v>
      </c>
      <c r="H4233" t="str">
        <f>IF(ISBLANK('Q 5'!H1166),"",IF('Q 5'!H1166="&lt;please select&gt;","",'Q 5'!H1166))</f>
        <v/>
      </c>
    </row>
    <row r="4234" spans="1:8" x14ac:dyDescent="0.3">
      <c r="A4234" t="s">
        <v>1886</v>
      </c>
      <c r="B4234" t="s">
        <v>1887</v>
      </c>
      <c r="C4234">
        <v>24</v>
      </c>
      <c r="D4234" t="s">
        <v>1447</v>
      </c>
      <c r="E4234" t="s">
        <v>1890</v>
      </c>
      <c r="F4234" t="s">
        <v>1748</v>
      </c>
      <c r="H4234" t="str">
        <f>IF(ISBLANK('Q 5'!H1167),"",IF('Q 5'!H1167="&lt;please select&gt;","",'Q 5'!H1167))</f>
        <v/>
      </c>
    </row>
    <row r="4235" spans="1:8" x14ac:dyDescent="0.3">
      <c r="A4235" t="s">
        <v>1886</v>
      </c>
      <c r="B4235" t="s">
        <v>1887</v>
      </c>
      <c r="C4235">
        <v>25</v>
      </c>
      <c r="D4235" t="s">
        <v>1447</v>
      </c>
      <c r="E4235" t="s">
        <v>1890</v>
      </c>
      <c r="F4235" t="s">
        <v>1748</v>
      </c>
      <c r="H4235" t="str">
        <f>IF(ISBLANK('Q 5'!H1168),"",IF('Q 5'!H1168="&lt;please select&gt;","",'Q 5'!H1168))</f>
        <v/>
      </c>
    </row>
    <row r="4236" spans="1:8" x14ac:dyDescent="0.3">
      <c r="A4236" t="s">
        <v>1886</v>
      </c>
      <c r="B4236" t="s">
        <v>1887</v>
      </c>
      <c r="C4236">
        <v>26</v>
      </c>
      <c r="D4236" t="s">
        <v>1447</v>
      </c>
      <c r="E4236" t="s">
        <v>1890</v>
      </c>
      <c r="F4236" t="s">
        <v>1748</v>
      </c>
      <c r="H4236" t="str">
        <f>IF(ISBLANK('Q 5'!H1169),"",IF('Q 5'!H1169="&lt;please select&gt;","",'Q 5'!H1169))</f>
        <v/>
      </c>
    </row>
    <row r="4237" spans="1:8" x14ac:dyDescent="0.3">
      <c r="A4237" t="s">
        <v>1886</v>
      </c>
      <c r="B4237" t="s">
        <v>1887</v>
      </c>
      <c r="C4237">
        <v>27</v>
      </c>
      <c r="D4237" t="s">
        <v>1447</v>
      </c>
      <c r="E4237" t="s">
        <v>1890</v>
      </c>
      <c r="F4237" t="s">
        <v>1748</v>
      </c>
      <c r="H4237" t="str">
        <f>IF(ISBLANK('Q 5'!H1170),"",IF('Q 5'!H1170="&lt;please select&gt;","",'Q 5'!H1170))</f>
        <v/>
      </c>
    </row>
    <row r="4238" spans="1:8" x14ac:dyDescent="0.3">
      <c r="A4238" t="s">
        <v>1886</v>
      </c>
      <c r="B4238" t="s">
        <v>1887</v>
      </c>
      <c r="C4238">
        <v>28</v>
      </c>
      <c r="D4238" t="s">
        <v>1447</v>
      </c>
      <c r="E4238" t="s">
        <v>1890</v>
      </c>
      <c r="F4238" t="s">
        <v>1748</v>
      </c>
      <c r="H4238" t="str">
        <f>IF(ISBLANK('Q 5'!H1171),"",IF('Q 5'!H1171="&lt;please select&gt;","",'Q 5'!H1171))</f>
        <v/>
      </c>
    </row>
    <row r="4239" spans="1:8" x14ac:dyDescent="0.3">
      <c r="A4239" t="s">
        <v>1886</v>
      </c>
      <c r="B4239" t="s">
        <v>1887</v>
      </c>
      <c r="C4239">
        <v>29</v>
      </c>
      <c r="D4239" t="s">
        <v>1447</v>
      </c>
      <c r="E4239" t="s">
        <v>1890</v>
      </c>
      <c r="F4239" t="s">
        <v>1748</v>
      </c>
      <c r="H4239" t="str">
        <f>IF(ISBLANK('Q 5'!H1172),"",IF('Q 5'!H1172="&lt;please select&gt;","",'Q 5'!H1172))</f>
        <v/>
      </c>
    </row>
    <row r="4240" spans="1:8" x14ac:dyDescent="0.3">
      <c r="A4240" t="s">
        <v>1886</v>
      </c>
      <c r="B4240" t="s">
        <v>1887</v>
      </c>
      <c r="C4240">
        <v>30</v>
      </c>
      <c r="D4240" t="s">
        <v>1447</v>
      </c>
      <c r="E4240" t="s">
        <v>1890</v>
      </c>
      <c r="F4240" t="s">
        <v>1748</v>
      </c>
      <c r="H4240" t="str">
        <f>IF(ISBLANK('Q 5'!H1173),"",IF('Q 5'!H1173="&lt;please select&gt;","",'Q 5'!H1173))</f>
        <v/>
      </c>
    </row>
    <row r="4241" spans="1:8" x14ac:dyDescent="0.3">
      <c r="A4241" t="s">
        <v>1886</v>
      </c>
      <c r="B4241" t="s">
        <v>1887</v>
      </c>
      <c r="C4241">
        <v>31</v>
      </c>
      <c r="D4241" t="s">
        <v>1447</v>
      </c>
      <c r="E4241" t="s">
        <v>1890</v>
      </c>
      <c r="F4241" t="s">
        <v>1748</v>
      </c>
      <c r="H4241" t="str">
        <f>IF(ISBLANK('Q 5'!H1174),"",IF('Q 5'!H1174="&lt;please select&gt;","",'Q 5'!H1174))</f>
        <v/>
      </c>
    </row>
    <row r="4242" spans="1:8" x14ac:dyDescent="0.3">
      <c r="A4242" t="s">
        <v>1886</v>
      </c>
      <c r="B4242" t="s">
        <v>1887</v>
      </c>
      <c r="C4242">
        <v>32</v>
      </c>
      <c r="D4242" t="s">
        <v>1447</v>
      </c>
      <c r="E4242" t="s">
        <v>1890</v>
      </c>
      <c r="F4242" t="s">
        <v>1748</v>
      </c>
      <c r="H4242" t="str">
        <f>IF(ISBLANK('Q 5'!H1175),"",IF('Q 5'!H1175="&lt;please select&gt;","",'Q 5'!H1175))</f>
        <v/>
      </c>
    </row>
    <row r="4243" spans="1:8" x14ac:dyDescent="0.3">
      <c r="A4243" t="s">
        <v>1886</v>
      </c>
      <c r="B4243" t="s">
        <v>1887</v>
      </c>
      <c r="C4243">
        <v>33</v>
      </c>
      <c r="D4243" t="s">
        <v>1447</v>
      </c>
      <c r="E4243" t="s">
        <v>1890</v>
      </c>
      <c r="F4243" t="s">
        <v>1748</v>
      </c>
      <c r="H4243" t="str">
        <f>IF(ISBLANK('Q 5'!H1176),"",IF('Q 5'!H1176="&lt;please select&gt;","",'Q 5'!H1176))</f>
        <v/>
      </c>
    </row>
    <row r="4244" spans="1:8" x14ac:dyDescent="0.3">
      <c r="A4244" t="s">
        <v>1886</v>
      </c>
      <c r="B4244" t="s">
        <v>1887</v>
      </c>
      <c r="C4244">
        <v>34</v>
      </c>
      <c r="D4244" t="s">
        <v>1447</v>
      </c>
      <c r="E4244" t="s">
        <v>1890</v>
      </c>
      <c r="F4244" t="s">
        <v>1748</v>
      </c>
      <c r="H4244" t="str">
        <f>IF(ISBLANK('Q 5'!H1177),"",IF('Q 5'!H1177="&lt;please select&gt;","",'Q 5'!H1177))</f>
        <v/>
      </c>
    </row>
    <row r="4245" spans="1:8" x14ac:dyDescent="0.3">
      <c r="A4245" t="s">
        <v>1886</v>
      </c>
      <c r="B4245" t="s">
        <v>1887</v>
      </c>
      <c r="C4245">
        <v>35</v>
      </c>
      <c r="D4245" t="s">
        <v>1447</v>
      </c>
      <c r="E4245" t="s">
        <v>1890</v>
      </c>
      <c r="F4245" t="s">
        <v>1748</v>
      </c>
      <c r="H4245" t="str">
        <f>IF(ISBLANK('Q 5'!H1178),"",IF('Q 5'!H1178="&lt;please select&gt;","",'Q 5'!H1178))</f>
        <v/>
      </c>
    </row>
    <row r="4246" spans="1:8" x14ac:dyDescent="0.3">
      <c r="A4246" t="s">
        <v>1886</v>
      </c>
      <c r="B4246" t="s">
        <v>1887</v>
      </c>
      <c r="C4246">
        <v>36</v>
      </c>
      <c r="D4246" t="s">
        <v>1447</v>
      </c>
      <c r="E4246" t="s">
        <v>1890</v>
      </c>
      <c r="F4246" t="s">
        <v>1748</v>
      </c>
      <c r="H4246" t="str">
        <f>IF(ISBLANK('Q 5'!H1179),"",IF('Q 5'!H1179="&lt;please select&gt;","",'Q 5'!H1179))</f>
        <v/>
      </c>
    </row>
    <row r="4247" spans="1:8" x14ac:dyDescent="0.3">
      <c r="A4247" t="s">
        <v>1886</v>
      </c>
      <c r="B4247" t="s">
        <v>1887</v>
      </c>
      <c r="C4247">
        <v>37</v>
      </c>
      <c r="D4247" t="s">
        <v>1447</v>
      </c>
      <c r="E4247" t="s">
        <v>1890</v>
      </c>
      <c r="F4247" t="s">
        <v>1748</v>
      </c>
      <c r="H4247" t="str">
        <f>IF(ISBLANK('Q 5'!H1180),"",IF('Q 5'!H1180="&lt;please select&gt;","",'Q 5'!H1180))</f>
        <v/>
      </c>
    </row>
    <row r="4248" spans="1:8" x14ac:dyDescent="0.3">
      <c r="A4248" t="s">
        <v>1886</v>
      </c>
      <c r="B4248" t="s">
        <v>1887</v>
      </c>
      <c r="C4248">
        <v>38</v>
      </c>
      <c r="D4248" t="s">
        <v>1447</v>
      </c>
      <c r="E4248" t="s">
        <v>1890</v>
      </c>
      <c r="F4248" t="s">
        <v>1748</v>
      </c>
      <c r="H4248" t="str">
        <f>IF(ISBLANK('Q 5'!H1181),"",IF('Q 5'!H1181="&lt;please select&gt;","",'Q 5'!H1181))</f>
        <v/>
      </c>
    </row>
    <row r="4249" spans="1:8" x14ac:dyDescent="0.3">
      <c r="A4249" t="s">
        <v>1886</v>
      </c>
      <c r="B4249" t="s">
        <v>1887</v>
      </c>
      <c r="C4249">
        <v>39</v>
      </c>
      <c r="D4249" t="s">
        <v>1447</v>
      </c>
      <c r="E4249" t="s">
        <v>1890</v>
      </c>
      <c r="F4249" t="s">
        <v>1748</v>
      </c>
      <c r="H4249" t="str">
        <f>IF(ISBLANK('Q 5'!H1182),"",IF('Q 5'!H1182="&lt;please select&gt;","",'Q 5'!H1182))</f>
        <v/>
      </c>
    </row>
    <row r="4250" spans="1:8" x14ac:dyDescent="0.3">
      <c r="A4250" t="s">
        <v>1886</v>
      </c>
      <c r="B4250" t="s">
        <v>1887</v>
      </c>
      <c r="C4250">
        <v>40</v>
      </c>
      <c r="D4250" t="s">
        <v>1447</v>
      </c>
      <c r="E4250" t="s">
        <v>1890</v>
      </c>
      <c r="F4250" t="s">
        <v>1748</v>
      </c>
      <c r="H4250" t="str">
        <f>IF(ISBLANK('Q 5'!H1183),"",IF('Q 5'!H1183="&lt;please select&gt;","",'Q 5'!H1183))</f>
        <v/>
      </c>
    </row>
    <row r="4251" spans="1:8" x14ac:dyDescent="0.3">
      <c r="A4251" t="s">
        <v>1886</v>
      </c>
      <c r="B4251" t="s">
        <v>1887</v>
      </c>
      <c r="C4251">
        <v>41</v>
      </c>
      <c r="D4251" t="s">
        <v>1447</v>
      </c>
      <c r="E4251" t="s">
        <v>1890</v>
      </c>
      <c r="F4251" t="s">
        <v>1748</v>
      </c>
      <c r="H4251" t="str">
        <f>IF(ISBLANK('Q 5'!H1184),"",IF('Q 5'!H1184="&lt;please select&gt;","",'Q 5'!H1184))</f>
        <v/>
      </c>
    </row>
    <row r="4252" spans="1:8" x14ac:dyDescent="0.3">
      <c r="A4252" t="s">
        <v>1886</v>
      </c>
      <c r="B4252" t="s">
        <v>1887</v>
      </c>
      <c r="C4252">
        <v>42</v>
      </c>
      <c r="D4252" t="s">
        <v>1447</v>
      </c>
      <c r="E4252" t="s">
        <v>1890</v>
      </c>
      <c r="F4252" t="s">
        <v>1748</v>
      </c>
      <c r="H4252" t="str">
        <f>IF(ISBLANK('Q 5'!H1185),"",IF('Q 5'!H1185="&lt;please select&gt;","",'Q 5'!H1185))</f>
        <v/>
      </c>
    </row>
    <row r="4253" spans="1:8" x14ac:dyDescent="0.3">
      <c r="A4253" t="s">
        <v>1886</v>
      </c>
      <c r="B4253" t="s">
        <v>1887</v>
      </c>
      <c r="C4253">
        <v>43</v>
      </c>
      <c r="D4253" t="s">
        <v>1447</v>
      </c>
      <c r="E4253" t="s">
        <v>1890</v>
      </c>
      <c r="F4253" t="s">
        <v>1748</v>
      </c>
      <c r="H4253" t="str">
        <f>IF(ISBLANK('Q 5'!H1186),"",IF('Q 5'!H1186="&lt;please select&gt;","",'Q 5'!H1186))</f>
        <v/>
      </c>
    </row>
    <row r="4254" spans="1:8" x14ac:dyDescent="0.3">
      <c r="A4254" t="s">
        <v>1886</v>
      </c>
      <c r="B4254" t="s">
        <v>1887</v>
      </c>
      <c r="C4254">
        <v>44</v>
      </c>
      <c r="D4254" t="s">
        <v>1447</v>
      </c>
      <c r="E4254" t="s">
        <v>1890</v>
      </c>
      <c r="F4254" t="s">
        <v>1748</v>
      </c>
      <c r="H4254" t="str">
        <f>IF(ISBLANK('Q 5'!H1187),"",IF('Q 5'!H1187="&lt;please select&gt;","",'Q 5'!H1187))</f>
        <v/>
      </c>
    </row>
    <row r="4255" spans="1:8" x14ac:dyDescent="0.3">
      <c r="A4255" t="s">
        <v>1886</v>
      </c>
      <c r="B4255" t="s">
        <v>1887</v>
      </c>
      <c r="C4255">
        <v>45</v>
      </c>
      <c r="D4255" t="s">
        <v>1447</v>
      </c>
      <c r="E4255" t="s">
        <v>1890</v>
      </c>
      <c r="F4255" t="s">
        <v>1748</v>
      </c>
      <c r="H4255" t="str">
        <f>IF(ISBLANK('Q 5'!H1188),"",IF('Q 5'!H1188="&lt;please select&gt;","",'Q 5'!H1188))</f>
        <v/>
      </c>
    </row>
    <row r="4256" spans="1:8" x14ac:dyDescent="0.3">
      <c r="A4256" t="s">
        <v>1886</v>
      </c>
      <c r="B4256" t="s">
        <v>1887</v>
      </c>
      <c r="C4256">
        <v>46</v>
      </c>
      <c r="D4256" t="s">
        <v>1447</v>
      </c>
      <c r="E4256" t="s">
        <v>1890</v>
      </c>
      <c r="F4256" t="s">
        <v>1748</v>
      </c>
      <c r="H4256" t="str">
        <f>IF(ISBLANK('Q 5'!H1189),"",IF('Q 5'!H1189="&lt;please select&gt;","",'Q 5'!H1189))</f>
        <v/>
      </c>
    </row>
    <row r="4257" spans="1:8" x14ac:dyDescent="0.3">
      <c r="A4257" t="s">
        <v>1886</v>
      </c>
      <c r="B4257" t="s">
        <v>1887</v>
      </c>
      <c r="C4257">
        <v>47</v>
      </c>
      <c r="D4257" t="s">
        <v>1447</v>
      </c>
      <c r="E4257" t="s">
        <v>1890</v>
      </c>
      <c r="F4257" t="s">
        <v>1748</v>
      </c>
      <c r="H4257" t="str">
        <f>IF(ISBLANK('Q 5'!H1190),"",IF('Q 5'!H1190="&lt;please select&gt;","",'Q 5'!H1190))</f>
        <v/>
      </c>
    </row>
    <row r="4258" spans="1:8" x14ac:dyDescent="0.3">
      <c r="A4258" t="s">
        <v>1886</v>
      </c>
      <c r="B4258" t="s">
        <v>1887</v>
      </c>
      <c r="C4258">
        <v>48</v>
      </c>
      <c r="D4258" t="s">
        <v>1447</v>
      </c>
      <c r="E4258" t="s">
        <v>1890</v>
      </c>
      <c r="F4258" t="s">
        <v>1748</v>
      </c>
      <c r="H4258" t="str">
        <f>IF(ISBLANK('Q 5'!H1191),"",IF('Q 5'!H1191="&lt;please select&gt;","",'Q 5'!H1191))</f>
        <v/>
      </c>
    </row>
    <row r="4259" spans="1:8" x14ac:dyDescent="0.3">
      <c r="A4259" t="s">
        <v>1886</v>
      </c>
      <c r="B4259" t="s">
        <v>1887</v>
      </c>
      <c r="C4259">
        <v>49</v>
      </c>
      <c r="D4259" t="s">
        <v>1447</v>
      </c>
      <c r="E4259" t="s">
        <v>1890</v>
      </c>
      <c r="F4259" t="s">
        <v>1748</v>
      </c>
      <c r="H4259" t="str">
        <f>IF(ISBLANK('Q 5'!H1192),"",IF('Q 5'!H1192="&lt;please select&gt;","",'Q 5'!H1192))</f>
        <v/>
      </c>
    </row>
    <row r="4260" spans="1:8" x14ac:dyDescent="0.3">
      <c r="A4260" t="s">
        <v>1886</v>
      </c>
      <c r="B4260" t="s">
        <v>1887</v>
      </c>
      <c r="C4260">
        <v>50</v>
      </c>
      <c r="D4260" t="s">
        <v>1447</v>
      </c>
      <c r="E4260" t="s">
        <v>1890</v>
      </c>
      <c r="F4260" t="s">
        <v>1748</v>
      </c>
      <c r="H4260" t="str">
        <f>IF(ISBLANK('Q 5'!H1193),"",IF('Q 5'!H1193="&lt;please select&gt;","",'Q 5'!H1193))</f>
        <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
      </c>
    </row>
    <row r="4282" spans="1:8" x14ac:dyDescent="0.3">
      <c r="A4282" t="s">
        <v>1886</v>
      </c>
      <c r="B4282" t="s">
        <v>1887</v>
      </c>
      <c r="C4282">
        <v>2</v>
      </c>
      <c r="D4282" t="s">
        <v>1447</v>
      </c>
      <c r="E4282" t="s">
        <v>1891</v>
      </c>
      <c r="F4282" t="s">
        <v>1748</v>
      </c>
      <c r="H4282" t="str">
        <f>IF(ISBLANK('Q 5'!I1145),"",IF('Q 5'!I1145="&lt;please select&gt;","",'Q 5'!I1145))</f>
        <v/>
      </c>
    </row>
    <row r="4283" spans="1:8" x14ac:dyDescent="0.3">
      <c r="A4283" t="s">
        <v>1886</v>
      </c>
      <c r="B4283" t="s">
        <v>1887</v>
      </c>
      <c r="C4283">
        <v>3</v>
      </c>
      <c r="D4283" t="s">
        <v>1447</v>
      </c>
      <c r="E4283" t="s">
        <v>1891</v>
      </c>
      <c r="F4283" t="s">
        <v>1748</v>
      </c>
      <c r="H4283" t="str">
        <f>IF(ISBLANK('Q 5'!I1146),"",IF('Q 5'!I1146="&lt;please select&gt;","",'Q 5'!I1146))</f>
        <v/>
      </c>
    </row>
    <row r="4284" spans="1:8" x14ac:dyDescent="0.3">
      <c r="A4284" t="s">
        <v>1886</v>
      </c>
      <c r="B4284" t="s">
        <v>1887</v>
      </c>
      <c r="C4284">
        <v>4</v>
      </c>
      <c r="D4284" t="s">
        <v>1447</v>
      </c>
      <c r="E4284" t="s">
        <v>1891</v>
      </c>
      <c r="F4284" t="s">
        <v>1748</v>
      </c>
      <c r="H4284" t="str">
        <f>IF(ISBLANK('Q 5'!I1147),"",IF('Q 5'!I1147="&lt;please select&gt;","",'Q 5'!I1147))</f>
        <v/>
      </c>
    </row>
    <row r="4285" spans="1:8" x14ac:dyDescent="0.3">
      <c r="A4285" t="s">
        <v>1886</v>
      </c>
      <c r="B4285" t="s">
        <v>1887</v>
      </c>
      <c r="C4285">
        <v>5</v>
      </c>
      <c r="D4285" t="s">
        <v>1447</v>
      </c>
      <c r="E4285" t="s">
        <v>1891</v>
      </c>
      <c r="F4285" t="s">
        <v>1748</v>
      </c>
      <c r="H4285" t="str">
        <f>IF(ISBLANK('Q 5'!I1148),"",IF('Q 5'!I1148="&lt;please select&gt;","",'Q 5'!I1148))</f>
        <v/>
      </c>
    </row>
    <row r="4286" spans="1:8" x14ac:dyDescent="0.3">
      <c r="A4286" t="s">
        <v>1886</v>
      </c>
      <c r="B4286" t="s">
        <v>1887</v>
      </c>
      <c r="C4286">
        <v>6</v>
      </c>
      <c r="D4286" t="s">
        <v>1447</v>
      </c>
      <c r="E4286" t="s">
        <v>1891</v>
      </c>
      <c r="F4286" t="s">
        <v>1748</v>
      </c>
      <c r="H4286" t="str">
        <f>IF(ISBLANK('Q 5'!I1149),"",IF('Q 5'!I1149="&lt;please select&gt;","",'Q 5'!I1149))</f>
        <v/>
      </c>
    </row>
    <row r="4287" spans="1:8" x14ac:dyDescent="0.3">
      <c r="A4287" t="s">
        <v>1886</v>
      </c>
      <c r="B4287" t="s">
        <v>1887</v>
      </c>
      <c r="C4287">
        <v>7</v>
      </c>
      <c r="D4287" t="s">
        <v>1447</v>
      </c>
      <c r="E4287" t="s">
        <v>1891</v>
      </c>
      <c r="F4287" t="s">
        <v>1748</v>
      </c>
      <c r="H4287" t="str">
        <f>IF(ISBLANK('Q 5'!I1150),"",IF('Q 5'!I1150="&lt;please select&gt;","",'Q 5'!I1150))</f>
        <v/>
      </c>
    </row>
    <row r="4288" spans="1:8" x14ac:dyDescent="0.3">
      <c r="A4288" t="s">
        <v>1886</v>
      </c>
      <c r="B4288" t="s">
        <v>1887</v>
      </c>
      <c r="C4288">
        <v>8</v>
      </c>
      <c r="D4288" t="s">
        <v>1447</v>
      </c>
      <c r="E4288" t="s">
        <v>1891</v>
      </c>
      <c r="F4288" t="s">
        <v>1748</v>
      </c>
      <c r="H4288" t="str">
        <f>IF(ISBLANK('Q 5'!I1151),"",IF('Q 5'!I1151="&lt;please select&gt;","",'Q 5'!I1151))</f>
        <v/>
      </c>
    </row>
    <row r="4289" spans="1:8" x14ac:dyDescent="0.3">
      <c r="A4289" t="s">
        <v>1886</v>
      </c>
      <c r="B4289" t="s">
        <v>1887</v>
      </c>
      <c r="C4289">
        <v>9</v>
      </c>
      <c r="D4289" t="s">
        <v>1447</v>
      </c>
      <c r="E4289" t="s">
        <v>1891</v>
      </c>
      <c r="F4289" t="s">
        <v>1748</v>
      </c>
      <c r="H4289" t="str">
        <f>IF(ISBLANK('Q 5'!I1152),"",IF('Q 5'!I1152="&lt;please select&gt;","",'Q 5'!I1152))</f>
        <v/>
      </c>
    </row>
    <row r="4290" spans="1:8" x14ac:dyDescent="0.3">
      <c r="A4290" t="s">
        <v>1886</v>
      </c>
      <c r="B4290" t="s">
        <v>1887</v>
      </c>
      <c r="C4290">
        <v>10</v>
      </c>
      <c r="D4290" t="s">
        <v>1447</v>
      </c>
      <c r="E4290" t="s">
        <v>1891</v>
      </c>
      <c r="F4290" t="s">
        <v>1748</v>
      </c>
      <c r="H4290" t="str">
        <f>IF(ISBLANK('Q 5'!I1153),"",IF('Q 5'!I1153="&lt;please select&gt;","",'Q 5'!I1153))</f>
        <v/>
      </c>
    </row>
    <row r="4291" spans="1:8" x14ac:dyDescent="0.3">
      <c r="A4291" t="s">
        <v>1886</v>
      </c>
      <c r="B4291" t="s">
        <v>1887</v>
      </c>
      <c r="C4291">
        <v>11</v>
      </c>
      <c r="D4291" t="s">
        <v>1447</v>
      </c>
      <c r="E4291" t="s">
        <v>1891</v>
      </c>
      <c r="F4291" t="s">
        <v>1748</v>
      </c>
      <c r="H4291" t="str">
        <f>IF(ISBLANK('Q 5'!I1154),"",IF('Q 5'!I1154="&lt;please select&gt;","",'Q 5'!I1154))</f>
        <v/>
      </c>
    </row>
    <row r="4292" spans="1:8" x14ac:dyDescent="0.3">
      <c r="A4292" t="s">
        <v>1886</v>
      </c>
      <c r="B4292" t="s">
        <v>1887</v>
      </c>
      <c r="C4292">
        <v>12</v>
      </c>
      <c r="D4292" t="s">
        <v>1447</v>
      </c>
      <c r="E4292" t="s">
        <v>1891</v>
      </c>
      <c r="F4292" t="s">
        <v>1748</v>
      </c>
      <c r="H4292" t="str">
        <f>IF(ISBLANK('Q 5'!I1155),"",IF('Q 5'!I1155="&lt;please select&gt;","",'Q 5'!I1155))</f>
        <v/>
      </c>
    </row>
    <row r="4293" spans="1:8" x14ac:dyDescent="0.3">
      <c r="A4293" t="s">
        <v>1886</v>
      </c>
      <c r="B4293" t="s">
        <v>1887</v>
      </c>
      <c r="C4293">
        <v>13</v>
      </c>
      <c r="D4293" t="s">
        <v>1447</v>
      </c>
      <c r="E4293" t="s">
        <v>1891</v>
      </c>
      <c r="F4293" t="s">
        <v>1748</v>
      </c>
      <c r="H4293" t="str">
        <f>IF(ISBLANK('Q 5'!I1156),"",IF('Q 5'!I1156="&lt;please select&gt;","",'Q 5'!I1156))</f>
        <v/>
      </c>
    </row>
    <row r="4294" spans="1:8" x14ac:dyDescent="0.3">
      <c r="A4294" t="s">
        <v>1886</v>
      </c>
      <c r="B4294" t="s">
        <v>1887</v>
      </c>
      <c r="C4294">
        <v>14</v>
      </c>
      <c r="D4294" t="s">
        <v>1447</v>
      </c>
      <c r="E4294" t="s">
        <v>1891</v>
      </c>
      <c r="F4294" t="s">
        <v>1748</v>
      </c>
      <c r="H4294" t="str">
        <f>IF(ISBLANK('Q 5'!I1157),"",IF('Q 5'!I1157="&lt;please select&gt;","",'Q 5'!I1157))</f>
        <v/>
      </c>
    </row>
    <row r="4295" spans="1:8" x14ac:dyDescent="0.3">
      <c r="A4295" t="s">
        <v>1886</v>
      </c>
      <c r="B4295" t="s">
        <v>1887</v>
      </c>
      <c r="C4295">
        <v>15</v>
      </c>
      <c r="D4295" t="s">
        <v>1447</v>
      </c>
      <c r="E4295" t="s">
        <v>1891</v>
      </c>
      <c r="F4295" t="s">
        <v>1748</v>
      </c>
      <c r="H4295" t="str">
        <f>IF(ISBLANK('Q 5'!I1158),"",IF('Q 5'!I1158="&lt;please select&gt;","",'Q 5'!I1158))</f>
        <v/>
      </c>
    </row>
    <row r="4296" spans="1:8" x14ac:dyDescent="0.3">
      <c r="A4296" t="s">
        <v>1886</v>
      </c>
      <c r="B4296" t="s">
        <v>1887</v>
      </c>
      <c r="C4296">
        <v>16</v>
      </c>
      <c r="D4296" t="s">
        <v>1447</v>
      </c>
      <c r="E4296" t="s">
        <v>1891</v>
      </c>
      <c r="F4296" t="s">
        <v>1748</v>
      </c>
      <c r="H4296" t="str">
        <f>IF(ISBLANK('Q 5'!I1159),"",IF('Q 5'!I1159="&lt;please select&gt;","",'Q 5'!I1159))</f>
        <v/>
      </c>
    </row>
    <row r="4297" spans="1:8" x14ac:dyDescent="0.3">
      <c r="A4297" t="s">
        <v>1886</v>
      </c>
      <c r="B4297" t="s">
        <v>1887</v>
      </c>
      <c r="C4297">
        <v>17</v>
      </c>
      <c r="D4297" t="s">
        <v>1447</v>
      </c>
      <c r="E4297" t="s">
        <v>1891</v>
      </c>
      <c r="F4297" t="s">
        <v>1748</v>
      </c>
      <c r="H4297" t="str">
        <f>IF(ISBLANK('Q 5'!I1160),"",IF('Q 5'!I1160="&lt;please select&gt;","",'Q 5'!I1160))</f>
        <v/>
      </c>
    </row>
    <row r="4298" spans="1:8" x14ac:dyDescent="0.3">
      <c r="A4298" t="s">
        <v>1886</v>
      </c>
      <c r="B4298" t="s">
        <v>1887</v>
      </c>
      <c r="C4298">
        <v>18</v>
      </c>
      <c r="D4298" t="s">
        <v>1447</v>
      </c>
      <c r="E4298" t="s">
        <v>1891</v>
      </c>
      <c r="F4298" t="s">
        <v>1748</v>
      </c>
      <c r="H4298" t="str">
        <f>IF(ISBLANK('Q 5'!I1161),"",IF('Q 5'!I1161="&lt;please select&gt;","",'Q 5'!I1161))</f>
        <v/>
      </c>
    </row>
    <row r="4299" spans="1:8" x14ac:dyDescent="0.3">
      <c r="A4299" t="s">
        <v>1886</v>
      </c>
      <c r="B4299" t="s">
        <v>1887</v>
      </c>
      <c r="C4299">
        <v>19</v>
      </c>
      <c r="D4299" t="s">
        <v>1447</v>
      </c>
      <c r="E4299" t="s">
        <v>1891</v>
      </c>
      <c r="F4299" t="s">
        <v>1748</v>
      </c>
      <c r="H4299" t="str">
        <f>IF(ISBLANK('Q 5'!I1162),"",IF('Q 5'!I1162="&lt;please select&gt;","",'Q 5'!I1162))</f>
        <v/>
      </c>
    </row>
    <row r="4300" spans="1:8" x14ac:dyDescent="0.3">
      <c r="A4300" t="s">
        <v>1886</v>
      </c>
      <c r="B4300" t="s">
        <v>1887</v>
      </c>
      <c r="C4300">
        <v>20</v>
      </c>
      <c r="D4300" t="s">
        <v>1447</v>
      </c>
      <c r="E4300" t="s">
        <v>1891</v>
      </c>
      <c r="F4300" t="s">
        <v>1748</v>
      </c>
      <c r="H4300" t="str">
        <f>IF(ISBLANK('Q 5'!I1163),"",IF('Q 5'!I1163="&lt;please select&gt;","",'Q 5'!I1163))</f>
        <v/>
      </c>
    </row>
    <row r="4301" spans="1:8" x14ac:dyDescent="0.3">
      <c r="A4301" t="s">
        <v>1886</v>
      </c>
      <c r="B4301" t="s">
        <v>1887</v>
      </c>
      <c r="C4301">
        <v>21</v>
      </c>
      <c r="D4301" t="s">
        <v>1447</v>
      </c>
      <c r="E4301" t="s">
        <v>1891</v>
      </c>
      <c r="F4301" t="s">
        <v>1748</v>
      </c>
      <c r="H4301" t="str">
        <f>IF(ISBLANK('Q 5'!I1164),"",IF('Q 5'!I1164="&lt;please select&gt;","",'Q 5'!I1164))</f>
        <v/>
      </c>
    </row>
    <row r="4302" spans="1:8" x14ac:dyDescent="0.3">
      <c r="A4302" t="s">
        <v>1886</v>
      </c>
      <c r="B4302" t="s">
        <v>1887</v>
      </c>
      <c r="C4302">
        <v>22</v>
      </c>
      <c r="D4302" t="s">
        <v>1447</v>
      </c>
      <c r="E4302" t="s">
        <v>1891</v>
      </c>
      <c r="F4302" t="s">
        <v>1748</v>
      </c>
      <c r="H4302" t="str">
        <f>IF(ISBLANK('Q 5'!I1165),"",IF('Q 5'!I1165="&lt;please select&gt;","",'Q 5'!I1165))</f>
        <v/>
      </c>
    </row>
    <row r="4303" spans="1:8" x14ac:dyDescent="0.3">
      <c r="A4303" t="s">
        <v>1886</v>
      </c>
      <c r="B4303" t="s">
        <v>1887</v>
      </c>
      <c r="C4303">
        <v>23</v>
      </c>
      <c r="D4303" t="s">
        <v>1447</v>
      </c>
      <c r="E4303" t="s">
        <v>1891</v>
      </c>
      <c r="F4303" t="s">
        <v>1748</v>
      </c>
      <c r="H4303" t="str">
        <f>IF(ISBLANK('Q 5'!I1166),"",IF('Q 5'!I1166="&lt;please select&gt;","",'Q 5'!I1166))</f>
        <v/>
      </c>
    </row>
    <row r="4304" spans="1:8" x14ac:dyDescent="0.3">
      <c r="A4304" t="s">
        <v>1886</v>
      </c>
      <c r="B4304" t="s">
        <v>1887</v>
      </c>
      <c r="C4304">
        <v>24</v>
      </c>
      <c r="D4304" t="s">
        <v>1447</v>
      </c>
      <c r="E4304" t="s">
        <v>1891</v>
      </c>
      <c r="F4304" t="s">
        <v>1748</v>
      </c>
      <c r="H4304" t="str">
        <f>IF(ISBLANK('Q 5'!I1167),"",IF('Q 5'!I1167="&lt;please select&gt;","",'Q 5'!I1167))</f>
        <v/>
      </c>
    </row>
    <row r="4305" spans="1:8" x14ac:dyDescent="0.3">
      <c r="A4305" t="s">
        <v>1886</v>
      </c>
      <c r="B4305" t="s">
        <v>1887</v>
      </c>
      <c r="C4305">
        <v>25</v>
      </c>
      <c r="D4305" t="s">
        <v>1447</v>
      </c>
      <c r="E4305" t="s">
        <v>1891</v>
      </c>
      <c r="F4305" t="s">
        <v>1748</v>
      </c>
      <c r="H4305" t="str">
        <f>IF(ISBLANK('Q 5'!I1168),"",IF('Q 5'!I1168="&lt;please select&gt;","",'Q 5'!I1168))</f>
        <v/>
      </c>
    </row>
    <row r="4306" spans="1:8" x14ac:dyDescent="0.3">
      <c r="A4306" t="s">
        <v>1886</v>
      </c>
      <c r="B4306" t="s">
        <v>1887</v>
      </c>
      <c r="C4306">
        <v>26</v>
      </c>
      <c r="D4306" t="s">
        <v>1447</v>
      </c>
      <c r="E4306" t="s">
        <v>1891</v>
      </c>
      <c r="F4306" t="s">
        <v>1748</v>
      </c>
      <c r="H4306" t="str">
        <f>IF(ISBLANK('Q 5'!I1169),"",IF('Q 5'!I1169="&lt;please select&gt;","",'Q 5'!I1169))</f>
        <v/>
      </c>
    </row>
    <row r="4307" spans="1:8" x14ac:dyDescent="0.3">
      <c r="A4307" t="s">
        <v>1886</v>
      </c>
      <c r="B4307" t="s">
        <v>1887</v>
      </c>
      <c r="C4307">
        <v>27</v>
      </c>
      <c r="D4307" t="s">
        <v>1447</v>
      </c>
      <c r="E4307" t="s">
        <v>1891</v>
      </c>
      <c r="F4307" t="s">
        <v>1748</v>
      </c>
      <c r="H4307" t="str">
        <f>IF(ISBLANK('Q 5'!I1170),"",IF('Q 5'!I1170="&lt;please select&gt;","",'Q 5'!I1170))</f>
        <v/>
      </c>
    </row>
    <row r="4308" spans="1:8" x14ac:dyDescent="0.3">
      <c r="A4308" t="s">
        <v>1886</v>
      </c>
      <c r="B4308" t="s">
        <v>1887</v>
      </c>
      <c r="C4308">
        <v>28</v>
      </c>
      <c r="D4308" t="s">
        <v>1447</v>
      </c>
      <c r="E4308" t="s">
        <v>1891</v>
      </c>
      <c r="F4308" t="s">
        <v>1748</v>
      </c>
      <c r="H4308" t="str">
        <f>IF(ISBLANK('Q 5'!I1171),"",IF('Q 5'!I1171="&lt;please select&gt;","",'Q 5'!I1171))</f>
        <v/>
      </c>
    </row>
    <row r="4309" spans="1:8" x14ac:dyDescent="0.3">
      <c r="A4309" t="s">
        <v>1886</v>
      </c>
      <c r="B4309" t="s">
        <v>1887</v>
      </c>
      <c r="C4309">
        <v>29</v>
      </c>
      <c r="D4309" t="s">
        <v>1447</v>
      </c>
      <c r="E4309" t="s">
        <v>1891</v>
      </c>
      <c r="F4309" t="s">
        <v>1748</v>
      </c>
      <c r="H4309" t="str">
        <f>IF(ISBLANK('Q 5'!I1172),"",IF('Q 5'!I1172="&lt;please select&gt;","",'Q 5'!I1172))</f>
        <v/>
      </c>
    </row>
    <row r="4310" spans="1:8" x14ac:dyDescent="0.3">
      <c r="A4310" t="s">
        <v>1886</v>
      </c>
      <c r="B4310" t="s">
        <v>1887</v>
      </c>
      <c r="C4310">
        <v>30</v>
      </c>
      <c r="D4310" t="s">
        <v>1447</v>
      </c>
      <c r="E4310" t="s">
        <v>1891</v>
      </c>
      <c r="F4310" t="s">
        <v>1748</v>
      </c>
      <c r="H4310" t="str">
        <f>IF(ISBLANK('Q 5'!I1173),"",IF('Q 5'!I1173="&lt;please select&gt;","",'Q 5'!I1173))</f>
        <v/>
      </c>
    </row>
    <row r="4311" spans="1:8" x14ac:dyDescent="0.3">
      <c r="A4311" t="s">
        <v>1886</v>
      </c>
      <c r="B4311" t="s">
        <v>1887</v>
      </c>
      <c r="C4311">
        <v>31</v>
      </c>
      <c r="D4311" t="s">
        <v>1447</v>
      </c>
      <c r="E4311" t="s">
        <v>1891</v>
      </c>
      <c r="F4311" t="s">
        <v>1748</v>
      </c>
      <c r="H4311" t="str">
        <f>IF(ISBLANK('Q 5'!I1174),"",IF('Q 5'!I1174="&lt;please select&gt;","",'Q 5'!I1174))</f>
        <v/>
      </c>
    </row>
    <row r="4312" spans="1:8" x14ac:dyDescent="0.3">
      <c r="A4312" t="s">
        <v>1886</v>
      </c>
      <c r="B4312" t="s">
        <v>1887</v>
      </c>
      <c r="C4312">
        <v>32</v>
      </c>
      <c r="D4312" t="s">
        <v>1447</v>
      </c>
      <c r="E4312" t="s">
        <v>1891</v>
      </c>
      <c r="F4312" t="s">
        <v>1748</v>
      </c>
      <c r="H4312" t="str">
        <f>IF(ISBLANK('Q 5'!I1175),"",IF('Q 5'!I1175="&lt;please select&gt;","",'Q 5'!I1175))</f>
        <v/>
      </c>
    </row>
    <row r="4313" spans="1:8" x14ac:dyDescent="0.3">
      <c r="A4313" t="s">
        <v>1886</v>
      </c>
      <c r="B4313" t="s">
        <v>1887</v>
      </c>
      <c r="C4313">
        <v>33</v>
      </c>
      <c r="D4313" t="s">
        <v>1447</v>
      </c>
      <c r="E4313" t="s">
        <v>1891</v>
      </c>
      <c r="F4313" t="s">
        <v>1748</v>
      </c>
      <c r="H4313" t="str">
        <f>IF(ISBLANK('Q 5'!I1176),"",IF('Q 5'!I1176="&lt;please select&gt;","",'Q 5'!I1176))</f>
        <v/>
      </c>
    </row>
    <row r="4314" spans="1:8" x14ac:dyDescent="0.3">
      <c r="A4314" t="s">
        <v>1886</v>
      </c>
      <c r="B4314" t="s">
        <v>1887</v>
      </c>
      <c r="C4314">
        <v>34</v>
      </c>
      <c r="D4314" t="s">
        <v>1447</v>
      </c>
      <c r="E4314" t="s">
        <v>1891</v>
      </c>
      <c r="F4314" t="s">
        <v>1748</v>
      </c>
      <c r="H4314" t="str">
        <f>IF(ISBLANK('Q 5'!I1177),"",IF('Q 5'!I1177="&lt;please select&gt;","",'Q 5'!I1177))</f>
        <v/>
      </c>
    </row>
    <row r="4315" spans="1:8" x14ac:dyDescent="0.3">
      <c r="A4315" t="s">
        <v>1886</v>
      </c>
      <c r="B4315" t="s">
        <v>1887</v>
      </c>
      <c r="C4315">
        <v>35</v>
      </c>
      <c r="D4315" t="s">
        <v>1447</v>
      </c>
      <c r="E4315" t="s">
        <v>1891</v>
      </c>
      <c r="F4315" t="s">
        <v>1748</v>
      </c>
      <c r="H4315" t="str">
        <f>IF(ISBLANK('Q 5'!I1178),"",IF('Q 5'!I1178="&lt;please select&gt;","",'Q 5'!I1178))</f>
        <v/>
      </c>
    </row>
    <row r="4316" spans="1:8" x14ac:dyDescent="0.3">
      <c r="A4316" t="s">
        <v>1886</v>
      </c>
      <c r="B4316" t="s">
        <v>1887</v>
      </c>
      <c r="C4316">
        <v>36</v>
      </c>
      <c r="D4316" t="s">
        <v>1447</v>
      </c>
      <c r="E4316" t="s">
        <v>1891</v>
      </c>
      <c r="F4316" t="s">
        <v>1748</v>
      </c>
      <c r="H4316" t="str">
        <f>IF(ISBLANK('Q 5'!I1179),"",IF('Q 5'!I1179="&lt;please select&gt;","",'Q 5'!I1179))</f>
        <v/>
      </c>
    </row>
    <row r="4317" spans="1:8" x14ac:dyDescent="0.3">
      <c r="A4317" t="s">
        <v>1886</v>
      </c>
      <c r="B4317" t="s">
        <v>1887</v>
      </c>
      <c r="C4317">
        <v>37</v>
      </c>
      <c r="D4317" t="s">
        <v>1447</v>
      </c>
      <c r="E4317" t="s">
        <v>1891</v>
      </c>
      <c r="F4317" t="s">
        <v>1748</v>
      </c>
      <c r="H4317" t="str">
        <f>IF(ISBLANK('Q 5'!I1180),"",IF('Q 5'!I1180="&lt;please select&gt;","",'Q 5'!I1180))</f>
        <v/>
      </c>
    </row>
    <row r="4318" spans="1:8" x14ac:dyDescent="0.3">
      <c r="A4318" t="s">
        <v>1886</v>
      </c>
      <c r="B4318" t="s">
        <v>1887</v>
      </c>
      <c r="C4318">
        <v>38</v>
      </c>
      <c r="D4318" t="s">
        <v>1447</v>
      </c>
      <c r="E4318" t="s">
        <v>1891</v>
      </c>
      <c r="F4318" t="s">
        <v>1748</v>
      </c>
      <c r="H4318" t="str">
        <f>IF(ISBLANK('Q 5'!I1181),"",IF('Q 5'!I1181="&lt;please select&gt;","",'Q 5'!I1181))</f>
        <v/>
      </c>
    </row>
    <row r="4319" spans="1:8" x14ac:dyDescent="0.3">
      <c r="A4319" t="s">
        <v>1886</v>
      </c>
      <c r="B4319" t="s">
        <v>1887</v>
      </c>
      <c r="C4319">
        <v>39</v>
      </c>
      <c r="D4319" t="s">
        <v>1447</v>
      </c>
      <c r="E4319" t="s">
        <v>1891</v>
      </c>
      <c r="F4319" t="s">
        <v>1748</v>
      </c>
      <c r="H4319" t="str">
        <f>IF(ISBLANK('Q 5'!I1182),"",IF('Q 5'!I1182="&lt;please select&gt;","",'Q 5'!I1182))</f>
        <v/>
      </c>
    </row>
    <row r="4320" spans="1:8" x14ac:dyDescent="0.3">
      <c r="A4320" t="s">
        <v>1886</v>
      </c>
      <c r="B4320" t="s">
        <v>1887</v>
      </c>
      <c r="C4320">
        <v>40</v>
      </c>
      <c r="D4320" t="s">
        <v>1447</v>
      </c>
      <c r="E4320" t="s">
        <v>1891</v>
      </c>
      <c r="F4320" t="s">
        <v>1748</v>
      </c>
      <c r="H4320" t="str">
        <f>IF(ISBLANK('Q 5'!I1183),"",IF('Q 5'!I1183="&lt;please select&gt;","",'Q 5'!I1183))</f>
        <v/>
      </c>
    </row>
    <row r="4321" spans="1:8" x14ac:dyDescent="0.3">
      <c r="A4321" t="s">
        <v>1886</v>
      </c>
      <c r="B4321" t="s">
        <v>1887</v>
      </c>
      <c r="C4321">
        <v>41</v>
      </c>
      <c r="D4321" t="s">
        <v>1447</v>
      </c>
      <c r="E4321" t="s">
        <v>1891</v>
      </c>
      <c r="F4321" t="s">
        <v>1748</v>
      </c>
      <c r="H4321" t="str">
        <f>IF(ISBLANK('Q 5'!I1184),"",IF('Q 5'!I1184="&lt;please select&gt;","",'Q 5'!I1184))</f>
        <v/>
      </c>
    </row>
    <row r="4322" spans="1:8" x14ac:dyDescent="0.3">
      <c r="A4322" t="s">
        <v>1886</v>
      </c>
      <c r="B4322" t="s">
        <v>1887</v>
      </c>
      <c r="C4322">
        <v>42</v>
      </c>
      <c r="D4322" t="s">
        <v>1447</v>
      </c>
      <c r="E4322" t="s">
        <v>1891</v>
      </c>
      <c r="F4322" t="s">
        <v>1748</v>
      </c>
      <c r="H4322" t="str">
        <f>IF(ISBLANK('Q 5'!I1185),"",IF('Q 5'!I1185="&lt;please select&gt;","",'Q 5'!I1185))</f>
        <v/>
      </c>
    </row>
    <row r="4323" spans="1:8" x14ac:dyDescent="0.3">
      <c r="A4323" t="s">
        <v>1886</v>
      </c>
      <c r="B4323" t="s">
        <v>1887</v>
      </c>
      <c r="C4323">
        <v>43</v>
      </c>
      <c r="D4323" t="s">
        <v>1447</v>
      </c>
      <c r="E4323" t="s">
        <v>1891</v>
      </c>
      <c r="F4323" t="s">
        <v>1748</v>
      </c>
      <c r="H4323" t="str">
        <f>IF(ISBLANK('Q 5'!I1186),"",IF('Q 5'!I1186="&lt;please select&gt;","",'Q 5'!I1186))</f>
        <v/>
      </c>
    </row>
    <row r="4324" spans="1:8" x14ac:dyDescent="0.3">
      <c r="A4324" t="s">
        <v>1886</v>
      </c>
      <c r="B4324" t="s">
        <v>1887</v>
      </c>
      <c r="C4324">
        <v>44</v>
      </c>
      <c r="D4324" t="s">
        <v>1447</v>
      </c>
      <c r="E4324" t="s">
        <v>1891</v>
      </c>
      <c r="F4324" t="s">
        <v>1748</v>
      </c>
      <c r="H4324" t="str">
        <f>IF(ISBLANK('Q 5'!I1187),"",IF('Q 5'!I1187="&lt;please select&gt;","",'Q 5'!I1187))</f>
        <v/>
      </c>
    </row>
    <row r="4325" spans="1:8" x14ac:dyDescent="0.3">
      <c r="A4325" t="s">
        <v>1886</v>
      </c>
      <c r="B4325" t="s">
        <v>1887</v>
      </c>
      <c r="C4325">
        <v>45</v>
      </c>
      <c r="D4325" t="s">
        <v>1447</v>
      </c>
      <c r="E4325" t="s">
        <v>1891</v>
      </c>
      <c r="F4325" t="s">
        <v>1748</v>
      </c>
      <c r="H4325" t="str">
        <f>IF(ISBLANK('Q 5'!I1188),"",IF('Q 5'!I1188="&lt;please select&gt;","",'Q 5'!I1188))</f>
        <v/>
      </c>
    </row>
    <row r="4326" spans="1:8" x14ac:dyDescent="0.3">
      <c r="A4326" t="s">
        <v>1886</v>
      </c>
      <c r="B4326" t="s">
        <v>1887</v>
      </c>
      <c r="C4326">
        <v>46</v>
      </c>
      <c r="D4326" t="s">
        <v>1447</v>
      </c>
      <c r="E4326" t="s">
        <v>1891</v>
      </c>
      <c r="F4326" t="s">
        <v>1748</v>
      </c>
      <c r="H4326" t="str">
        <f>IF(ISBLANK('Q 5'!I1189),"",IF('Q 5'!I1189="&lt;please select&gt;","",'Q 5'!I1189))</f>
        <v/>
      </c>
    </row>
    <row r="4327" spans="1:8" x14ac:dyDescent="0.3">
      <c r="A4327" t="s">
        <v>1886</v>
      </c>
      <c r="B4327" t="s">
        <v>1887</v>
      </c>
      <c r="C4327">
        <v>47</v>
      </c>
      <c r="D4327" t="s">
        <v>1447</v>
      </c>
      <c r="E4327" t="s">
        <v>1891</v>
      </c>
      <c r="F4327" t="s">
        <v>1748</v>
      </c>
      <c r="H4327" t="str">
        <f>IF(ISBLANK('Q 5'!I1190),"",IF('Q 5'!I1190="&lt;please select&gt;","",'Q 5'!I1190))</f>
        <v/>
      </c>
    </row>
    <row r="4328" spans="1:8" x14ac:dyDescent="0.3">
      <c r="A4328" t="s">
        <v>1886</v>
      </c>
      <c r="B4328" t="s">
        <v>1887</v>
      </c>
      <c r="C4328">
        <v>48</v>
      </c>
      <c r="D4328" t="s">
        <v>1447</v>
      </c>
      <c r="E4328" t="s">
        <v>1891</v>
      </c>
      <c r="F4328" t="s">
        <v>1748</v>
      </c>
      <c r="H4328" t="str">
        <f>IF(ISBLANK('Q 5'!I1191),"",IF('Q 5'!I1191="&lt;please select&gt;","",'Q 5'!I1191))</f>
        <v/>
      </c>
    </row>
    <row r="4329" spans="1:8" x14ac:dyDescent="0.3">
      <c r="A4329" t="s">
        <v>1886</v>
      </c>
      <c r="B4329" t="s">
        <v>1887</v>
      </c>
      <c r="C4329">
        <v>49</v>
      </c>
      <c r="D4329" t="s">
        <v>1447</v>
      </c>
      <c r="E4329" t="s">
        <v>1891</v>
      </c>
      <c r="F4329" t="s">
        <v>1748</v>
      </c>
      <c r="H4329" t="str">
        <f>IF(ISBLANK('Q 5'!I1192),"",IF('Q 5'!I1192="&lt;please select&gt;","",'Q 5'!I1192))</f>
        <v/>
      </c>
    </row>
    <row r="4330" spans="1:8" x14ac:dyDescent="0.3">
      <c r="A4330" t="s">
        <v>1886</v>
      </c>
      <c r="B4330" t="s">
        <v>1887</v>
      </c>
      <c r="C4330">
        <v>50</v>
      </c>
      <c r="D4330" t="s">
        <v>1447</v>
      </c>
      <c r="E4330" t="s">
        <v>1891</v>
      </c>
      <c r="F4330" t="s">
        <v>1748</v>
      </c>
      <c r="H4330" t="str">
        <f>IF(ISBLANK('Q 5'!I1193),"",IF('Q 5'!I1193="&lt;please select&gt;","",'Q 5'!I1193))</f>
        <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No</v>
      </c>
    </row>
    <row r="4352" spans="1:11" x14ac:dyDescent="0.3">
      <c r="A4352" t="s">
        <v>1892</v>
      </c>
      <c r="B4352" t="s">
        <v>1894</v>
      </c>
      <c r="C4352">
        <v>1</v>
      </c>
      <c r="D4352" t="s">
        <v>1447</v>
      </c>
      <c r="E4352" t="s">
        <v>1895</v>
      </c>
      <c r="F4352" t="s">
        <v>1737</v>
      </c>
      <c r="K4352" t="str">
        <f>IF(ISBLANK('Q 5'!C1220),"",IF('Q 5'!C1220="&lt;please select&gt;","",'Q 5'!C1220))</f>
        <v/>
      </c>
    </row>
    <row r="4353" spans="1:11" x14ac:dyDescent="0.3">
      <c r="A4353" t="s">
        <v>1892</v>
      </c>
      <c r="B4353" t="s">
        <v>1894</v>
      </c>
      <c r="C4353">
        <v>2</v>
      </c>
      <c r="D4353" t="s">
        <v>1447</v>
      </c>
      <c r="E4353" t="s">
        <v>1895</v>
      </c>
      <c r="F4353" t="s">
        <v>1737</v>
      </c>
      <c r="K4353" t="str">
        <f>IF(ISBLANK('Q 5'!C1221),"",IF('Q 5'!C1221="&lt;please select&gt;","",'Q 5'!C1221))</f>
        <v/>
      </c>
    </row>
    <row r="4354" spans="1:11" x14ac:dyDescent="0.3">
      <c r="A4354" t="s">
        <v>1892</v>
      </c>
      <c r="B4354" t="s">
        <v>1894</v>
      </c>
      <c r="C4354">
        <v>3</v>
      </c>
      <c r="D4354" t="s">
        <v>1447</v>
      </c>
      <c r="E4354" t="s">
        <v>1895</v>
      </c>
      <c r="F4354" t="s">
        <v>1737</v>
      </c>
      <c r="K4354" t="str">
        <f>IF(ISBLANK('Q 5'!C1222),"",IF('Q 5'!C1222="&lt;please select&gt;","",'Q 5'!C1222))</f>
        <v/>
      </c>
    </row>
    <row r="4355" spans="1:11" x14ac:dyDescent="0.3">
      <c r="A4355" t="s">
        <v>1892</v>
      </c>
      <c r="B4355" t="s">
        <v>1894</v>
      </c>
      <c r="C4355">
        <v>4</v>
      </c>
      <c r="D4355" t="s">
        <v>1447</v>
      </c>
      <c r="E4355" t="s">
        <v>1895</v>
      </c>
      <c r="F4355" t="s">
        <v>1737</v>
      </c>
      <c r="K4355" t="str">
        <f>IF(ISBLANK('Q 5'!C1223),"",IF('Q 5'!C1223="&lt;please select&gt;","",'Q 5'!C1223))</f>
        <v/>
      </c>
    </row>
    <row r="4356" spans="1:11" x14ac:dyDescent="0.3">
      <c r="A4356" t="s">
        <v>1892</v>
      </c>
      <c r="B4356" t="s">
        <v>1894</v>
      </c>
      <c r="C4356">
        <v>5</v>
      </c>
      <c r="D4356" t="s">
        <v>1447</v>
      </c>
      <c r="E4356" t="s">
        <v>1895</v>
      </c>
      <c r="F4356" t="s">
        <v>1737</v>
      </c>
      <c r="K4356" t="str">
        <f>IF(ISBLANK('Q 5'!C1224),"",IF('Q 5'!C1224="&lt;please select&gt;","",'Q 5'!C1224))</f>
        <v/>
      </c>
    </row>
    <row r="4357" spans="1:11" x14ac:dyDescent="0.3">
      <c r="A4357" t="s">
        <v>1892</v>
      </c>
      <c r="B4357" t="s">
        <v>1894</v>
      </c>
      <c r="C4357">
        <v>6</v>
      </c>
      <c r="D4357" t="s">
        <v>1447</v>
      </c>
      <c r="E4357" t="s">
        <v>1895</v>
      </c>
      <c r="F4357" t="s">
        <v>1737</v>
      </c>
      <c r="K4357" t="str">
        <f>IF(ISBLANK('Q 5'!C1225),"",IF('Q 5'!C1225="&lt;please select&gt;","",'Q 5'!C1225))</f>
        <v/>
      </c>
    </row>
    <row r="4358" spans="1:11" x14ac:dyDescent="0.3">
      <c r="A4358" t="s">
        <v>1892</v>
      </c>
      <c r="B4358" t="s">
        <v>1894</v>
      </c>
      <c r="C4358">
        <v>7</v>
      </c>
      <c r="D4358" t="s">
        <v>1447</v>
      </c>
      <c r="E4358" t="s">
        <v>1895</v>
      </c>
      <c r="F4358" t="s">
        <v>1737</v>
      </c>
      <c r="K4358" t="str">
        <f>IF(ISBLANK('Q 5'!C1226),"",IF('Q 5'!C1226="&lt;please select&gt;","",'Q 5'!C1226))</f>
        <v/>
      </c>
    </row>
    <row r="4359" spans="1:11" x14ac:dyDescent="0.3">
      <c r="A4359" t="s">
        <v>1892</v>
      </c>
      <c r="B4359" t="s">
        <v>1894</v>
      </c>
      <c r="C4359">
        <v>8</v>
      </c>
      <c r="D4359" t="s">
        <v>1447</v>
      </c>
      <c r="E4359" t="s">
        <v>1895</v>
      </c>
      <c r="F4359" t="s">
        <v>1737</v>
      </c>
      <c r="K4359" t="str">
        <f>IF(ISBLANK('Q 5'!C1227),"",IF('Q 5'!C1227="&lt;please select&gt;","",'Q 5'!C1227))</f>
        <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
      </c>
    </row>
    <row r="4450" spans="1:7" x14ac:dyDescent="0.3">
      <c r="A4450" t="s">
        <v>1892</v>
      </c>
      <c r="B4450" t="s">
        <v>1894</v>
      </c>
      <c r="C4450">
        <v>2</v>
      </c>
      <c r="D4450" t="s">
        <v>1447</v>
      </c>
      <c r="E4450" t="s">
        <v>1896</v>
      </c>
      <c r="F4450" t="s">
        <v>1741</v>
      </c>
      <c r="G4450" t="str">
        <f>IF(ISBLANK('Q 5'!D1221),"",IF('Q 5'!D1221="&lt;please select&gt;","",'Q 5'!D1221))</f>
        <v/>
      </c>
    </row>
    <row r="4451" spans="1:7" x14ac:dyDescent="0.3">
      <c r="A4451" t="s">
        <v>1892</v>
      </c>
      <c r="B4451" t="s">
        <v>1894</v>
      </c>
      <c r="C4451">
        <v>3</v>
      </c>
      <c r="D4451" t="s">
        <v>1447</v>
      </c>
      <c r="E4451" t="s">
        <v>1896</v>
      </c>
      <c r="F4451" t="s">
        <v>1741</v>
      </c>
      <c r="G4451" t="str">
        <f>IF(ISBLANK('Q 5'!D1222),"",IF('Q 5'!D1222="&lt;please select&gt;","",'Q 5'!D1222))</f>
        <v/>
      </c>
    </row>
    <row r="4452" spans="1:7" x14ac:dyDescent="0.3">
      <c r="A4452" t="s">
        <v>1892</v>
      </c>
      <c r="B4452" t="s">
        <v>1894</v>
      </c>
      <c r="C4452">
        <v>4</v>
      </c>
      <c r="D4452" t="s">
        <v>1447</v>
      </c>
      <c r="E4452" t="s">
        <v>1896</v>
      </c>
      <c r="F4452" t="s">
        <v>1741</v>
      </c>
      <c r="G4452" t="str">
        <f>IF(ISBLANK('Q 5'!D1223),"",IF('Q 5'!D1223="&lt;please select&gt;","",'Q 5'!D1223))</f>
        <v/>
      </c>
    </row>
    <row r="4453" spans="1:7" x14ac:dyDescent="0.3">
      <c r="A4453" t="s">
        <v>1892</v>
      </c>
      <c r="B4453" t="s">
        <v>1894</v>
      </c>
      <c r="C4453">
        <v>5</v>
      </c>
      <c r="D4453" t="s">
        <v>1447</v>
      </c>
      <c r="E4453" t="s">
        <v>1896</v>
      </c>
      <c r="F4453" t="s">
        <v>1741</v>
      </c>
      <c r="G4453" t="str">
        <f>IF(ISBLANK('Q 5'!D1224),"",IF('Q 5'!D1224="&lt;please select&gt;","",'Q 5'!D1224))</f>
        <v/>
      </c>
    </row>
    <row r="4454" spans="1:7" x14ac:dyDescent="0.3">
      <c r="A4454" t="s">
        <v>1892</v>
      </c>
      <c r="B4454" t="s">
        <v>1894</v>
      </c>
      <c r="C4454">
        <v>6</v>
      </c>
      <c r="D4454" t="s">
        <v>1447</v>
      </c>
      <c r="E4454" t="s">
        <v>1896</v>
      </c>
      <c r="F4454" t="s">
        <v>1741</v>
      </c>
      <c r="G4454" t="str">
        <f>IF(ISBLANK('Q 5'!D1225),"",IF('Q 5'!D1225="&lt;please select&gt;","",'Q 5'!D1225))</f>
        <v/>
      </c>
    </row>
    <row r="4455" spans="1:7" x14ac:dyDescent="0.3">
      <c r="A4455" t="s">
        <v>1892</v>
      </c>
      <c r="B4455" t="s">
        <v>1894</v>
      </c>
      <c r="C4455">
        <v>7</v>
      </c>
      <c r="D4455" t="s">
        <v>1447</v>
      </c>
      <c r="E4455" t="s">
        <v>1896</v>
      </c>
      <c r="F4455" t="s">
        <v>1741</v>
      </c>
      <c r="G4455" t="str">
        <f>IF(ISBLANK('Q 5'!D1226),"",IF('Q 5'!D1226="&lt;please select&gt;","",'Q 5'!D1226))</f>
        <v/>
      </c>
    </row>
    <row r="4456" spans="1:7" x14ac:dyDescent="0.3">
      <c r="A4456" t="s">
        <v>1892</v>
      </c>
      <c r="B4456" t="s">
        <v>1894</v>
      </c>
      <c r="C4456">
        <v>8</v>
      </c>
      <c r="D4456" t="s">
        <v>1447</v>
      </c>
      <c r="E4456" t="s">
        <v>1896</v>
      </c>
      <c r="F4456" t="s">
        <v>1741</v>
      </c>
      <c r="G4456" t="str">
        <f>IF(ISBLANK('Q 5'!D1227),"",IF('Q 5'!D1227="&lt;please select&gt;","",'Q 5'!D1227))</f>
        <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
      </c>
    </row>
    <row r="4547" spans="1:7" x14ac:dyDescent="0.3">
      <c r="A4547" t="s">
        <v>1892</v>
      </c>
      <c r="B4547" t="s">
        <v>1894</v>
      </c>
      <c r="C4547">
        <v>2</v>
      </c>
      <c r="D4547" t="s">
        <v>1447</v>
      </c>
      <c r="E4547" t="s">
        <v>1897</v>
      </c>
      <c r="F4547" t="s">
        <v>1741</v>
      </c>
      <c r="G4547" t="str">
        <f>IF(ISBLANK('Q 5'!E1221),"",IF('Q 5'!E1221="&lt;please select&gt;","",'Q 5'!E1221))</f>
        <v/>
      </c>
    </row>
    <row r="4548" spans="1:7" x14ac:dyDescent="0.3">
      <c r="A4548" t="s">
        <v>1892</v>
      </c>
      <c r="B4548" t="s">
        <v>1894</v>
      </c>
      <c r="C4548">
        <v>3</v>
      </c>
      <c r="D4548" t="s">
        <v>1447</v>
      </c>
      <c r="E4548" t="s">
        <v>1897</v>
      </c>
      <c r="F4548" t="s">
        <v>1741</v>
      </c>
      <c r="G4548" t="str">
        <f>IF(ISBLANK('Q 5'!E1222),"",IF('Q 5'!E1222="&lt;please select&gt;","",'Q 5'!E1222))</f>
        <v/>
      </c>
    </row>
    <row r="4549" spans="1:7" x14ac:dyDescent="0.3">
      <c r="A4549" t="s">
        <v>1892</v>
      </c>
      <c r="B4549" t="s">
        <v>1894</v>
      </c>
      <c r="C4549">
        <v>4</v>
      </c>
      <c r="D4549" t="s">
        <v>1447</v>
      </c>
      <c r="E4549" t="s">
        <v>1897</v>
      </c>
      <c r="F4549" t="s">
        <v>1741</v>
      </c>
      <c r="G4549" t="str">
        <f>IF(ISBLANK('Q 5'!E1223),"",IF('Q 5'!E1223="&lt;please select&gt;","",'Q 5'!E1223))</f>
        <v/>
      </c>
    </row>
    <row r="4550" spans="1:7" x14ac:dyDescent="0.3">
      <c r="A4550" t="s">
        <v>1892</v>
      </c>
      <c r="B4550" t="s">
        <v>1894</v>
      </c>
      <c r="C4550">
        <v>5</v>
      </c>
      <c r="D4550" t="s">
        <v>1447</v>
      </c>
      <c r="E4550" t="s">
        <v>1897</v>
      </c>
      <c r="F4550" t="s">
        <v>1741</v>
      </c>
      <c r="G4550" t="str">
        <f>IF(ISBLANK('Q 5'!E1224),"",IF('Q 5'!E1224="&lt;please select&gt;","",'Q 5'!E1224))</f>
        <v/>
      </c>
    </row>
    <row r="4551" spans="1:7" x14ac:dyDescent="0.3">
      <c r="A4551" t="s">
        <v>1892</v>
      </c>
      <c r="B4551" t="s">
        <v>1894</v>
      </c>
      <c r="C4551">
        <v>6</v>
      </c>
      <c r="D4551" t="s">
        <v>1447</v>
      </c>
      <c r="E4551" t="s">
        <v>1897</v>
      </c>
      <c r="F4551" t="s">
        <v>1741</v>
      </c>
      <c r="G4551" t="str">
        <f>IF(ISBLANK('Q 5'!E1225),"",IF('Q 5'!E1225="&lt;please select&gt;","",'Q 5'!E1225))</f>
        <v/>
      </c>
    </row>
    <row r="4552" spans="1:7" x14ac:dyDescent="0.3">
      <c r="A4552" t="s">
        <v>1892</v>
      </c>
      <c r="B4552" t="s">
        <v>1894</v>
      </c>
      <c r="C4552">
        <v>7</v>
      </c>
      <c r="D4552" t="s">
        <v>1447</v>
      </c>
      <c r="E4552" t="s">
        <v>1897</v>
      </c>
      <c r="F4552" t="s">
        <v>1741</v>
      </c>
      <c r="G4552" t="str">
        <f>IF(ISBLANK('Q 5'!E1226),"",IF('Q 5'!E1226="&lt;please select&gt;","",'Q 5'!E1226))</f>
        <v/>
      </c>
    </row>
    <row r="4553" spans="1:7" x14ac:dyDescent="0.3">
      <c r="A4553" t="s">
        <v>1892</v>
      </c>
      <c r="B4553" t="s">
        <v>1894</v>
      </c>
      <c r="C4553">
        <v>8</v>
      </c>
      <c r="D4553" t="s">
        <v>1447</v>
      </c>
      <c r="E4553" t="s">
        <v>1897</v>
      </c>
      <c r="F4553" t="s">
        <v>1741</v>
      </c>
      <c r="G4553" t="str">
        <f>IF(ISBLANK('Q 5'!E1227),"",IF('Q 5'!E1227="&lt;please select&gt;","",'Q 5'!E1227))</f>
        <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
      </c>
    </row>
    <row r="4644" spans="1:9" x14ac:dyDescent="0.3">
      <c r="A4644" t="s">
        <v>1892</v>
      </c>
      <c r="B4644" t="s">
        <v>1894</v>
      </c>
      <c r="C4644">
        <v>2</v>
      </c>
      <c r="D4644" t="s">
        <v>1447</v>
      </c>
      <c r="E4644" t="s">
        <v>1898</v>
      </c>
      <c r="F4644" t="s">
        <v>1806</v>
      </c>
      <c r="I4644" t="str">
        <f>IF(ISBLANK('Q 5'!F1221),"",IF('Q 5'!F1221="&lt;please select&gt;","",'Q 5'!F1221))</f>
        <v/>
      </c>
    </row>
    <row r="4645" spans="1:9" x14ac:dyDescent="0.3">
      <c r="A4645" t="s">
        <v>1892</v>
      </c>
      <c r="B4645" t="s">
        <v>1894</v>
      </c>
      <c r="C4645">
        <v>3</v>
      </c>
      <c r="D4645" t="s">
        <v>1447</v>
      </c>
      <c r="E4645" t="s">
        <v>1898</v>
      </c>
      <c r="F4645" t="s">
        <v>1806</v>
      </c>
      <c r="I4645" t="str">
        <f>IF(ISBLANK('Q 5'!F1222),"",IF('Q 5'!F1222="&lt;please select&gt;","",'Q 5'!F1222))</f>
        <v/>
      </c>
    </row>
    <row r="4646" spans="1:9" x14ac:dyDescent="0.3">
      <c r="A4646" t="s">
        <v>1892</v>
      </c>
      <c r="B4646" t="s">
        <v>1894</v>
      </c>
      <c r="C4646">
        <v>4</v>
      </c>
      <c r="D4646" t="s">
        <v>1447</v>
      </c>
      <c r="E4646" t="s">
        <v>1898</v>
      </c>
      <c r="F4646" t="s">
        <v>1806</v>
      </c>
      <c r="I4646" t="str">
        <f>IF(ISBLANK('Q 5'!F1223),"",IF('Q 5'!F1223="&lt;please select&gt;","",'Q 5'!F1223))</f>
        <v/>
      </c>
    </row>
    <row r="4647" spans="1:9" x14ac:dyDescent="0.3">
      <c r="A4647" t="s">
        <v>1892</v>
      </c>
      <c r="B4647" t="s">
        <v>1894</v>
      </c>
      <c r="C4647">
        <v>5</v>
      </c>
      <c r="D4647" t="s">
        <v>1447</v>
      </c>
      <c r="E4647" t="s">
        <v>1898</v>
      </c>
      <c r="F4647" t="s">
        <v>1806</v>
      </c>
      <c r="I4647" t="str">
        <f>IF(ISBLANK('Q 5'!F1224),"",IF('Q 5'!F1224="&lt;please select&gt;","",'Q 5'!F1224))</f>
        <v/>
      </c>
    </row>
    <row r="4648" spans="1:9" x14ac:dyDescent="0.3">
      <c r="A4648" t="s">
        <v>1892</v>
      </c>
      <c r="B4648" t="s">
        <v>1894</v>
      </c>
      <c r="C4648">
        <v>6</v>
      </c>
      <c r="D4648" t="s">
        <v>1447</v>
      </c>
      <c r="E4648" t="s">
        <v>1898</v>
      </c>
      <c r="F4648" t="s">
        <v>1806</v>
      </c>
      <c r="I4648" t="str">
        <f>IF(ISBLANK('Q 5'!F1225),"",IF('Q 5'!F1225="&lt;please select&gt;","",'Q 5'!F1225))</f>
        <v/>
      </c>
    </row>
    <row r="4649" spans="1:9" x14ac:dyDescent="0.3">
      <c r="A4649" t="s">
        <v>1892</v>
      </c>
      <c r="B4649" t="s">
        <v>1894</v>
      </c>
      <c r="C4649">
        <v>7</v>
      </c>
      <c r="D4649" t="s">
        <v>1447</v>
      </c>
      <c r="E4649" t="s">
        <v>1898</v>
      </c>
      <c r="F4649" t="s">
        <v>1806</v>
      </c>
      <c r="I4649" t="str">
        <f>IF(ISBLANK('Q 5'!F1226),"",IF('Q 5'!F1226="&lt;please select&gt;","",'Q 5'!F1226))</f>
        <v/>
      </c>
    </row>
    <row r="4650" spans="1:9" x14ac:dyDescent="0.3">
      <c r="A4650" t="s">
        <v>1892</v>
      </c>
      <c r="B4650" t="s">
        <v>1894</v>
      </c>
      <c r="C4650">
        <v>8</v>
      </c>
      <c r="D4650" t="s">
        <v>1447</v>
      </c>
      <c r="E4650" t="s">
        <v>1898</v>
      </c>
      <c r="F4650" t="s">
        <v>1806</v>
      </c>
      <c r="I4650" t="str">
        <f>IF(ISBLANK('Q 5'!F1227),"",IF('Q 5'!F1227="&lt;please select&gt;","",'Q 5'!F1227))</f>
        <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
      </c>
    </row>
    <row r="4741" spans="1:9" x14ac:dyDescent="0.3">
      <c r="A4741" t="s">
        <v>1892</v>
      </c>
      <c r="B4741" t="s">
        <v>1894</v>
      </c>
      <c r="C4741">
        <v>2</v>
      </c>
      <c r="D4741" t="s">
        <v>1447</v>
      </c>
      <c r="E4741" t="s">
        <v>1899</v>
      </c>
      <c r="F4741" t="s">
        <v>1806</v>
      </c>
      <c r="I4741" t="str">
        <f>IF(ISBLANK('Q 5'!G1221),"",IF('Q 5'!G1221="&lt;please select&gt;","",'Q 5'!G1221))</f>
        <v/>
      </c>
    </row>
    <row r="4742" spans="1:9" x14ac:dyDescent="0.3">
      <c r="A4742" t="s">
        <v>1892</v>
      </c>
      <c r="B4742" t="s">
        <v>1894</v>
      </c>
      <c r="C4742">
        <v>3</v>
      </c>
      <c r="D4742" t="s">
        <v>1447</v>
      </c>
      <c r="E4742" t="s">
        <v>1899</v>
      </c>
      <c r="F4742" t="s">
        <v>1806</v>
      </c>
      <c r="I4742" t="str">
        <f>IF(ISBLANK('Q 5'!G1222),"",IF('Q 5'!G1222="&lt;please select&gt;","",'Q 5'!G1222))</f>
        <v/>
      </c>
    </row>
    <row r="4743" spans="1:9" x14ac:dyDescent="0.3">
      <c r="A4743" t="s">
        <v>1892</v>
      </c>
      <c r="B4743" t="s">
        <v>1894</v>
      </c>
      <c r="C4743">
        <v>4</v>
      </c>
      <c r="D4743" t="s">
        <v>1447</v>
      </c>
      <c r="E4743" t="s">
        <v>1899</v>
      </c>
      <c r="F4743" t="s">
        <v>1806</v>
      </c>
      <c r="I4743" t="str">
        <f>IF(ISBLANK('Q 5'!G1223),"",IF('Q 5'!G1223="&lt;please select&gt;","",'Q 5'!G1223))</f>
        <v/>
      </c>
    </row>
    <row r="4744" spans="1:9" x14ac:dyDescent="0.3">
      <c r="A4744" t="s">
        <v>1892</v>
      </c>
      <c r="B4744" t="s">
        <v>1894</v>
      </c>
      <c r="C4744">
        <v>5</v>
      </c>
      <c r="D4744" t="s">
        <v>1447</v>
      </c>
      <c r="E4744" t="s">
        <v>1899</v>
      </c>
      <c r="F4744" t="s">
        <v>1806</v>
      </c>
      <c r="I4744" t="str">
        <f>IF(ISBLANK('Q 5'!G1224),"",IF('Q 5'!G1224="&lt;please select&gt;","",'Q 5'!G1224))</f>
        <v/>
      </c>
    </row>
    <row r="4745" spans="1:9" x14ac:dyDescent="0.3">
      <c r="A4745" t="s">
        <v>1892</v>
      </c>
      <c r="B4745" t="s">
        <v>1894</v>
      </c>
      <c r="C4745">
        <v>6</v>
      </c>
      <c r="D4745" t="s">
        <v>1447</v>
      </c>
      <c r="E4745" t="s">
        <v>1899</v>
      </c>
      <c r="F4745" t="s">
        <v>1806</v>
      </c>
      <c r="I4745" t="str">
        <f>IF(ISBLANK('Q 5'!G1225),"",IF('Q 5'!G1225="&lt;please select&gt;","",'Q 5'!G1225))</f>
        <v/>
      </c>
    </row>
    <row r="4746" spans="1:9" x14ac:dyDescent="0.3">
      <c r="A4746" t="s">
        <v>1892</v>
      </c>
      <c r="B4746" t="s">
        <v>1894</v>
      </c>
      <c r="C4746">
        <v>7</v>
      </c>
      <c r="D4746" t="s">
        <v>1447</v>
      </c>
      <c r="E4746" t="s">
        <v>1899</v>
      </c>
      <c r="F4746" t="s">
        <v>1806</v>
      </c>
      <c r="I4746" t="str">
        <f>IF(ISBLANK('Q 5'!G1226),"",IF('Q 5'!G1226="&lt;please select&gt;","",'Q 5'!G1226))</f>
        <v/>
      </c>
    </row>
    <row r="4747" spans="1:9" x14ac:dyDescent="0.3">
      <c r="A4747" t="s">
        <v>1892</v>
      </c>
      <c r="B4747" t="s">
        <v>1894</v>
      </c>
      <c r="C4747">
        <v>8</v>
      </c>
      <c r="D4747" t="s">
        <v>1447</v>
      </c>
      <c r="E4747" t="s">
        <v>1899</v>
      </c>
      <c r="F4747" t="s">
        <v>1806</v>
      </c>
      <c r="I4747" t="str">
        <f>IF(ISBLANK('Q 5'!G1227),"",IF('Q 5'!G1227="&lt;please select&gt;","",'Q 5'!G1227))</f>
        <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
      </c>
    </row>
    <row r="4838" spans="1:11" x14ac:dyDescent="0.3">
      <c r="A4838" t="s">
        <v>1892</v>
      </c>
      <c r="B4838" t="s">
        <v>1894</v>
      </c>
      <c r="C4838">
        <v>2</v>
      </c>
      <c r="D4838" t="s">
        <v>1447</v>
      </c>
      <c r="E4838" t="s">
        <v>1900</v>
      </c>
      <c r="F4838" t="s">
        <v>1737</v>
      </c>
      <c r="K4838" t="str">
        <f>IF(ISBLANK('Q 5'!H1221),"",IF('Q 5'!H1221="&lt;please select&gt;","",'Q 5'!H1221))</f>
        <v/>
      </c>
    </row>
    <row r="4839" spans="1:11" x14ac:dyDescent="0.3">
      <c r="A4839" t="s">
        <v>1892</v>
      </c>
      <c r="B4839" t="s">
        <v>1894</v>
      </c>
      <c r="C4839">
        <v>3</v>
      </c>
      <c r="D4839" t="s">
        <v>1447</v>
      </c>
      <c r="E4839" t="s">
        <v>1900</v>
      </c>
      <c r="F4839" t="s">
        <v>1737</v>
      </c>
      <c r="K4839" t="str">
        <f>IF(ISBLANK('Q 5'!H1222),"",IF('Q 5'!H1222="&lt;please select&gt;","",'Q 5'!H1222))</f>
        <v/>
      </c>
    </row>
    <row r="4840" spans="1:11" x14ac:dyDescent="0.3">
      <c r="A4840" t="s">
        <v>1892</v>
      </c>
      <c r="B4840" t="s">
        <v>1894</v>
      </c>
      <c r="C4840">
        <v>4</v>
      </c>
      <c r="D4840" t="s">
        <v>1447</v>
      </c>
      <c r="E4840" t="s">
        <v>1900</v>
      </c>
      <c r="F4840" t="s">
        <v>1737</v>
      </c>
      <c r="K4840" t="str">
        <f>IF(ISBLANK('Q 5'!H1223),"",IF('Q 5'!H1223="&lt;please select&gt;","",'Q 5'!H1223))</f>
        <v/>
      </c>
    </row>
    <row r="4841" spans="1:11" x14ac:dyDescent="0.3">
      <c r="A4841" t="s">
        <v>1892</v>
      </c>
      <c r="B4841" t="s">
        <v>1894</v>
      </c>
      <c r="C4841">
        <v>5</v>
      </c>
      <c r="D4841" t="s">
        <v>1447</v>
      </c>
      <c r="E4841" t="s">
        <v>1900</v>
      </c>
      <c r="F4841" t="s">
        <v>1737</v>
      </c>
      <c r="K4841" t="str">
        <f>IF(ISBLANK('Q 5'!H1224),"",IF('Q 5'!H1224="&lt;please select&gt;","",'Q 5'!H1224))</f>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
      </c>
    </row>
    <row r="4935" spans="1:11" x14ac:dyDescent="0.3">
      <c r="A4935" t="s">
        <v>1892</v>
      </c>
      <c r="B4935" t="s">
        <v>1894</v>
      </c>
      <c r="C4935">
        <v>2</v>
      </c>
      <c r="D4935" t="s">
        <v>1447</v>
      </c>
      <c r="E4935" t="s">
        <v>1901</v>
      </c>
      <c r="F4935" t="s">
        <v>1741</v>
      </c>
      <c r="G4935" t="str">
        <f>IF(ISBLANK('Q 5'!I1221),"",IF('Q 5'!I1221="&lt;please select&gt;","",'Q 5'!I1221))</f>
        <v/>
      </c>
    </row>
    <row r="4936" spans="1:11" x14ac:dyDescent="0.3">
      <c r="A4936" t="s">
        <v>1892</v>
      </c>
      <c r="B4936" t="s">
        <v>1894</v>
      </c>
      <c r="C4936">
        <v>3</v>
      </c>
      <c r="D4936" t="s">
        <v>1447</v>
      </c>
      <c r="E4936" t="s">
        <v>1901</v>
      </c>
      <c r="F4936" t="s">
        <v>1741</v>
      </c>
      <c r="G4936" t="str">
        <f>IF(ISBLANK('Q 5'!I1222),"",IF('Q 5'!I1222="&lt;please select&gt;","",'Q 5'!I1222))</f>
        <v/>
      </c>
    </row>
    <row r="4937" spans="1:11" x14ac:dyDescent="0.3">
      <c r="A4937" t="s">
        <v>1892</v>
      </c>
      <c r="B4937" t="s">
        <v>1894</v>
      </c>
      <c r="C4937">
        <v>4</v>
      </c>
      <c r="D4937" t="s">
        <v>1447</v>
      </c>
      <c r="E4937" t="s">
        <v>1901</v>
      </c>
      <c r="F4937" t="s">
        <v>1741</v>
      </c>
      <c r="G4937" t="str">
        <f>IF(ISBLANK('Q 5'!I1223),"",IF('Q 5'!I1223="&lt;please select&gt;","",'Q 5'!I1223))</f>
        <v/>
      </c>
    </row>
    <row r="4938" spans="1:11" x14ac:dyDescent="0.3">
      <c r="A4938" t="s">
        <v>1892</v>
      </c>
      <c r="B4938" t="s">
        <v>1894</v>
      </c>
      <c r="C4938">
        <v>5</v>
      </c>
      <c r="D4938" t="s">
        <v>1447</v>
      </c>
      <c r="E4938" t="s">
        <v>1901</v>
      </c>
      <c r="F4938" t="s">
        <v>1741</v>
      </c>
      <c r="G4938" t="str">
        <f>IF(ISBLANK('Q 5'!I1224),"",IF('Q 5'!I1224="&lt;please select&gt;","",'Q 5'!I1224))</f>
        <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No</v>
      </c>
    </row>
    <row r="5032" spans="1:11" x14ac:dyDescent="0.3">
      <c r="A5032" t="s">
        <v>1902</v>
      </c>
      <c r="B5032" t="s">
        <v>1904</v>
      </c>
      <c r="C5032">
        <v>1</v>
      </c>
      <c r="D5032" t="s">
        <v>1447</v>
      </c>
      <c r="E5032" t="s">
        <v>1905</v>
      </c>
      <c r="F5032" t="s">
        <v>1741</v>
      </c>
      <c r="G5032" t="str">
        <f>IF(ISBLANK('Q 5'!C1327),"",IF('Q 5'!C1327="&lt;please select&gt;","",'Q 5'!C1327))</f>
        <v/>
      </c>
    </row>
    <row r="5033" spans="1:11" x14ac:dyDescent="0.3">
      <c r="A5033" t="s">
        <v>1902</v>
      </c>
      <c r="B5033" t="s">
        <v>1904</v>
      </c>
      <c r="C5033">
        <v>2</v>
      </c>
      <c r="D5033" t="s">
        <v>1447</v>
      </c>
      <c r="E5033" t="s">
        <v>1905</v>
      </c>
      <c r="F5033" t="s">
        <v>1741</v>
      </c>
      <c r="G5033" t="str">
        <f>IF(ISBLANK('Q 5'!C1328),"",IF('Q 5'!C1328="&lt;please select&gt;","",'Q 5'!C1328))</f>
        <v/>
      </c>
    </row>
    <row r="5034" spans="1:11" x14ac:dyDescent="0.3">
      <c r="A5034" t="s">
        <v>1902</v>
      </c>
      <c r="B5034" t="s">
        <v>1904</v>
      </c>
      <c r="C5034">
        <v>3</v>
      </c>
      <c r="D5034" t="s">
        <v>1447</v>
      </c>
      <c r="E5034" t="s">
        <v>1905</v>
      </c>
      <c r="F5034" t="s">
        <v>1741</v>
      </c>
      <c r="G5034" t="str">
        <f>IF(ISBLANK('Q 5'!C1329),"",IF('Q 5'!C1329="&lt;please select&gt;","",'Q 5'!C1329))</f>
        <v/>
      </c>
    </row>
    <row r="5035" spans="1:11" x14ac:dyDescent="0.3">
      <c r="A5035" t="s">
        <v>1902</v>
      </c>
      <c r="B5035" t="s">
        <v>1904</v>
      </c>
      <c r="C5035">
        <v>4</v>
      </c>
      <c r="D5035" t="s">
        <v>1447</v>
      </c>
      <c r="E5035" t="s">
        <v>1905</v>
      </c>
      <c r="F5035" t="s">
        <v>1741</v>
      </c>
      <c r="G5035" t="str">
        <f>IF(ISBLANK('Q 5'!C1330),"",IF('Q 5'!C1330="&lt;please select&gt;","",'Q 5'!C1330))</f>
        <v/>
      </c>
    </row>
    <row r="5036" spans="1:11" x14ac:dyDescent="0.3">
      <c r="A5036" t="s">
        <v>1902</v>
      </c>
      <c r="B5036" t="s">
        <v>1904</v>
      </c>
      <c r="C5036">
        <v>5</v>
      </c>
      <c r="D5036" t="s">
        <v>1447</v>
      </c>
      <c r="E5036" t="s">
        <v>1905</v>
      </c>
      <c r="F5036" t="s">
        <v>1741</v>
      </c>
      <c r="G5036" t="str">
        <f>IF(ISBLANK('Q 5'!C1331),"",IF('Q 5'!C1331="&lt;please select&gt;","",'Q 5'!C1331))</f>
        <v/>
      </c>
    </row>
    <row r="5037" spans="1:11" x14ac:dyDescent="0.3">
      <c r="A5037" t="s">
        <v>1902</v>
      </c>
      <c r="B5037" t="s">
        <v>1904</v>
      </c>
      <c r="C5037">
        <v>6</v>
      </c>
      <c r="D5037" t="s">
        <v>1447</v>
      </c>
      <c r="E5037" t="s">
        <v>1905</v>
      </c>
      <c r="F5037" t="s">
        <v>1741</v>
      </c>
      <c r="G5037" t="str">
        <f>IF(ISBLANK('Q 5'!C1332),"",IF('Q 5'!C1332="&lt;please select&gt;","",'Q 5'!C1332))</f>
        <v/>
      </c>
    </row>
    <row r="5038" spans="1:11" x14ac:dyDescent="0.3">
      <c r="A5038" t="s">
        <v>1902</v>
      </c>
      <c r="B5038" t="s">
        <v>1904</v>
      </c>
      <c r="C5038">
        <v>7</v>
      </c>
      <c r="D5038" t="s">
        <v>1447</v>
      </c>
      <c r="E5038" t="s">
        <v>1905</v>
      </c>
      <c r="F5038" t="s">
        <v>1741</v>
      </c>
      <c r="G5038" t="str">
        <f>IF(ISBLANK('Q 5'!C1333),"",IF('Q 5'!C1333="&lt;please select&gt;","",'Q 5'!C1333))</f>
        <v/>
      </c>
    </row>
    <row r="5039" spans="1:11" x14ac:dyDescent="0.3">
      <c r="A5039" t="s">
        <v>1902</v>
      </c>
      <c r="B5039" t="s">
        <v>1904</v>
      </c>
      <c r="C5039">
        <v>8</v>
      </c>
      <c r="D5039" t="s">
        <v>1447</v>
      </c>
      <c r="E5039" t="s">
        <v>1905</v>
      </c>
      <c r="F5039" t="s">
        <v>1741</v>
      </c>
      <c r="G5039" t="str">
        <f>IF(ISBLANK('Q 5'!C1334),"",IF('Q 5'!C1334="&lt;please select&gt;","",'Q 5'!C1334))</f>
        <v/>
      </c>
    </row>
    <row r="5040" spans="1:11" x14ac:dyDescent="0.3">
      <c r="A5040" t="s">
        <v>1902</v>
      </c>
      <c r="B5040" t="s">
        <v>1904</v>
      </c>
      <c r="C5040">
        <v>9</v>
      </c>
      <c r="D5040" t="s">
        <v>1447</v>
      </c>
      <c r="E5040" t="s">
        <v>1905</v>
      </c>
      <c r="F5040" t="s">
        <v>1741</v>
      </c>
      <c r="G5040" t="str">
        <f>IF(ISBLANK('Q 5'!C1335),"",IF('Q 5'!C1335="&lt;please select&gt;","",'Q 5'!C1335))</f>
        <v/>
      </c>
    </row>
    <row r="5041" spans="1:7" x14ac:dyDescent="0.3">
      <c r="A5041" t="s">
        <v>1902</v>
      </c>
      <c r="B5041" t="s">
        <v>1904</v>
      </c>
      <c r="C5041">
        <v>10</v>
      </c>
      <c r="D5041" t="s">
        <v>1447</v>
      </c>
      <c r="E5041" t="s">
        <v>1905</v>
      </c>
      <c r="F5041" t="s">
        <v>1741</v>
      </c>
      <c r="G5041" t="str">
        <f>IF(ISBLANK('Q 5'!C1336),"",IF('Q 5'!C1336="&lt;please select&gt;","",'Q 5'!C1336))</f>
        <v/>
      </c>
    </row>
    <row r="5042" spans="1:7" x14ac:dyDescent="0.3">
      <c r="A5042" t="s">
        <v>1902</v>
      </c>
      <c r="B5042" t="s">
        <v>1904</v>
      </c>
      <c r="C5042">
        <v>11</v>
      </c>
      <c r="D5042" t="s">
        <v>1447</v>
      </c>
      <c r="E5042" t="s">
        <v>1905</v>
      </c>
      <c r="F5042" t="s">
        <v>1741</v>
      </c>
      <c r="G5042" t="str">
        <f>IF(ISBLANK('Q 5'!C1337),"",IF('Q 5'!C1337="&lt;please select&gt;","",'Q 5'!C1337))</f>
        <v/>
      </c>
    </row>
    <row r="5043" spans="1:7" x14ac:dyDescent="0.3">
      <c r="A5043" t="s">
        <v>1902</v>
      </c>
      <c r="B5043" t="s">
        <v>1904</v>
      </c>
      <c r="C5043">
        <v>12</v>
      </c>
      <c r="D5043" t="s">
        <v>1447</v>
      </c>
      <c r="E5043" t="s">
        <v>1905</v>
      </c>
      <c r="F5043" t="s">
        <v>1741</v>
      </c>
      <c r="G5043" t="str">
        <f>IF(ISBLANK('Q 5'!C1338),"",IF('Q 5'!C1338="&lt;please select&gt;","",'Q 5'!C1338))</f>
        <v/>
      </c>
    </row>
    <row r="5044" spans="1:7" x14ac:dyDescent="0.3">
      <c r="A5044" t="s">
        <v>1902</v>
      </c>
      <c r="B5044" t="s">
        <v>1904</v>
      </c>
      <c r="C5044">
        <v>13</v>
      </c>
      <c r="D5044" t="s">
        <v>1447</v>
      </c>
      <c r="E5044" t="s">
        <v>1905</v>
      </c>
      <c r="F5044" t="s">
        <v>1741</v>
      </c>
      <c r="G5044" t="str">
        <f>IF(ISBLANK('Q 5'!C1339),"",IF('Q 5'!C1339="&lt;please select&gt;","",'Q 5'!C1339))</f>
        <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
      </c>
    </row>
    <row r="5083" spans="1:7" x14ac:dyDescent="0.3">
      <c r="A5083" t="s">
        <v>1902</v>
      </c>
      <c r="B5083" t="s">
        <v>1904</v>
      </c>
      <c r="C5083">
        <v>2</v>
      </c>
      <c r="D5083" t="s">
        <v>1447</v>
      </c>
      <c r="E5083" t="s">
        <v>1906</v>
      </c>
      <c r="F5083" t="s">
        <v>1741</v>
      </c>
      <c r="G5083" t="str">
        <f>IF(ISBLANK('Q 5'!E1328),"",IF('Q 5'!E1328="&lt;please select&gt;","",'Q 5'!E1328))</f>
        <v/>
      </c>
    </row>
    <row r="5084" spans="1:7" x14ac:dyDescent="0.3">
      <c r="A5084" t="s">
        <v>1902</v>
      </c>
      <c r="B5084" t="s">
        <v>1904</v>
      </c>
      <c r="C5084">
        <v>3</v>
      </c>
      <c r="D5084" t="s">
        <v>1447</v>
      </c>
      <c r="E5084" t="s">
        <v>1906</v>
      </c>
      <c r="F5084" t="s">
        <v>1741</v>
      </c>
      <c r="G5084" t="str">
        <f>IF(ISBLANK('Q 5'!E1329),"",IF('Q 5'!E1329="&lt;please select&gt;","",'Q 5'!E1329))</f>
        <v/>
      </c>
    </row>
    <row r="5085" spans="1:7" x14ac:dyDescent="0.3">
      <c r="A5085" t="s">
        <v>1902</v>
      </c>
      <c r="B5085" t="s">
        <v>1904</v>
      </c>
      <c r="C5085">
        <v>4</v>
      </c>
      <c r="D5085" t="s">
        <v>1447</v>
      </c>
      <c r="E5085" t="s">
        <v>1906</v>
      </c>
      <c r="F5085" t="s">
        <v>1741</v>
      </c>
      <c r="G5085" t="str">
        <f>IF(ISBLANK('Q 5'!E1330),"",IF('Q 5'!E1330="&lt;please select&gt;","",'Q 5'!E1330))</f>
        <v/>
      </c>
    </row>
    <row r="5086" spans="1:7" x14ac:dyDescent="0.3">
      <c r="A5086" t="s">
        <v>1902</v>
      </c>
      <c r="B5086" t="s">
        <v>1904</v>
      </c>
      <c r="C5086">
        <v>5</v>
      </c>
      <c r="D5086" t="s">
        <v>1447</v>
      </c>
      <c r="E5086" t="s">
        <v>1906</v>
      </c>
      <c r="F5086" t="s">
        <v>1741</v>
      </c>
      <c r="G5086" t="str">
        <f>IF(ISBLANK('Q 5'!E1331),"",IF('Q 5'!E1331="&lt;please select&gt;","",'Q 5'!E1331))</f>
        <v/>
      </c>
    </row>
    <row r="5087" spans="1:7" x14ac:dyDescent="0.3">
      <c r="A5087" t="s">
        <v>1902</v>
      </c>
      <c r="B5087" t="s">
        <v>1904</v>
      </c>
      <c r="C5087">
        <v>6</v>
      </c>
      <c r="D5087" t="s">
        <v>1447</v>
      </c>
      <c r="E5087" t="s">
        <v>1906</v>
      </c>
      <c r="F5087" t="s">
        <v>1741</v>
      </c>
      <c r="G5087" t="str">
        <f>IF(ISBLANK('Q 5'!E1332),"",IF('Q 5'!E1332="&lt;please select&gt;","",'Q 5'!E1332))</f>
        <v/>
      </c>
    </row>
    <row r="5088" spans="1:7" x14ac:dyDescent="0.3">
      <c r="A5088" t="s">
        <v>1902</v>
      </c>
      <c r="B5088" t="s">
        <v>1904</v>
      </c>
      <c r="C5088">
        <v>7</v>
      </c>
      <c r="D5088" t="s">
        <v>1447</v>
      </c>
      <c r="E5088" t="s">
        <v>1906</v>
      </c>
      <c r="F5088" t="s">
        <v>1741</v>
      </c>
      <c r="G5088" t="str">
        <f>IF(ISBLANK('Q 5'!E1333),"",IF('Q 5'!E1333="&lt;please select&gt;","",'Q 5'!E1333))</f>
        <v/>
      </c>
    </row>
    <row r="5089" spans="1:7" x14ac:dyDescent="0.3">
      <c r="A5089" t="s">
        <v>1902</v>
      </c>
      <c r="B5089" t="s">
        <v>1904</v>
      </c>
      <c r="C5089">
        <v>8</v>
      </c>
      <c r="D5089" t="s">
        <v>1447</v>
      </c>
      <c r="E5089" t="s">
        <v>1906</v>
      </c>
      <c r="F5089" t="s">
        <v>1741</v>
      </c>
      <c r="G5089" t="str">
        <f>IF(ISBLANK('Q 5'!E1334),"",IF('Q 5'!E1334="&lt;please select&gt;","",'Q 5'!E1334))</f>
        <v/>
      </c>
    </row>
    <row r="5090" spans="1:7" x14ac:dyDescent="0.3">
      <c r="A5090" t="s">
        <v>1902</v>
      </c>
      <c r="B5090" t="s">
        <v>1904</v>
      </c>
      <c r="C5090">
        <v>9</v>
      </c>
      <c r="D5090" t="s">
        <v>1447</v>
      </c>
      <c r="E5090" t="s">
        <v>1906</v>
      </c>
      <c r="F5090" t="s">
        <v>1741</v>
      </c>
      <c r="G5090" t="str">
        <f>IF(ISBLANK('Q 5'!E1335),"",IF('Q 5'!E1335="&lt;please select&gt;","",'Q 5'!E1335))</f>
        <v/>
      </c>
    </row>
    <row r="5091" spans="1:7" x14ac:dyDescent="0.3">
      <c r="A5091" t="s">
        <v>1902</v>
      </c>
      <c r="B5091" t="s">
        <v>1904</v>
      </c>
      <c r="C5091">
        <v>10</v>
      </c>
      <c r="D5091" t="s">
        <v>1447</v>
      </c>
      <c r="E5091" t="s">
        <v>1906</v>
      </c>
      <c r="F5091" t="s">
        <v>1741</v>
      </c>
      <c r="G5091" t="str">
        <f>IF(ISBLANK('Q 5'!E1336),"",IF('Q 5'!E1336="&lt;please select&gt;","",'Q 5'!E1336))</f>
        <v/>
      </c>
    </row>
    <row r="5092" spans="1:7" x14ac:dyDescent="0.3">
      <c r="A5092" t="s">
        <v>1902</v>
      </c>
      <c r="B5092" t="s">
        <v>1904</v>
      </c>
      <c r="C5092">
        <v>11</v>
      </c>
      <c r="D5092" t="s">
        <v>1447</v>
      </c>
      <c r="E5092" t="s">
        <v>1906</v>
      </c>
      <c r="F5092" t="s">
        <v>1741</v>
      </c>
      <c r="G5092" t="str">
        <f>IF(ISBLANK('Q 5'!E1337),"",IF('Q 5'!E1337="&lt;please select&gt;","",'Q 5'!E1337))</f>
        <v/>
      </c>
    </row>
    <row r="5093" spans="1:7" x14ac:dyDescent="0.3">
      <c r="A5093" t="s">
        <v>1902</v>
      </c>
      <c r="B5093" t="s">
        <v>1904</v>
      </c>
      <c r="C5093">
        <v>12</v>
      </c>
      <c r="D5093" t="s">
        <v>1447</v>
      </c>
      <c r="E5093" t="s">
        <v>1906</v>
      </c>
      <c r="F5093" t="s">
        <v>1741</v>
      </c>
      <c r="G5093" t="str">
        <f>IF(ISBLANK('Q 5'!E1338),"",IF('Q 5'!E1338="&lt;please select&gt;","",'Q 5'!E1338))</f>
        <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
      </c>
    </row>
    <row r="5133" spans="1:9" x14ac:dyDescent="0.3">
      <c r="A5133" t="s">
        <v>1902</v>
      </c>
      <c r="B5133" t="s">
        <v>1904</v>
      </c>
      <c r="C5133">
        <v>2</v>
      </c>
      <c r="D5133" t="s">
        <v>1447</v>
      </c>
      <c r="E5133" t="s">
        <v>1907</v>
      </c>
      <c r="F5133" t="s">
        <v>1806</v>
      </c>
      <c r="I5133" s="165" t="str">
        <f>IF(ISBLANK('Q 5'!G1328),"",IF('Q 5'!G1328="&lt;please select&gt;","",'Q 5'!G1328))</f>
        <v/>
      </c>
    </row>
    <row r="5134" spans="1:9" x14ac:dyDescent="0.3">
      <c r="A5134" t="s">
        <v>1902</v>
      </c>
      <c r="B5134" t="s">
        <v>1904</v>
      </c>
      <c r="C5134">
        <v>3</v>
      </c>
      <c r="D5134" t="s">
        <v>1447</v>
      </c>
      <c r="E5134" t="s">
        <v>1907</v>
      </c>
      <c r="F5134" t="s">
        <v>1806</v>
      </c>
      <c r="I5134" s="165" t="str">
        <f>IF(ISBLANK('Q 5'!G1329),"",IF('Q 5'!G1329="&lt;please select&gt;","",'Q 5'!G1329))</f>
        <v/>
      </c>
    </row>
    <row r="5135" spans="1:9" x14ac:dyDescent="0.3">
      <c r="A5135" t="s">
        <v>1902</v>
      </c>
      <c r="B5135" t="s">
        <v>1904</v>
      </c>
      <c r="C5135">
        <v>4</v>
      </c>
      <c r="D5135" t="s">
        <v>1447</v>
      </c>
      <c r="E5135" t="s">
        <v>1907</v>
      </c>
      <c r="F5135" t="s">
        <v>1806</v>
      </c>
      <c r="I5135" s="165" t="str">
        <f>IF(ISBLANK('Q 5'!G1330),"",IF('Q 5'!G1330="&lt;please select&gt;","",'Q 5'!G1330))</f>
        <v/>
      </c>
    </row>
    <row r="5136" spans="1:9" x14ac:dyDescent="0.3">
      <c r="A5136" t="s">
        <v>1902</v>
      </c>
      <c r="B5136" t="s">
        <v>1904</v>
      </c>
      <c r="C5136">
        <v>5</v>
      </c>
      <c r="D5136" t="s">
        <v>1447</v>
      </c>
      <c r="E5136" t="s">
        <v>1907</v>
      </c>
      <c r="F5136" t="s">
        <v>1806</v>
      </c>
      <c r="I5136" s="165" t="str">
        <f>IF(ISBLANK('Q 5'!G1331),"",IF('Q 5'!G1331="&lt;please select&gt;","",'Q 5'!G1331))</f>
        <v/>
      </c>
    </row>
    <row r="5137" spans="1:9" x14ac:dyDescent="0.3">
      <c r="A5137" t="s">
        <v>1902</v>
      </c>
      <c r="B5137" t="s">
        <v>1904</v>
      </c>
      <c r="C5137">
        <v>6</v>
      </c>
      <c r="D5137" t="s">
        <v>1447</v>
      </c>
      <c r="E5137" t="s">
        <v>1907</v>
      </c>
      <c r="F5137" t="s">
        <v>1806</v>
      </c>
      <c r="I5137" s="165" t="str">
        <f>IF(ISBLANK('Q 5'!G1332),"",IF('Q 5'!G1332="&lt;please select&gt;","",'Q 5'!G1332))</f>
        <v/>
      </c>
    </row>
    <row r="5138" spans="1:9" x14ac:dyDescent="0.3">
      <c r="A5138" t="s">
        <v>1902</v>
      </c>
      <c r="B5138" t="s">
        <v>1904</v>
      </c>
      <c r="C5138">
        <v>7</v>
      </c>
      <c r="D5138" t="s">
        <v>1447</v>
      </c>
      <c r="E5138" t="s">
        <v>1907</v>
      </c>
      <c r="F5138" t="s">
        <v>1806</v>
      </c>
      <c r="I5138" s="165" t="str">
        <f>IF(ISBLANK('Q 5'!G1333),"",IF('Q 5'!G1333="&lt;please select&gt;","",'Q 5'!G1333))</f>
        <v/>
      </c>
    </row>
    <row r="5139" spans="1:9" x14ac:dyDescent="0.3">
      <c r="A5139" t="s">
        <v>1902</v>
      </c>
      <c r="B5139" t="s">
        <v>1904</v>
      </c>
      <c r="C5139">
        <v>8</v>
      </c>
      <c r="D5139" t="s">
        <v>1447</v>
      </c>
      <c r="E5139" t="s">
        <v>1907</v>
      </c>
      <c r="F5139" t="s">
        <v>1806</v>
      </c>
      <c r="I5139" s="165" t="str">
        <f>IF(ISBLANK('Q 5'!G1334),"",IF('Q 5'!G1334="&lt;please select&gt;","",'Q 5'!G1334))</f>
        <v/>
      </c>
    </row>
    <row r="5140" spans="1:9" x14ac:dyDescent="0.3">
      <c r="A5140" t="s">
        <v>1902</v>
      </c>
      <c r="B5140" t="s">
        <v>1904</v>
      </c>
      <c r="C5140">
        <v>9</v>
      </c>
      <c r="D5140" t="s">
        <v>1447</v>
      </c>
      <c r="E5140" t="s">
        <v>1907</v>
      </c>
      <c r="F5140" t="s">
        <v>1806</v>
      </c>
      <c r="I5140" s="165" t="str">
        <f>IF(ISBLANK('Q 5'!G1335),"",IF('Q 5'!G1335="&lt;please select&gt;","",'Q 5'!G1335))</f>
        <v/>
      </c>
    </row>
    <row r="5141" spans="1:9" x14ac:dyDescent="0.3">
      <c r="A5141" t="s">
        <v>1902</v>
      </c>
      <c r="B5141" t="s">
        <v>1904</v>
      </c>
      <c r="C5141">
        <v>10</v>
      </c>
      <c r="D5141" t="s">
        <v>1447</v>
      </c>
      <c r="E5141" t="s">
        <v>1907</v>
      </c>
      <c r="F5141" t="s">
        <v>1806</v>
      </c>
      <c r="I5141" s="165" t="str">
        <f>IF(ISBLANK('Q 5'!G1336),"",IF('Q 5'!G1336="&lt;please select&gt;","",'Q 5'!G1336))</f>
        <v/>
      </c>
    </row>
    <row r="5142" spans="1:9" x14ac:dyDescent="0.3">
      <c r="A5142" t="s">
        <v>1902</v>
      </c>
      <c r="B5142" t="s">
        <v>1904</v>
      </c>
      <c r="C5142">
        <v>11</v>
      </c>
      <c r="D5142" t="s">
        <v>1447</v>
      </c>
      <c r="E5142" t="s">
        <v>1907</v>
      </c>
      <c r="F5142" t="s">
        <v>1806</v>
      </c>
      <c r="I5142" s="165" t="str">
        <f>IF(ISBLANK('Q 5'!G1337),"",IF('Q 5'!G1337="&lt;please select&gt;","",'Q 5'!G1337))</f>
        <v/>
      </c>
    </row>
    <row r="5143" spans="1:9" x14ac:dyDescent="0.3">
      <c r="A5143" t="s">
        <v>1902</v>
      </c>
      <c r="B5143" t="s">
        <v>1904</v>
      </c>
      <c r="C5143">
        <v>12</v>
      </c>
      <c r="D5143" t="s">
        <v>1447</v>
      </c>
      <c r="E5143" t="s">
        <v>1907</v>
      </c>
      <c r="F5143" t="s">
        <v>1806</v>
      </c>
      <c r="I5143" s="165" t="str">
        <f>IF(ISBLANK('Q 5'!G1338),"",IF('Q 5'!G1338="&lt;please select&gt;","",'Q 5'!G1338))</f>
        <v/>
      </c>
    </row>
    <row r="5144" spans="1:9" x14ac:dyDescent="0.3">
      <c r="A5144" t="s">
        <v>1902</v>
      </c>
      <c r="B5144" t="s">
        <v>1904</v>
      </c>
      <c r="C5144">
        <v>13</v>
      </c>
      <c r="D5144" t="s">
        <v>1447</v>
      </c>
      <c r="E5144" t="s">
        <v>1907</v>
      </c>
      <c r="F5144" t="s">
        <v>1806</v>
      </c>
      <c r="I5144" s="165" t="str">
        <f>IF(ISBLANK('Q 5'!G1339),"",IF('Q 5'!G1339="&lt;please select&gt;","",'Q 5'!G1339))</f>
        <v/>
      </c>
    </row>
    <row r="5145" spans="1:9" x14ac:dyDescent="0.3">
      <c r="A5145" t="s">
        <v>1902</v>
      </c>
      <c r="B5145" t="s">
        <v>1904</v>
      </c>
      <c r="C5145">
        <v>14</v>
      </c>
      <c r="D5145" t="s">
        <v>1447</v>
      </c>
      <c r="E5145" t="s">
        <v>1907</v>
      </c>
      <c r="F5145" t="s">
        <v>1806</v>
      </c>
      <c r="I5145" s="165" t="str">
        <f>IF(ISBLANK('Q 5'!G1340),"",IF('Q 5'!G1340="&lt;please select&gt;","",'Q 5'!G1340))</f>
        <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
      </c>
    </row>
    <row r="5183" spans="1:9" x14ac:dyDescent="0.3">
      <c r="A5183" t="s">
        <v>1902</v>
      </c>
      <c r="B5183" t="s">
        <v>1904</v>
      </c>
      <c r="C5183">
        <v>2</v>
      </c>
      <c r="D5183" t="s">
        <v>1447</v>
      </c>
      <c r="E5183" t="s">
        <v>1908</v>
      </c>
      <c r="F5183" t="s">
        <v>1806</v>
      </c>
      <c r="I5183" s="165" t="str">
        <f>IF(ISBLANK('Q 5'!H1328),"",IF('Q 5'!H1328="&lt;please select&gt;","",'Q 5'!H1328))</f>
        <v/>
      </c>
    </row>
    <row r="5184" spans="1:9" x14ac:dyDescent="0.3">
      <c r="A5184" t="s">
        <v>1902</v>
      </c>
      <c r="B5184" t="s">
        <v>1904</v>
      </c>
      <c r="C5184">
        <v>3</v>
      </c>
      <c r="D5184" t="s">
        <v>1447</v>
      </c>
      <c r="E5184" t="s">
        <v>1908</v>
      </c>
      <c r="F5184" t="s">
        <v>1806</v>
      </c>
      <c r="I5184" s="165" t="str">
        <f>IF(ISBLANK('Q 5'!H1329),"",IF('Q 5'!H1329="&lt;please select&gt;","",'Q 5'!H1329))</f>
        <v/>
      </c>
    </row>
    <row r="5185" spans="1:9" x14ac:dyDescent="0.3">
      <c r="A5185" t="s">
        <v>1902</v>
      </c>
      <c r="B5185" t="s">
        <v>1904</v>
      </c>
      <c r="C5185">
        <v>4</v>
      </c>
      <c r="D5185" t="s">
        <v>1447</v>
      </c>
      <c r="E5185" t="s">
        <v>1908</v>
      </c>
      <c r="F5185" t="s">
        <v>1806</v>
      </c>
      <c r="I5185" s="165" t="str">
        <f>IF(ISBLANK('Q 5'!H1330),"",IF('Q 5'!H1330="&lt;please select&gt;","",'Q 5'!H1330))</f>
        <v/>
      </c>
    </row>
    <row r="5186" spans="1:9" x14ac:dyDescent="0.3">
      <c r="A5186" t="s">
        <v>1902</v>
      </c>
      <c r="B5186" t="s">
        <v>1904</v>
      </c>
      <c r="C5186">
        <v>5</v>
      </c>
      <c r="D5186" t="s">
        <v>1447</v>
      </c>
      <c r="E5186" t="s">
        <v>1908</v>
      </c>
      <c r="F5186" t="s">
        <v>1806</v>
      </c>
      <c r="I5186" s="165" t="str">
        <f>IF(ISBLANK('Q 5'!H1331),"",IF('Q 5'!H1331="&lt;please select&gt;","",'Q 5'!H1331))</f>
        <v/>
      </c>
    </row>
    <row r="5187" spans="1:9" x14ac:dyDescent="0.3">
      <c r="A5187" t="s">
        <v>1902</v>
      </c>
      <c r="B5187" t="s">
        <v>1904</v>
      </c>
      <c r="C5187">
        <v>6</v>
      </c>
      <c r="D5187" t="s">
        <v>1447</v>
      </c>
      <c r="E5187" t="s">
        <v>1908</v>
      </c>
      <c r="F5187" t="s">
        <v>1806</v>
      </c>
      <c r="I5187" s="165" t="str">
        <f>IF(ISBLANK('Q 5'!H1332),"",IF('Q 5'!H1332="&lt;please select&gt;","",'Q 5'!H1332))</f>
        <v/>
      </c>
    </row>
    <row r="5188" spans="1:9" x14ac:dyDescent="0.3">
      <c r="A5188" t="s">
        <v>1902</v>
      </c>
      <c r="B5188" t="s">
        <v>1904</v>
      </c>
      <c r="C5188">
        <v>7</v>
      </c>
      <c r="D5188" t="s">
        <v>1447</v>
      </c>
      <c r="E5188" t="s">
        <v>1908</v>
      </c>
      <c r="F5188" t="s">
        <v>1806</v>
      </c>
      <c r="I5188" s="165" t="str">
        <f>IF(ISBLANK('Q 5'!H1333),"",IF('Q 5'!H1333="&lt;please select&gt;","",'Q 5'!H1333))</f>
        <v/>
      </c>
    </row>
    <row r="5189" spans="1:9" x14ac:dyDescent="0.3">
      <c r="A5189" t="s">
        <v>1902</v>
      </c>
      <c r="B5189" t="s">
        <v>1904</v>
      </c>
      <c r="C5189">
        <v>8</v>
      </c>
      <c r="D5189" t="s">
        <v>1447</v>
      </c>
      <c r="E5189" t="s">
        <v>1908</v>
      </c>
      <c r="F5189" t="s">
        <v>1806</v>
      </c>
      <c r="I5189" s="165" t="str">
        <f>IF(ISBLANK('Q 5'!H1334),"",IF('Q 5'!H1334="&lt;please select&gt;","",'Q 5'!H1334))</f>
        <v/>
      </c>
    </row>
    <row r="5190" spans="1:9" x14ac:dyDescent="0.3">
      <c r="A5190" t="s">
        <v>1902</v>
      </c>
      <c r="B5190" t="s">
        <v>1904</v>
      </c>
      <c r="C5190">
        <v>9</v>
      </c>
      <c r="D5190" t="s">
        <v>1447</v>
      </c>
      <c r="E5190" t="s">
        <v>1908</v>
      </c>
      <c r="F5190" t="s">
        <v>1806</v>
      </c>
      <c r="I5190" s="165" t="str">
        <f>IF(ISBLANK('Q 5'!H1335),"",IF('Q 5'!H1335="&lt;please select&gt;","",'Q 5'!H1335))</f>
        <v/>
      </c>
    </row>
    <row r="5191" spans="1:9" x14ac:dyDescent="0.3">
      <c r="A5191" t="s">
        <v>1902</v>
      </c>
      <c r="B5191" t="s">
        <v>1904</v>
      </c>
      <c r="C5191">
        <v>10</v>
      </c>
      <c r="D5191" t="s">
        <v>1447</v>
      </c>
      <c r="E5191" t="s">
        <v>1908</v>
      </c>
      <c r="F5191" t="s">
        <v>1806</v>
      </c>
      <c r="I5191" s="165" t="str">
        <f>IF(ISBLANK('Q 5'!H1336),"",IF('Q 5'!H1336="&lt;please select&gt;","",'Q 5'!H1336))</f>
        <v/>
      </c>
    </row>
    <row r="5192" spans="1:9" x14ac:dyDescent="0.3">
      <c r="A5192" t="s">
        <v>1902</v>
      </c>
      <c r="B5192" t="s">
        <v>1904</v>
      </c>
      <c r="C5192">
        <v>11</v>
      </c>
      <c r="D5192" t="s">
        <v>1447</v>
      </c>
      <c r="E5192" t="s">
        <v>1908</v>
      </c>
      <c r="F5192" t="s">
        <v>1806</v>
      </c>
      <c r="I5192" s="165" t="str">
        <f>IF(ISBLANK('Q 5'!H1337),"",IF('Q 5'!H1337="&lt;please select&gt;","",'Q 5'!H1337))</f>
        <v/>
      </c>
    </row>
    <row r="5193" spans="1:9" x14ac:dyDescent="0.3">
      <c r="A5193" t="s">
        <v>1902</v>
      </c>
      <c r="B5193" t="s">
        <v>1904</v>
      </c>
      <c r="C5193">
        <v>12</v>
      </c>
      <c r="D5193" t="s">
        <v>1447</v>
      </c>
      <c r="E5193" t="s">
        <v>1908</v>
      </c>
      <c r="F5193" t="s">
        <v>1806</v>
      </c>
      <c r="I5193" s="165" t="str">
        <f>IF(ISBLANK('Q 5'!H1338),"",IF('Q 5'!H1338="&lt;please select&gt;","",'Q 5'!H1338))</f>
        <v/>
      </c>
    </row>
    <row r="5194" spans="1:9" x14ac:dyDescent="0.3">
      <c r="A5194" t="s">
        <v>1902</v>
      </c>
      <c r="B5194" t="s">
        <v>1904</v>
      </c>
      <c r="C5194">
        <v>13</v>
      </c>
      <c r="D5194" t="s">
        <v>1447</v>
      </c>
      <c r="E5194" t="s">
        <v>1908</v>
      </c>
      <c r="F5194" t="s">
        <v>1806</v>
      </c>
      <c r="I5194" s="165" t="str">
        <f>IF(ISBLANK('Q 5'!H1339),"",IF('Q 5'!H1339="&lt;please select&gt;","",'Q 5'!H1339))</f>
        <v/>
      </c>
    </row>
    <row r="5195" spans="1:9" x14ac:dyDescent="0.3">
      <c r="A5195" t="s">
        <v>1902</v>
      </c>
      <c r="B5195" t="s">
        <v>1904</v>
      </c>
      <c r="C5195">
        <v>14</v>
      </c>
      <c r="D5195" t="s">
        <v>1447</v>
      </c>
      <c r="E5195" t="s">
        <v>1908</v>
      </c>
      <c r="F5195" t="s">
        <v>1806</v>
      </c>
      <c r="I5195" s="165" t="str">
        <f>IF(ISBLANK('Q 5'!H1340),"",IF('Q 5'!H1340="&lt;please select&gt;","",'Q 5'!H1340))</f>
        <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
      </c>
    </row>
    <row r="5233" spans="1:11" x14ac:dyDescent="0.3">
      <c r="A5233" t="s">
        <v>1902</v>
      </c>
      <c r="B5233" t="s">
        <v>1904</v>
      </c>
      <c r="C5233">
        <v>2</v>
      </c>
      <c r="D5233" t="s">
        <v>1447</v>
      </c>
      <c r="E5233" t="s">
        <v>1909</v>
      </c>
      <c r="F5233" t="s">
        <v>1759</v>
      </c>
      <c r="K5233" t="str">
        <f>IF(ISBLANK('Q 5'!I1328),"",IF('Q 5'!I1328="&lt;please select&gt;","",'Q 5'!I1328))</f>
        <v/>
      </c>
    </row>
    <row r="5234" spans="1:11" x14ac:dyDescent="0.3">
      <c r="A5234" t="s">
        <v>1902</v>
      </c>
      <c r="B5234" t="s">
        <v>1904</v>
      </c>
      <c r="C5234">
        <v>3</v>
      </c>
      <c r="D5234" t="s">
        <v>1447</v>
      </c>
      <c r="E5234" t="s">
        <v>1909</v>
      </c>
      <c r="F5234" t="s">
        <v>1759</v>
      </c>
      <c r="K5234" t="str">
        <f>IF(ISBLANK('Q 5'!I1329),"",IF('Q 5'!I1329="&lt;please select&gt;","",'Q 5'!I1329))</f>
        <v/>
      </c>
    </row>
    <row r="5235" spans="1:11" x14ac:dyDescent="0.3">
      <c r="A5235" t="s">
        <v>1902</v>
      </c>
      <c r="B5235" t="s">
        <v>1904</v>
      </c>
      <c r="C5235">
        <v>4</v>
      </c>
      <c r="D5235" t="s">
        <v>1447</v>
      </c>
      <c r="E5235" t="s">
        <v>1909</v>
      </c>
      <c r="F5235" t="s">
        <v>1759</v>
      </c>
      <c r="K5235" t="str">
        <f>IF(ISBLANK('Q 5'!I1330),"",IF('Q 5'!I1330="&lt;please select&gt;","",'Q 5'!I1330))</f>
        <v/>
      </c>
    </row>
    <row r="5236" spans="1:11" x14ac:dyDescent="0.3">
      <c r="A5236" t="s">
        <v>1902</v>
      </c>
      <c r="B5236" t="s">
        <v>1904</v>
      </c>
      <c r="C5236">
        <v>5</v>
      </c>
      <c r="D5236" t="s">
        <v>1447</v>
      </c>
      <c r="E5236" t="s">
        <v>1909</v>
      </c>
      <c r="F5236" t="s">
        <v>1759</v>
      </c>
      <c r="K5236" t="str">
        <f>IF(ISBLANK('Q 5'!I1331),"",IF('Q 5'!I1331="&lt;please select&gt;","",'Q 5'!I1331))</f>
        <v/>
      </c>
    </row>
    <row r="5237" spans="1:11" x14ac:dyDescent="0.3">
      <c r="A5237" t="s">
        <v>1902</v>
      </c>
      <c r="B5237" t="s">
        <v>1904</v>
      </c>
      <c r="C5237">
        <v>6</v>
      </c>
      <c r="D5237" t="s">
        <v>1447</v>
      </c>
      <c r="E5237" t="s">
        <v>1909</v>
      </c>
      <c r="F5237" t="s">
        <v>1759</v>
      </c>
      <c r="K5237" t="str">
        <f>IF(ISBLANK('Q 5'!I1332),"",IF('Q 5'!I1332="&lt;please select&gt;","",'Q 5'!I1332))</f>
        <v/>
      </c>
    </row>
    <row r="5238" spans="1:11" x14ac:dyDescent="0.3">
      <c r="A5238" t="s">
        <v>1902</v>
      </c>
      <c r="B5238" t="s">
        <v>1904</v>
      </c>
      <c r="C5238">
        <v>7</v>
      </c>
      <c r="D5238" t="s">
        <v>1447</v>
      </c>
      <c r="E5238" t="s">
        <v>1909</v>
      </c>
      <c r="F5238" t="s">
        <v>1759</v>
      </c>
      <c r="K5238" t="str">
        <f>IF(ISBLANK('Q 5'!I1333),"",IF('Q 5'!I1333="&lt;please select&gt;","",'Q 5'!I1333))</f>
        <v/>
      </c>
    </row>
    <row r="5239" spans="1:11" x14ac:dyDescent="0.3">
      <c r="A5239" t="s">
        <v>1902</v>
      </c>
      <c r="B5239" t="s">
        <v>1904</v>
      </c>
      <c r="C5239">
        <v>8</v>
      </c>
      <c r="D5239" t="s">
        <v>1447</v>
      </c>
      <c r="E5239" t="s">
        <v>1909</v>
      </c>
      <c r="F5239" t="s">
        <v>1759</v>
      </c>
      <c r="K5239" t="str">
        <f>IF(ISBLANK('Q 5'!I1334),"",IF('Q 5'!I1334="&lt;please select&gt;","",'Q 5'!I1334))</f>
        <v/>
      </c>
    </row>
    <row r="5240" spans="1:11" x14ac:dyDescent="0.3">
      <c r="A5240" t="s">
        <v>1902</v>
      </c>
      <c r="B5240" t="s">
        <v>1904</v>
      </c>
      <c r="C5240">
        <v>9</v>
      </c>
      <c r="D5240" t="s">
        <v>1447</v>
      </c>
      <c r="E5240" t="s">
        <v>1909</v>
      </c>
      <c r="F5240" t="s">
        <v>1759</v>
      </c>
      <c r="K5240" t="str">
        <f>IF(ISBLANK('Q 5'!I1335),"",IF('Q 5'!I1335="&lt;please select&gt;","",'Q 5'!I1335))</f>
        <v/>
      </c>
    </row>
    <row r="5241" spans="1:11" x14ac:dyDescent="0.3">
      <c r="A5241" t="s">
        <v>1902</v>
      </c>
      <c r="B5241" t="s">
        <v>1904</v>
      </c>
      <c r="C5241">
        <v>10</v>
      </c>
      <c r="D5241" t="s">
        <v>1447</v>
      </c>
      <c r="E5241" t="s">
        <v>1909</v>
      </c>
      <c r="F5241" t="s">
        <v>1759</v>
      </c>
      <c r="K5241" t="str">
        <f>IF(ISBLANK('Q 5'!I1336),"",IF('Q 5'!I1336="&lt;please select&gt;","",'Q 5'!I1336))</f>
        <v/>
      </c>
    </row>
    <row r="5242" spans="1:11" x14ac:dyDescent="0.3">
      <c r="A5242" t="s">
        <v>1902</v>
      </c>
      <c r="B5242" t="s">
        <v>1904</v>
      </c>
      <c r="C5242">
        <v>11</v>
      </c>
      <c r="D5242" t="s">
        <v>1447</v>
      </c>
      <c r="E5242" t="s">
        <v>1909</v>
      </c>
      <c r="F5242" t="s">
        <v>1759</v>
      </c>
      <c r="K5242" t="str">
        <f>IF(ISBLANK('Q 5'!I1337),"",IF('Q 5'!I1337="&lt;please select&gt;","",'Q 5'!I1337))</f>
        <v/>
      </c>
    </row>
    <row r="5243" spans="1:11" x14ac:dyDescent="0.3">
      <c r="A5243" t="s">
        <v>1902</v>
      </c>
      <c r="B5243" t="s">
        <v>1904</v>
      </c>
      <c r="C5243">
        <v>12</v>
      </c>
      <c r="D5243" t="s">
        <v>1447</v>
      </c>
      <c r="E5243" t="s">
        <v>1909</v>
      </c>
      <c r="F5243" t="s">
        <v>1759</v>
      </c>
      <c r="K5243" t="str">
        <f>IF(ISBLANK('Q 5'!I1338),"",IF('Q 5'!I1338="&lt;please select&gt;","",'Q 5'!I1338))</f>
        <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
      </c>
    </row>
    <row r="5283" spans="1:11" x14ac:dyDescent="0.3">
      <c r="A5283" t="s">
        <v>1910</v>
      </c>
      <c r="B5283" t="s">
        <v>1912</v>
      </c>
      <c r="C5283">
        <v>1</v>
      </c>
      <c r="D5283" t="s">
        <v>1447</v>
      </c>
      <c r="E5283" t="s">
        <v>1888</v>
      </c>
      <c r="F5283" t="s">
        <v>1737</v>
      </c>
      <c r="K5283" t="str">
        <f>IF(ISBLANK('Q 5'!C1389),"",IF('Q 5'!C1389="&lt;please select&gt;","",'Q 5'!C1389))</f>
        <v/>
      </c>
    </row>
    <row r="5284" spans="1:11" x14ac:dyDescent="0.3">
      <c r="A5284" t="s">
        <v>1910</v>
      </c>
      <c r="B5284" t="s">
        <v>1912</v>
      </c>
      <c r="C5284">
        <v>2</v>
      </c>
      <c r="D5284" t="s">
        <v>1447</v>
      </c>
      <c r="E5284" t="s">
        <v>1888</v>
      </c>
      <c r="F5284" t="s">
        <v>1737</v>
      </c>
      <c r="K5284" t="str">
        <f>IF(ISBLANK('Q 5'!C1390),"",IF('Q 5'!C1390="&lt;please select&gt;","",'Q 5'!C1390))</f>
        <v/>
      </c>
    </row>
    <row r="5285" spans="1:11" x14ac:dyDescent="0.3">
      <c r="A5285" t="s">
        <v>1910</v>
      </c>
      <c r="B5285" t="s">
        <v>1912</v>
      </c>
      <c r="C5285">
        <v>3</v>
      </c>
      <c r="D5285" t="s">
        <v>1447</v>
      </c>
      <c r="E5285" t="s">
        <v>1888</v>
      </c>
      <c r="F5285" t="s">
        <v>1737</v>
      </c>
      <c r="K5285" t="str">
        <f>IF(ISBLANK('Q 5'!C1391),"",IF('Q 5'!C1391="&lt;please select&gt;","",'Q 5'!C1391))</f>
        <v/>
      </c>
    </row>
    <row r="5286" spans="1:11" x14ac:dyDescent="0.3">
      <c r="A5286" t="s">
        <v>1910</v>
      </c>
      <c r="B5286" t="s">
        <v>1912</v>
      </c>
      <c r="C5286">
        <v>4</v>
      </c>
      <c r="D5286" t="s">
        <v>1447</v>
      </c>
      <c r="E5286" t="s">
        <v>1888</v>
      </c>
      <c r="F5286" t="s">
        <v>1737</v>
      </c>
      <c r="K5286" t="str">
        <f>IF(ISBLANK('Q 5'!C1392),"",IF('Q 5'!C1392="&lt;please select&gt;","",'Q 5'!C1392))</f>
        <v/>
      </c>
    </row>
    <row r="5287" spans="1:11" x14ac:dyDescent="0.3">
      <c r="A5287" t="s">
        <v>1910</v>
      </c>
      <c r="B5287" t="s">
        <v>1912</v>
      </c>
      <c r="C5287">
        <v>5</v>
      </c>
      <c r="D5287" t="s">
        <v>1447</v>
      </c>
      <c r="E5287" t="s">
        <v>1888</v>
      </c>
      <c r="F5287" t="s">
        <v>1737</v>
      </c>
      <c r="K5287" t="str">
        <f>IF(ISBLANK('Q 5'!C1393),"",IF('Q 5'!C1393="&lt;please select&gt;","",'Q 5'!C1393))</f>
        <v/>
      </c>
    </row>
    <row r="5288" spans="1:11" x14ac:dyDescent="0.3">
      <c r="A5288" t="s">
        <v>1910</v>
      </c>
      <c r="B5288" t="s">
        <v>1912</v>
      </c>
      <c r="C5288">
        <v>6</v>
      </c>
      <c r="D5288" t="s">
        <v>1447</v>
      </c>
      <c r="E5288" t="s">
        <v>1888</v>
      </c>
      <c r="F5288" t="s">
        <v>1737</v>
      </c>
      <c r="K5288" t="str">
        <f>IF(ISBLANK('Q 5'!C1394),"",IF('Q 5'!C1394="&lt;please select&gt;","",'Q 5'!C1394))</f>
        <v/>
      </c>
    </row>
    <row r="5289" spans="1:11" x14ac:dyDescent="0.3">
      <c r="A5289" t="s">
        <v>1910</v>
      </c>
      <c r="B5289" t="s">
        <v>1912</v>
      </c>
      <c r="C5289">
        <v>7</v>
      </c>
      <c r="D5289" t="s">
        <v>1447</v>
      </c>
      <c r="E5289" t="s">
        <v>1888</v>
      </c>
      <c r="F5289" t="s">
        <v>1737</v>
      </c>
      <c r="K5289" t="str">
        <f>IF(ISBLANK('Q 5'!C1395),"",IF('Q 5'!C1395="&lt;please select&gt;","",'Q 5'!C1395))</f>
        <v/>
      </c>
    </row>
    <row r="5290" spans="1:11" x14ac:dyDescent="0.3">
      <c r="A5290" t="s">
        <v>1910</v>
      </c>
      <c r="B5290" t="s">
        <v>1912</v>
      </c>
      <c r="C5290">
        <v>8</v>
      </c>
      <c r="D5290" t="s">
        <v>1447</v>
      </c>
      <c r="E5290" t="s">
        <v>1888</v>
      </c>
      <c r="F5290" t="s">
        <v>1737</v>
      </c>
      <c r="K5290" t="str">
        <f>IF(ISBLANK('Q 5'!C1396),"",IF('Q 5'!C1396="&lt;please select&gt;","",'Q 5'!C1396))</f>
        <v/>
      </c>
    </row>
    <row r="5291" spans="1:11" x14ac:dyDescent="0.3">
      <c r="A5291" t="s">
        <v>1910</v>
      </c>
      <c r="B5291" t="s">
        <v>1912</v>
      </c>
      <c r="C5291">
        <v>9</v>
      </c>
      <c r="D5291" t="s">
        <v>1447</v>
      </c>
      <c r="E5291" t="s">
        <v>1888</v>
      </c>
      <c r="F5291" t="s">
        <v>1737</v>
      </c>
      <c r="K5291" t="str">
        <f>IF(ISBLANK('Q 5'!C1397),"",IF('Q 5'!C1397="&lt;please select&gt;","",'Q 5'!C1397))</f>
        <v/>
      </c>
    </row>
    <row r="5292" spans="1:11" x14ac:dyDescent="0.3">
      <c r="A5292" t="s">
        <v>1910</v>
      </c>
      <c r="B5292" t="s">
        <v>1912</v>
      </c>
      <c r="C5292">
        <v>10</v>
      </c>
      <c r="D5292" t="s">
        <v>1447</v>
      </c>
      <c r="E5292" t="s">
        <v>1888</v>
      </c>
      <c r="F5292" t="s">
        <v>1737</v>
      </c>
      <c r="K5292" t="str">
        <f>IF(ISBLANK('Q 5'!C1398),"",IF('Q 5'!C1398="&lt;please select&gt;","",'Q 5'!C1398))</f>
        <v/>
      </c>
    </row>
    <row r="5293" spans="1:11" x14ac:dyDescent="0.3">
      <c r="A5293" t="s">
        <v>1910</v>
      </c>
      <c r="B5293" t="s">
        <v>1912</v>
      </c>
      <c r="C5293">
        <v>11</v>
      </c>
      <c r="D5293" t="s">
        <v>1447</v>
      </c>
      <c r="E5293" t="s">
        <v>1888</v>
      </c>
      <c r="F5293" t="s">
        <v>1737</v>
      </c>
      <c r="K5293" t="str">
        <f>IF(ISBLANK('Q 5'!C1399),"",IF('Q 5'!C1399="&lt;please select&gt;","",'Q 5'!C1399))</f>
        <v/>
      </c>
    </row>
    <row r="5294" spans="1:11" x14ac:dyDescent="0.3">
      <c r="A5294" t="s">
        <v>1910</v>
      </c>
      <c r="B5294" t="s">
        <v>1912</v>
      </c>
      <c r="C5294">
        <v>12</v>
      </c>
      <c r="D5294" t="s">
        <v>1447</v>
      </c>
      <c r="E5294" t="s">
        <v>1888</v>
      </c>
      <c r="F5294" t="s">
        <v>1737</v>
      </c>
      <c r="K5294" t="str">
        <f>IF(ISBLANK('Q 5'!C1400),"",IF('Q 5'!C1400="&lt;please select&gt;","",'Q 5'!C1400))</f>
        <v/>
      </c>
    </row>
    <row r="5295" spans="1:11" x14ac:dyDescent="0.3">
      <c r="A5295" t="s">
        <v>1910</v>
      </c>
      <c r="B5295" t="s">
        <v>1912</v>
      </c>
      <c r="C5295">
        <v>13</v>
      </c>
      <c r="D5295" t="s">
        <v>1447</v>
      </c>
      <c r="E5295" t="s">
        <v>1888</v>
      </c>
      <c r="F5295" t="s">
        <v>1737</v>
      </c>
      <c r="K5295" t="str">
        <f>IF(ISBLANK('Q 5'!C1401),"",IF('Q 5'!C1401="&lt;please select&gt;","",'Q 5'!C1401))</f>
        <v/>
      </c>
    </row>
    <row r="5296" spans="1:11" x14ac:dyDescent="0.3">
      <c r="A5296" t="s">
        <v>1910</v>
      </c>
      <c r="B5296" t="s">
        <v>1912</v>
      </c>
      <c r="C5296">
        <v>14</v>
      </c>
      <c r="D5296" t="s">
        <v>1447</v>
      </c>
      <c r="E5296" t="s">
        <v>1888</v>
      </c>
      <c r="F5296" t="s">
        <v>1737</v>
      </c>
      <c r="K5296" t="str">
        <f>IF(ISBLANK('Q 5'!C1402),"",IF('Q 5'!C1402="&lt;please select&gt;","",'Q 5'!C1402))</f>
        <v/>
      </c>
    </row>
    <row r="5297" spans="1:11" x14ac:dyDescent="0.3">
      <c r="A5297" t="s">
        <v>1910</v>
      </c>
      <c r="B5297" t="s">
        <v>1912</v>
      </c>
      <c r="C5297">
        <v>15</v>
      </c>
      <c r="D5297" t="s">
        <v>1447</v>
      </c>
      <c r="E5297" t="s">
        <v>1888</v>
      </c>
      <c r="F5297" t="s">
        <v>1737</v>
      </c>
      <c r="K5297" t="str">
        <f>IF(ISBLANK('Q 5'!C1403),"",IF('Q 5'!C1403="&lt;please select&gt;","",'Q 5'!C1403))</f>
        <v/>
      </c>
    </row>
    <row r="5298" spans="1:11" x14ac:dyDescent="0.3">
      <c r="A5298" t="s">
        <v>1910</v>
      </c>
      <c r="B5298" t="s">
        <v>1912</v>
      </c>
      <c r="C5298">
        <v>16</v>
      </c>
      <c r="D5298" t="s">
        <v>1447</v>
      </c>
      <c r="E5298" t="s">
        <v>1888</v>
      </c>
      <c r="F5298" t="s">
        <v>1737</v>
      </c>
      <c r="K5298" t="str">
        <f>IF(ISBLANK('Q 5'!C1404),"",IF('Q 5'!C1404="&lt;please select&gt;","",'Q 5'!C1404))</f>
        <v/>
      </c>
    </row>
    <row r="5299" spans="1:11" x14ac:dyDescent="0.3">
      <c r="A5299" t="s">
        <v>1910</v>
      </c>
      <c r="B5299" t="s">
        <v>1912</v>
      </c>
      <c r="C5299">
        <v>17</v>
      </c>
      <c r="D5299" t="s">
        <v>1447</v>
      </c>
      <c r="E5299" t="s">
        <v>1888</v>
      </c>
      <c r="F5299" t="s">
        <v>1737</v>
      </c>
      <c r="K5299" t="str">
        <f>IF(ISBLANK('Q 5'!C1405),"",IF('Q 5'!C1405="&lt;please select&gt;","",'Q 5'!C1405))</f>
        <v/>
      </c>
    </row>
    <row r="5300" spans="1:11" x14ac:dyDescent="0.3">
      <c r="A5300" t="s">
        <v>1910</v>
      </c>
      <c r="B5300" t="s">
        <v>1912</v>
      </c>
      <c r="C5300">
        <v>18</v>
      </c>
      <c r="D5300" t="s">
        <v>1447</v>
      </c>
      <c r="E5300" t="s">
        <v>1888</v>
      </c>
      <c r="F5300" t="s">
        <v>1737</v>
      </c>
      <c r="K5300" t="str">
        <f>IF(ISBLANK('Q 5'!C1406),"",IF('Q 5'!C1406="&lt;please select&gt;","",'Q 5'!C1406))</f>
        <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
      </c>
    </row>
    <row r="5334" spans="1:11" x14ac:dyDescent="0.3">
      <c r="A5334" t="s">
        <v>1910</v>
      </c>
      <c r="B5334" t="s">
        <v>1912</v>
      </c>
      <c r="C5334">
        <v>2</v>
      </c>
      <c r="D5334" t="s">
        <v>1447</v>
      </c>
      <c r="E5334" t="s">
        <v>1913</v>
      </c>
      <c r="F5334" t="s">
        <v>1737</v>
      </c>
      <c r="K5334" t="str">
        <f>IF(ISBLANK('Q 5'!D1390),"",IF('Q 5'!D1390="&lt;please select&gt;","",'Q 5'!D1390))</f>
        <v/>
      </c>
    </row>
    <row r="5335" spans="1:11" x14ac:dyDescent="0.3">
      <c r="A5335" t="s">
        <v>1910</v>
      </c>
      <c r="B5335" t="s">
        <v>1912</v>
      </c>
      <c r="C5335">
        <v>3</v>
      </c>
      <c r="D5335" t="s">
        <v>1447</v>
      </c>
      <c r="E5335" t="s">
        <v>1913</v>
      </c>
      <c r="F5335" t="s">
        <v>1737</v>
      </c>
      <c r="K5335" t="str">
        <f>IF(ISBLANK('Q 5'!D1391),"",IF('Q 5'!D1391="&lt;please select&gt;","",'Q 5'!D1391))</f>
        <v/>
      </c>
    </row>
    <row r="5336" spans="1:11" x14ac:dyDescent="0.3">
      <c r="A5336" t="s">
        <v>1910</v>
      </c>
      <c r="B5336" t="s">
        <v>1912</v>
      </c>
      <c r="C5336">
        <v>4</v>
      </c>
      <c r="D5336" t="s">
        <v>1447</v>
      </c>
      <c r="E5336" t="s">
        <v>1913</v>
      </c>
      <c r="F5336" t="s">
        <v>1737</v>
      </c>
      <c r="K5336" t="str">
        <f>IF(ISBLANK('Q 5'!D1392),"",IF('Q 5'!D1392="&lt;please select&gt;","",'Q 5'!D1392))</f>
        <v/>
      </c>
    </row>
    <row r="5337" spans="1:11" x14ac:dyDescent="0.3">
      <c r="A5337" t="s">
        <v>1910</v>
      </c>
      <c r="B5337" t="s">
        <v>1912</v>
      </c>
      <c r="C5337">
        <v>5</v>
      </c>
      <c r="D5337" t="s">
        <v>1447</v>
      </c>
      <c r="E5337" t="s">
        <v>1913</v>
      </c>
      <c r="F5337" t="s">
        <v>1737</v>
      </c>
      <c r="K5337" t="str">
        <f>IF(ISBLANK('Q 5'!D1393),"",IF('Q 5'!D1393="&lt;please select&gt;","",'Q 5'!D1393))</f>
        <v/>
      </c>
    </row>
    <row r="5338" spans="1:11" x14ac:dyDescent="0.3">
      <c r="A5338" t="s">
        <v>1910</v>
      </c>
      <c r="B5338" t="s">
        <v>1912</v>
      </c>
      <c r="C5338">
        <v>6</v>
      </c>
      <c r="D5338" t="s">
        <v>1447</v>
      </c>
      <c r="E5338" t="s">
        <v>1913</v>
      </c>
      <c r="F5338" t="s">
        <v>1737</v>
      </c>
      <c r="K5338" t="str">
        <f>IF(ISBLANK('Q 5'!D1394),"",IF('Q 5'!D1394="&lt;please select&gt;","",'Q 5'!D1394))</f>
        <v/>
      </c>
    </row>
    <row r="5339" spans="1:11" x14ac:dyDescent="0.3">
      <c r="A5339" t="s">
        <v>1910</v>
      </c>
      <c r="B5339" t="s">
        <v>1912</v>
      </c>
      <c r="C5339">
        <v>7</v>
      </c>
      <c r="D5339" t="s">
        <v>1447</v>
      </c>
      <c r="E5339" t="s">
        <v>1913</v>
      </c>
      <c r="F5339" t="s">
        <v>1737</v>
      </c>
      <c r="K5339" t="str">
        <f>IF(ISBLANK('Q 5'!D1395),"",IF('Q 5'!D1395="&lt;please select&gt;","",'Q 5'!D1395))</f>
        <v/>
      </c>
    </row>
    <row r="5340" spans="1:11" x14ac:dyDescent="0.3">
      <c r="A5340" t="s">
        <v>1910</v>
      </c>
      <c r="B5340" t="s">
        <v>1912</v>
      </c>
      <c r="C5340">
        <v>8</v>
      </c>
      <c r="D5340" t="s">
        <v>1447</v>
      </c>
      <c r="E5340" t="s">
        <v>1913</v>
      </c>
      <c r="F5340" t="s">
        <v>1737</v>
      </c>
      <c r="K5340" t="str">
        <f>IF(ISBLANK('Q 5'!D1396),"",IF('Q 5'!D1396="&lt;please select&gt;","",'Q 5'!D1396))</f>
        <v/>
      </c>
    </row>
    <row r="5341" spans="1:11" x14ac:dyDescent="0.3">
      <c r="A5341" t="s">
        <v>1910</v>
      </c>
      <c r="B5341" t="s">
        <v>1912</v>
      </c>
      <c r="C5341">
        <v>9</v>
      </c>
      <c r="D5341" t="s">
        <v>1447</v>
      </c>
      <c r="E5341" t="s">
        <v>1913</v>
      </c>
      <c r="F5341" t="s">
        <v>1737</v>
      </c>
      <c r="K5341" t="str">
        <f>IF(ISBLANK('Q 5'!D1397),"",IF('Q 5'!D1397="&lt;please select&gt;","",'Q 5'!D1397))</f>
        <v/>
      </c>
    </row>
    <row r="5342" spans="1:11" x14ac:dyDescent="0.3">
      <c r="A5342" t="s">
        <v>1910</v>
      </c>
      <c r="B5342" t="s">
        <v>1912</v>
      </c>
      <c r="C5342">
        <v>10</v>
      </c>
      <c r="D5342" t="s">
        <v>1447</v>
      </c>
      <c r="E5342" t="s">
        <v>1913</v>
      </c>
      <c r="F5342" t="s">
        <v>1737</v>
      </c>
      <c r="K5342" t="str">
        <f>IF(ISBLANK('Q 5'!D1398),"",IF('Q 5'!D1398="&lt;please select&gt;","",'Q 5'!D1398))</f>
        <v/>
      </c>
    </row>
    <row r="5343" spans="1:11" x14ac:dyDescent="0.3">
      <c r="A5343" t="s">
        <v>1910</v>
      </c>
      <c r="B5343" t="s">
        <v>1912</v>
      </c>
      <c r="C5343">
        <v>11</v>
      </c>
      <c r="D5343" t="s">
        <v>1447</v>
      </c>
      <c r="E5343" t="s">
        <v>1913</v>
      </c>
      <c r="F5343" t="s">
        <v>1737</v>
      </c>
      <c r="K5343" t="str">
        <f>IF(ISBLANK('Q 5'!D1399),"",IF('Q 5'!D1399="&lt;please select&gt;","",'Q 5'!D1399))</f>
        <v/>
      </c>
    </row>
    <row r="5344" spans="1:11" x14ac:dyDescent="0.3">
      <c r="A5344" t="s">
        <v>1910</v>
      </c>
      <c r="B5344" t="s">
        <v>1912</v>
      </c>
      <c r="C5344">
        <v>12</v>
      </c>
      <c r="D5344" t="s">
        <v>1447</v>
      </c>
      <c r="E5344" t="s">
        <v>1913</v>
      </c>
      <c r="F5344" t="s">
        <v>1737</v>
      </c>
      <c r="K5344" t="str">
        <f>IF(ISBLANK('Q 5'!D1400),"",IF('Q 5'!D1400="&lt;please select&gt;","",'Q 5'!D1400))</f>
        <v/>
      </c>
    </row>
    <row r="5345" spans="1:11" x14ac:dyDescent="0.3">
      <c r="A5345" t="s">
        <v>1910</v>
      </c>
      <c r="B5345" t="s">
        <v>1912</v>
      </c>
      <c r="C5345">
        <v>13</v>
      </c>
      <c r="D5345" t="s">
        <v>1447</v>
      </c>
      <c r="E5345" t="s">
        <v>1913</v>
      </c>
      <c r="F5345" t="s">
        <v>1737</v>
      </c>
      <c r="K5345" t="str">
        <f>IF(ISBLANK('Q 5'!D1401),"",IF('Q 5'!D1401="&lt;please select&gt;","",'Q 5'!D1401))</f>
        <v/>
      </c>
    </row>
    <row r="5346" spans="1:11" x14ac:dyDescent="0.3">
      <c r="A5346" t="s">
        <v>1910</v>
      </c>
      <c r="B5346" t="s">
        <v>1912</v>
      </c>
      <c r="C5346">
        <v>14</v>
      </c>
      <c r="D5346" t="s">
        <v>1447</v>
      </c>
      <c r="E5346" t="s">
        <v>1913</v>
      </c>
      <c r="F5346" t="s">
        <v>1737</v>
      </c>
      <c r="K5346" t="str">
        <f>IF(ISBLANK('Q 5'!D1402),"",IF('Q 5'!D1402="&lt;please select&gt;","",'Q 5'!D1402))</f>
        <v/>
      </c>
    </row>
    <row r="5347" spans="1:11" x14ac:dyDescent="0.3">
      <c r="A5347" t="s">
        <v>1910</v>
      </c>
      <c r="B5347" t="s">
        <v>1912</v>
      </c>
      <c r="C5347">
        <v>15</v>
      </c>
      <c r="D5347" t="s">
        <v>1447</v>
      </c>
      <c r="E5347" t="s">
        <v>1913</v>
      </c>
      <c r="F5347" t="s">
        <v>1737</v>
      </c>
      <c r="K5347" t="str">
        <f>IF(ISBLANK('Q 5'!D1403),"",IF('Q 5'!D1403="&lt;please select&gt;","",'Q 5'!D1403))</f>
        <v/>
      </c>
    </row>
    <row r="5348" spans="1:11" x14ac:dyDescent="0.3">
      <c r="A5348" t="s">
        <v>1910</v>
      </c>
      <c r="B5348" t="s">
        <v>1912</v>
      </c>
      <c r="C5348">
        <v>16</v>
      </c>
      <c r="D5348" t="s">
        <v>1447</v>
      </c>
      <c r="E5348" t="s">
        <v>1913</v>
      </c>
      <c r="F5348" t="s">
        <v>1737</v>
      </c>
      <c r="K5348" t="str">
        <f>IF(ISBLANK('Q 5'!D1404),"",IF('Q 5'!D1404="&lt;please select&gt;","",'Q 5'!D1404))</f>
        <v/>
      </c>
    </row>
    <row r="5349" spans="1:11" x14ac:dyDescent="0.3">
      <c r="A5349" t="s">
        <v>1910</v>
      </c>
      <c r="B5349" t="s">
        <v>1912</v>
      </c>
      <c r="C5349">
        <v>17</v>
      </c>
      <c r="D5349" t="s">
        <v>1447</v>
      </c>
      <c r="E5349" t="s">
        <v>1913</v>
      </c>
      <c r="F5349" t="s">
        <v>1737</v>
      </c>
      <c r="K5349" t="str">
        <f>IF(ISBLANK('Q 5'!D1405),"",IF('Q 5'!D1405="&lt;please select&gt;","",'Q 5'!D1405))</f>
        <v/>
      </c>
    </row>
    <row r="5350" spans="1:11" x14ac:dyDescent="0.3">
      <c r="A5350" t="s">
        <v>1910</v>
      </c>
      <c r="B5350" t="s">
        <v>1912</v>
      </c>
      <c r="C5350">
        <v>18</v>
      </c>
      <c r="D5350" t="s">
        <v>1447</v>
      </c>
      <c r="E5350" t="s">
        <v>1913</v>
      </c>
      <c r="F5350" t="s">
        <v>1737</v>
      </c>
      <c r="K5350" t="str">
        <f>IF(ISBLANK('Q 5'!D1406),"",IF('Q 5'!D1406="&lt;please select&gt;","",'Q 5'!D1406))</f>
        <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
      </c>
    </row>
    <row r="5384" spans="1:11" x14ac:dyDescent="0.3">
      <c r="A5384" t="s">
        <v>1910</v>
      </c>
      <c r="B5384" t="s">
        <v>1912</v>
      </c>
      <c r="C5384">
        <v>2</v>
      </c>
      <c r="D5384" t="s">
        <v>1447</v>
      </c>
      <c r="E5384" t="s">
        <v>1914</v>
      </c>
      <c r="F5384" t="s">
        <v>1748</v>
      </c>
      <c r="H5384" t="str">
        <f>IF(ISBLANK('Q 5'!E1390),"",IF('Q 5'!E1390="&lt;please select&gt;","",'Q 5'!E1390))</f>
        <v/>
      </c>
    </row>
    <row r="5385" spans="1:11" x14ac:dyDescent="0.3">
      <c r="A5385" t="s">
        <v>1910</v>
      </c>
      <c r="B5385" t="s">
        <v>1912</v>
      </c>
      <c r="C5385">
        <v>3</v>
      </c>
      <c r="D5385" t="s">
        <v>1447</v>
      </c>
      <c r="E5385" t="s">
        <v>1914</v>
      </c>
      <c r="F5385" t="s">
        <v>1748</v>
      </c>
      <c r="H5385" t="str">
        <f>IF(ISBLANK('Q 5'!E1391),"",IF('Q 5'!E1391="&lt;please select&gt;","",'Q 5'!E1391))</f>
        <v/>
      </c>
    </row>
    <row r="5386" spans="1:11" x14ac:dyDescent="0.3">
      <c r="A5386" t="s">
        <v>1910</v>
      </c>
      <c r="B5386" t="s">
        <v>1912</v>
      </c>
      <c r="C5386">
        <v>4</v>
      </c>
      <c r="D5386" t="s">
        <v>1447</v>
      </c>
      <c r="E5386" t="s">
        <v>1914</v>
      </c>
      <c r="F5386" t="s">
        <v>1748</v>
      </c>
      <c r="H5386" t="str">
        <f>IF(ISBLANK('Q 5'!E1392),"",IF('Q 5'!E1392="&lt;please select&gt;","",'Q 5'!E1392))</f>
        <v/>
      </c>
    </row>
    <row r="5387" spans="1:11" x14ac:dyDescent="0.3">
      <c r="A5387" t="s">
        <v>1910</v>
      </c>
      <c r="B5387" t="s">
        <v>1912</v>
      </c>
      <c r="C5387">
        <v>5</v>
      </c>
      <c r="D5387" t="s">
        <v>1447</v>
      </c>
      <c r="E5387" t="s">
        <v>1914</v>
      </c>
      <c r="F5387" t="s">
        <v>1748</v>
      </c>
      <c r="H5387" t="str">
        <f>IF(ISBLANK('Q 5'!E1393),"",IF('Q 5'!E1393="&lt;please select&gt;","",'Q 5'!E1393))</f>
        <v/>
      </c>
    </row>
    <row r="5388" spans="1:11" x14ac:dyDescent="0.3">
      <c r="A5388" t="s">
        <v>1910</v>
      </c>
      <c r="B5388" t="s">
        <v>1912</v>
      </c>
      <c r="C5388">
        <v>6</v>
      </c>
      <c r="D5388" t="s">
        <v>1447</v>
      </c>
      <c r="E5388" t="s">
        <v>1914</v>
      </c>
      <c r="F5388" t="s">
        <v>1748</v>
      </c>
      <c r="H5388" t="str">
        <f>IF(ISBLANK('Q 5'!E1394),"",IF('Q 5'!E1394="&lt;please select&gt;","",'Q 5'!E1394))</f>
        <v/>
      </c>
    </row>
    <row r="5389" spans="1:11" x14ac:dyDescent="0.3">
      <c r="A5389" t="s">
        <v>1910</v>
      </c>
      <c r="B5389" t="s">
        <v>1912</v>
      </c>
      <c r="C5389">
        <v>7</v>
      </c>
      <c r="D5389" t="s">
        <v>1447</v>
      </c>
      <c r="E5389" t="s">
        <v>1914</v>
      </c>
      <c r="F5389" t="s">
        <v>1748</v>
      </c>
      <c r="H5389" t="str">
        <f>IF(ISBLANK('Q 5'!E1395),"",IF('Q 5'!E1395="&lt;please select&gt;","",'Q 5'!E1395))</f>
        <v/>
      </c>
    </row>
    <row r="5390" spans="1:11" x14ac:dyDescent="0.3">
      <c r="A5390" t="s">
        <v>1910</v>
      </c>
      <c r="B5390" t="s">
        <v>1912</v>
      </c>
      <c r="C5390">
        <v>8</v>
      </c>
      <c r="D5390" t="s">
        <v>1447</v>
      </c>
      <c r="E5390" t="s">
        <v>1914</v>
      </c>
      <c r="F5390" t="s">
        <v>1748</v>
      </c>
      <c r="H5390" t="str">
        <f>IF(ISBLANK('Q 5'!E1396),"",IF('Q 5'!E1396="&lt;please select&gt;","",'Q 5'!E1396))</f>
        <v/>
      </c>
    </row>
    <row r="5391" spans="1:11" x14ac:dyDescent="0.3">
      <c r="A5391" t="s">
        <v>1910</v>
      </c>
      <c r="B5391" t="s">
        <v>1912</v>
      </c>
      <c r="C5391">
        <v>9</v>
      </c>
      <c r="D5391" t="s">
        <v>1447</v>
      </c>
      <c r="E5391" t="s">
        <v>1914</v>
      </c>
      <c r="F5391" t="s">
        <v>1748</v>
      </c>
      <c r="H5391" t="str">
        <f>IF(ISBLANK('Q 5'!E1397),"",IF('Q 5'!E1397="&lt;please select&gt;","",'Q 5'!E1397))</f>
        <v/>
      </c>
    </row>
    <row r="5392" spans="1:11" x14ac:dyDescent="0.3">
      <c r="A5392" t="s">
        <v>1910</v>
      </c>
      <c r="B5392" t="s">
        <v>1912</v>
      </c>
      <c r="C5392">
        <v>10</v>
      </c>
      <c r="D5392" t="s">
        <v>1447</v>
      </c>
      <c r="E5392" t="s">
        <v>1914</v>
      </c>
      <c r="F5392" t="s">
        <v>1748</v>
      </c>
      <c r="H5392" t="str">
        <f>IF(ISBLANK('Q 5'!E1398),"",IF('Q 5'!E1398="&lt;please select&gt;","",'Q 5'!E1398))</f>
        <v/>
      </c>
    </row>
    <row r="5393" spans="1:8" x14ac:dyDescent="0.3">
      <c r="A5393" t="s">
        <v>1910</v>
      </c>
      <c r="B5393" t="s">
        <v>1912</v>
      </c>
      <c r="C5393">
        <v>11</v>
      </c>
      <c r="D5393" t="s">
        <v>1447</v>
      </c>
      <c r="E5393" t="s">
        <v>1914</v>
      </c>
      <c r="F5393" t="s">
        <v>1748</v>
      </c>
      <c r="H5393" t="str">
        <f>IF(ISBLANK('Q 5'!E1399),"",IF('Q 5'!E1399="&lt;please select&gt;","",'Q 5'!E1399))</f>
        <v/>
      </c>
    </row>
    <row r="5394" spans="1:8" x14ac:dyDescent="0.3">
      <c r="A5394" t="s">
        <v>1910</v>
      </c>
      <c r="B5394" t="s">
        <v>1912</v>
      </c>
      <c r="C5394">
        <v>12</v>
      </c>
      <c r="D5394" t="s">
        <v>1447</v>
      </c>
      <c r="E5394" t="s">
        <v>1914</v>
      </c>
      <c r="F5394" t="s">
        <v>1748</v>
      </c>
      <c r="H5394" t="str">
        <f>IF(ISBLANK('Q 5'!E1400),"",IF('Q 5'!E1400="&lt;please select&gt;","",'Q 5'!E1400))</f>
        <v/>
      </c>
    </row>
    <row r="5395" spans="1:8" x14ac:dyDescent="0.3">
      <c r="A5395" t="s">
        <v>1910</v>
      </c>
      <c r="B5395" t="s">
        <v>1912</v>
      </c>
      <c r="C5395">
        <v>13</v>
      </c>
      <c r="D5395" t="s">
        <v>1447</v>
      </c>
      <c r="E5395" t="s">
        <v>1914</v>
      </c>
      <c r="F5395" t="s">
        <v>1748</v>
      </c>
      <c r="H5395" t="str">
        <f>IF(ISBLANK('Q 5'!E1401),"",IF('Q 5'!E1401="&lt;please select&gt;","",'Q 5'!E1401))</f>
        <v/>
      </c>
    </row>
    <row r="5396" spans="1:8" x14ac:dyDescent="0.3">
      <c r="A5396" t="s">
        <v>1910</v>
      </c>
      <c r="B5396" t="s">
        <v>1912</v>
      </c>
      <c r="C5396">
        <v>14</v>
      </c>
      <c r="D5396" t="s">
        <v>1447</v>
      </c>
      <c r="E5396" t="s">
        <v>1914</v>
      </c>
      <c r="F5396" t="s">
        <v>1748</v>
      </c>
      <c r="H5396" t="str">
        <f>IF(ISBLANK('Q 5'!E1402),"",IF('Q 5'!E1402="&lt;please select&gt;","",'Q 5'!E1402))</f>
        <v/>
      </c>
    </row>
    <row r="5397" spans="1:8" x14ac:dyDescent="0.3">
      <c r="A5397" t="s">
        <v>1910</v>
      </c>
      <c r="B5397" t="s">
        <v>1912</v>
      </c>
      <c r="C5397">
        <v>15</v>
      </c>
      <c r="D5397" t="s">
        <v>1447</v>
      </c>
      <c r="E5397" t="s">
        <v>1914</v>
      </c>
      <c r="F5397" t="s">
        <v>1748</v>
      </c>
      <c r="H5397" t="str">
        <f>IF(ISBLANK('Q 5'!E1403),"",IF('Q 5'!E1403="&lt;please select&gt;","",'Q 5'!E1403))</f>
        <v/>
      </c>
    </row>
    <row r="5398" spans="1:8" x14ac:dyDescent="0.3">
      <c r="A5398" t="s">
        <v>1910</v>
      </c>
      <c r="B5398" t="s">
        <v>1912</v>
      </c>
      <c r="C5398">
        <v>16</v>
      </c>
      <c r="D5398" t="s">
        <v>1447</v>
      </c>
      <c r="E5398" t="s">
        <v>1914</v>
      </c>
      <c r="F5398" t="s">
        <v>1748</v>
      </c>
      <c r="H5398" t="str">
        <f>IF(ISBLANK('Q 5'!E1404),"",IF('Q 5'!E1404="&lt;please select&gt;","",'Q 5'!E1404))</f>
        <v/>
      </c>
    </row>
    <row r="5399" spans="1:8" x14ac:dyDescent="0.3">
      <c r="A5399" t="s">
        <v>1910</v>
      </c>
      <c r="B5399" t="s">
        <v>1912</v>
      </c>
      <c r="C5399">
        <v>17</v>
      </c>
      <c r="D5399" t="s">
        <v>1447</v>
      </c>
      <c r="E5399" t="s">
        <v>1914</v>
      </c>
      <c r="F5399" t="s">
        <v>1748</v>
      </c>
      <c r="H5399" t="str">
        <f>IF(ISBLANK('Q 5'!E1405),"",IF('Q 5'!E1405="&lt;please select&gt;","",'Q 5'!E1405))</f>
        <v/>
      </c>
    </row>
    <row r="5400" spans="1:8" x14ac:dyDescent="0.3">
      <c r="A5400" t="s">
        <v>1910</v>
      </c>
      <c r="B5400" t="s">
        <v>1912</v>
      </c>
      <c r="C5400">
        <v>18</v>
      </c>
      <c r="D5400" t="s">
        <v>1447</v>
      </c>
      <c r="E5400" t="s">
        <v>1914</v>
      </c>
      <c r="F5400" t="s">
        <v>1748</v>
      </c>
      <c r="H5400" t="str">
        <f>IF(ISBLANK('Q 5'!E1406),"",IF('Q 5'!E1406="&lt;please select&gt;","",'Q 5'!E1406))</f>
        <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
      </c>
    </row>
    <row r="5434" spans="1:9" x14ac:dyDescent="0.3">
      <c r="A5434" t="s">
        <v>1910</v>
      </c>
      <c r="B5434" t="s">
        <v>1912</v>
      </c>
      <c r="C5434">
        <v>2</v>
      </c>
      <c r="D5434" t="s">
        <v>1447</v>
      </c>
      <c r="E5434" t="s">
        <v>1915</v>
      </c>
      <c r="F5434" t="s">
        <v>1806</v>
      </c>
      <c r="I5434" t="str">
        <f>IF(ISBLANK('Q 5'!F1390),"",IF('Q 5'!F1390="&lt;please select&gt;","",'Q 5'!F1390))</f>
        <v/>
      </c>
    </row>
    <row r="5435" spans="1:9" x14ac:dyDescent="0.3">
      <c r="A5435" t="s">
        <v>1910</v>
      </c>
      <c r="B5435" t="s">
        <v>1912</v>
      </c>
      <c r="C5435">
        <v>3</v>
      </c>
      <c r="D5435" t="s">
        <v>1447</v>
      </c>
      <c r="E5435" t="s">
        <v>1915</v>
      </c>
      <c r="F5435" t="s">
        <v>1806</v>
      </c>
      <c r="I5435" t="str">
        <f>IF(ISBLANK('Q 5'!F1391),"",IF('Q 5'!F1391="&lt;please select&gt;","",'Q 5'!F1391))</f>
        <v/>
      </c>
    </row>
    <row r="5436" spans="1:9" x14ac:dyDescent="0.3">
      <c r="A5436" t="s">
        <v>1910</v>
      </c>
      <c r="B5436" t="s">
        <v>1912</v>
      </c>
      <c r="C5436">
        <v>4</v>
      </c>
      <c r="D5436" t="s">
        <v>1447</v>
      </c>
      <c r="E5436" t="s">
        <v>1915</v>
      </c>
      <c r="F5436" t="s">
        <v>1806</v>
      </c>
      <c r="I5436" t="str">
        <f>IF(ISBLANK('Q 5'!F1392),"",IF('Q 5'!F1392="&lt;please select&gt;","",'Q 5'!F1392))</f>
        <v/>
      </c>
    </row>
    <row r="5437" spans="1:9" x14ac:dyDescent="0.3">
      <c r="A5437" t="s">
        <v>1910</v>
      </c>
      <c r="B5437" t="s">
        <v>1912</v>
      </c>
      <c r="C5437">
        <v>5</v>
      </c>
      <c r="D5437" t="s">
        <v>1447</v>
      </c>
      <c r="E5437" t="s">
        <v>1915</v>
      </c>
      <c r="F5437" t="s">
        <v>1806</v>
      </c>
      <c r="I5437" t="str">
        <f>IF(ISBLANK('Q 5'!F1393),"",IF('Q 5'!F1393="&lt;please select&gt;","",'Q 5'!F1393))</f>
        <v/>
      </c>
    </row>
    <row r="5438" spans="1:9" x14ac:dyDescent="0.3">
      <c r="A5438" t="s">
        <v>1910</v>
      </c>
      <c r="B5438" t="s">
        <v>1912</v>
      </c>
      <c r="C5438">
        <v>6</v>
      </c>
      <c r="D5438" t="s">
        <v>1447</v>
      </c>
      <c r="E5438" t="s">
        <v>1915</v>
      </c>
      <c r="F5438" t="s">
        <v>1806</v>
      </c>
      <c r="I5438" t="str">
        <f>IF(ISBLANK('Q 5'!F1394),"",IF('Q 5'!F1394="&lt;please select&gt;","",'Q 5'!F1394))</f>
        <v/>
      </c>
    </row>
    <row r="5439" spans="1:9" x14ac:dyDescent="0.3">
      <c r="A5439" t="s">
        <v>1910</v>
      </c>
      <c r="B5439" t="s">
        <v>1912</v>
      </c>
      <c r="C5439">
        <v>7</v>
      </c>
      <c r="D5439" t="s">
        <v>1447</v>
      </c>
      <c r="E5439" t="s">
        <v>1915</v>
      </c>
      <c r="F5439" t="s">
        <v>1806</v>
      </c>
      <c r="I5439" t="str">
        <f>IF(ISBLANK('Q 5'!F1395),"",IF('Q 5'!F1395="&lt;please select&gt;","",'Q 5'!F1395))</f>
        <v/>
      </c>
    </row>
    <row r="5440" spans="1:9" x14ac:dyDescent="0.3">
      <c r="A5440" t="s">
        <v>1910</v>
      </c>
      <c r="B5440" t="s">
        <v>1912</v>
      </c>
      <c r="C5440">
        <v>8</v>
      </c>
      <c r="D5440" t="s">
        <v>1447</v>
      </c>
      <c r="E5440" t="s">
        <v>1915</v>
      </c>
      <c r="F5440" t="s">
        <v>1806</v>
      </c>
      <c r="I5440" t="str">
        <f>IF(ISBLANK('Q 5'!F1396),"",IF('Q 5'!F1396="&lt;please select&gt;","",'Q 5'!F1396))</f>
        <v/>
      </c>
    </row>
    <row r="5441" spans="1:9" x14ac:dyDescent="0.3">
      <c r="A5441" t="s">
        <v>1910</v>
      </c>
      <c r="B5441" t="s">
        <v>1912</v>
      </c>
      <c r="C5441">
        <v>9</v>
      </c>
      <c r="D5441" t="s">
        <v>1447</v>
      </c>
      <c r="E5441" t="s">
        <v>1915</v>
      </c>
      <c r="F5441" t="s">
        <v>1806</v>
      </c>
      <c r="I5441" t="str">
        <f>IF(ISBLANK('Q 5'!F1397),"",IF('Q 5'!F1397="&lt;please select&gt;","",'Q 5'!F1397))</f>
        <v/>
      </c>
    </row>
    <row r="5442" spans="1:9" x14ac:dyDescent="0.3">
      <c r="A5442" t="s">
        <v>1910</v>
      </c>
      <c r="B5442" t="s">
        <v>1912</v>
      </c>
      <c r="C5442">
        <v>10</v>
      </c>
      <c r="D5442" t="s">
        <v>1447</v>
      </c>
      <c r="E5442" t="s">
        <v>1915</v>
      </c>
      <c r="F5442" t="s">
        <v>1806</v>
      </c>
      <c r="I5442" t="str">
        <f>IF(ISBLANK('Q 5'!F1398),"",IF('Q 5'!F1398="&lt;please select&gt;","",'Q 5'!F1398))</f>
        <v/>
      </c>
    </row>
    <row r="5443" spans="1:9" x14ac:dyDescent="0.3">
      <c r="A5443" t="s">
        <v>1910</v>
      </c>
      <c r="B5443" t="s">
        <v>1912</v>
      </c>
      <c r="C5443">
        <v>11</v>
      </c>
      <c r="D5443" t="s">
        <v>1447</v>
      </c>
      <c r="E5443" t="s">
        <v>1915</v>
      </c>
      <c r="F5443" t="s">
        <v>1806</v>
      </c>
      <c r="I5443" t="str">
        <f>IF(ISBLANK('Q 5'!F1399),"",IF('Q 5'!F1399="&lt;please select&gt;","",'Q 5'!F1399))</f>
        <v/>
      </c>
    </row>
    <row r="5444" spans="1:9" x14ac:dyDescent="0.3">
      <c r="A5444" t="s">
        <v>1910</v>
      </c>
      <c r="B5444" t="s">
        <v>1912</v>
      </c>
      <c r="C5444">
        <v>12</v>
      </c>
      <c r="D5444" t="s">
        <v>1447</v>
      </c>
      <c r="E5444" t="s">
        <v>1915</v>
      </c>
      <c r="F5444" t="s">
        <v>1806</v>
      </c>
      <c r="I5444" t="str">
        <f>IF(ISBLANK('Q 5'!F1400),"",IF('Q 5'!F1400="&lt;please select&gt;","",'Q 5'!F1400))</f>
        <v/>
      </c>
    </row>
    <row r="5445" spans="1:9" x14ac:dyDescent="0.3">
      <c r="A5445" t="s">
        <v>1910</v>
      </c>
      <c r="B5445" t="s">
        <v>1912</v>
      </c>
      <c r="C5445">
        <v>13</v>
      </c>
      <c r="D5445" t="s">
        <v>1447</v>
      </c>
      <c r="E5445" t="s">
        <v>1915</v>
      </c>
      <c r="F5445" t="s">
        <v>1806</v>
      </c>
      <c r="I5445" t="str">
        <f>IF(ISBLANK('Q 5'!F1401),"",IF('Q 5'!F1401="&lt;please select&gt;","",'Q 5'!F1401))</f>
        <v/>
      </c>
    </row>
    <row r="5446" spans="1:9" x14ac:dyDescent="0.3">
      <c r="A5446" t="s">
        <v>1910</v>
      </c>
      <c r="B5446" t="s">
        <v>1912</v>
      </c>
      <c r="C5446">
        <v>14</v>
      </c>
      <c r="D5446" t="s">
        <v>1447</v>
      </c>
      <c r="E5446" t="s">
        <v>1915</v>
      </c>
      <c r="F5446" t="s">
        <v>1806</v>
      </c>
      <c r="I5446" t="str">
        <f>IF(ISBLANK('Q 5'!F1402),"",IF('Q 5'!F1402="&lt;please select&gt;","",'Q 5'!F1402))</f>
        <v/>
      </c>
    </row>
    <row r="5447" spans="1:9" x14ac:dyDescent="0.3">
      <c r="A5447" t="s">
        <v>1910</v>
      </c>
      <c r="B5447" t="s">
        <v>1912</v>
      </c>
      <c r="C5447">
        <v>15</v>
      </c>
      <c r="D5447" t="s">
        <v>1447</v>
      </c>
      <c r="E5447" t="s">
        <v>1915</v>
      </c>
      <c r="F5447" t="s">
        <v>1806</v>
      </c>
      <c r="I5447" t="str">
        <f>IF(ISBLANK('Q 5'!F1403),"",IF('Q 5'!F1403="&lt;please select&gt;","",'Q 5'!F1403))</f>
        <v/>
      </c>
    </row>
    <row r="5448" spans="1:9" x14ac:dyDescent="0.3">
      <c r="A5448" t="s">
        <v>1910</v>
      </c>
      <c r="B5448" t="s">
        <v>1912</v>
      </c>
      <c r="C5448">
        <v>16</v>
      </c>
      <c r="D5448" t="s">
        <v>1447</v>
      </c>
      <c r="E5448" t="s">
        <v>1915</v>
      </c>
      <c r="F5448" t="s">
        <v>1806</v>
      </c>
      <c r="I5448" t="str">
        <f>IF(ISBLANK('Q 5'!F1404),"",IF('Q 5'!F1404="&lt;please select&gt;","",'Q 5'!F1404))</f>
        <v/>
      </c>
    </row>
    <row r="5449" spans="1:9" x14ac:dyDescent="0.3">
      <c r="A5449" t="s">
        <v>1910</v>
      </c>
      <c r="B5449" t="s">
        <v>1912</v>
      </c>
      <c r="C5449">
        <v>17</v>
      </c>
      <c r="D5449" t="s">
        <v>1447</v>
      </c>
      <c r="E5449" t="s">
        <v>1915</v>
      </c>
      <c r="F5449" t="s">
        <v>1806</v>
      </c>
      <c r="I5449" t="str">
        <f>IF(ISBLANK('Q 5'!F1405),"",IF('Q 5'!F1405="&lt;please select&gt;","",'Q 5'!F1405))</f>
        <v/>
      </c>
    </row>
    <row r="5450" spans="1:9" x14ac:dyDescent="0.3">
      <c r="A5450" t="s">
        <v>1910</v>
      </c>
      <c r="B5450" t="s">
        <v>1912</v>
      </c>
      <c r="C5450">
        <v>18</v>
      </c>
      <c r="D5450" t="s">
        <v>1447</v>
      </c>
      <c r="E5450" t="s">
        <v>1915</v>
      </c>
      <c r="F5450" t="s">
        <v>1806</v>
      </c>
      <c r="I5450" t="str">
        <f>IF(ISBLANK('Q 5'!F1406),"",IF('Q 5'!F1406="&lt;please select&gt;","",'Q 5'!F1406))</f>
        <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
      </c>
    </row>
    <row r="5484" spans="1:9" x14ac:dyDescent="0.3">
      <c r="A5484" t="s">
        <v>1910</v>
      </c>
      <c r="B5484" t="s">
        <v>1912</v>
      </c>
      <c r="C5484">
        <v>2</v>
      </c>
      <c r="D5484" t="s">
        <v>1447</v>
      </c>
      <c r="E5484" t="s">
        <v>1916</v>
      </c>
      <c r="F5484" t="s">
        <v>1806</v>
      </c>
      <c r="I5484" t="str">
        <f>IF(ISBLANK('Q 5'!G1390),"",IF('Q 5'!G1390="&lt;please select&gt;","",'Q 5'!G1390))</f>
        <v/>
      </c>
    </row>
    <row r="5485" spans="1:9" x14ac:dyDescent="0.3">
      <c r="A5485" t="s">
        <v>1910</v>
      </c>
      <c r="B5485" t="s">
        <v>1912</v>
      </c>
      <c r="C5485">
        <v>3</v>
      </c>
      <c r="D5485" t="s">
        <v>1447</v>
      </c>
      <c r="E5485" t="s">
        <v>1916</v>
      </c>
      <c r="F5485" t="s">
        <v>1806</v>
      </c>
      <c r="I5485" t="str">
        <f>IF(ISBLANK('Q 5'!G1391),"",IF('Q 5'!G1391="&lt;please select&gt;","",'Q 5'!G1391))</f>
        <v/>
      </c>
    </row>
    <row r="5486" spans="1:9" x14ac:dyDescent="0.3">
      <c r="A5486" t="s">
        <v>1910</v>
      </c>
      <c r="B5486" t="s">
        <v>1912</v>
      </c>
      <c r="C5486">
        <v>4</v>
      </c>
      <c r="D5486" t="s">
        <v>1447</v>
      </c>
      <c r="E5486" t="s">
        <v>1916</v>
      </c>
      <c r="F5486" t="s">
        <v>1806</v>
      </c>
      <c r="I5486" t="str">
        <f>IF(ISBLANK('Q 5'!G1392),"",IF('Q 5'!G1392="&lt;please select&gt;","",'Q 5'!G1392))</f>
        <v/>
      </c>
    </row>
    <row r="5487" spans="1:9" x14ac:dyDescent="0.3">
      <c r="A5487" t="s">
        <v>1910</v>
      </c>
      <c r="B5487" t="s">
        <v>1912</v>
      </c>
      <c r="C5487">
        <v>5</v>
      </c>
      <c r="D5487" t="s">
        <v>1447</v>
      </c>
      <c r="E5487" t="s">
        <v>1916</v>
      </c>
      <c r="F5487" t="s">
        <v>1806</v>
      </c>
      <c r="I5487" t="str">
        <f>IF(ISBLANK('Q 5'!G1393),"",IF('Q 5'!G1393="&lt;please select&gt;","",'Q 5'!G1393))</f>
        <v/>
      </c>
    </row>
    <row r="5488" spans="1:9" x14ac:dyDescent="0.3">
      <c r="A5488" t="s">
        <v>1910</v>
      </c>
      <c r="B5488" t="s">
        <v>1912</v>
      </c>
      <c r="C5488">
        <v>6</v>
      </c>
      <c r="D5488" t="s">
        <v>1447</v>
      </c>
      <c r="E5488" t="s">
        <v>1916</v>
      </c>
      <c r="F5488" t="s">
        <v>1806</v>
      </c>
      <c r="I5488" t="str">
        <f>IF(ISBLANK('Q 5'!G1394),"",IF('Q 5'!G1394="&lt;please select&gt;","",'Q 5'!G1394))</f>
        <v/>
      </c>
    </row>
    <row r="5489" spans="1:9" x14ac:dyDescent="0.3">
      <c r="A5489" t="s">
        <v>1910</v>
      </c>
      <c r="B5489" t="s">
        <v>1912</v>
      </c>
      <c r="C5489">
        <v>7</v>
      </c>
      <c r="D5489" t="s">
        <v>1447</v>
      </c>
      <c r="E5489" t="s">
        <v>1916</v>
      </c>
      <c r="F5489" t="s">
        <v>1806</v>
      </c>
      <c r="I5489" t="str">
        <f>IF(ISBLANK('Q 5'!G1395),"",IF('Q 5'!G1395="&lt;please select&gt;","",'Q 5'!G1395))</f>
        <v/>
      </c>
    </row>
    <row r="5490" spans="1:9" x14ac:dyDescent="0.3">
      <c r="A5490" t="s">
        <v>1910</v>
      </c>
      <c r="B5490" t="s">
        <v>1912</v>
      </c>
      <c r="C5490">
        <v>8</v>
      </c>
      <c r="D5490" t="s">
        <v>1447</v>
      </c>
      <c r="E5490" t="s">
        <v>1916</v>
      </c>
      <c r="F5490" t="s">
        <v>1806</v>
      </c>
      <c r="I5490" t="str">
        <f>IF(ISBLANK('Q 5'!G1396),"",IF('Q 5'!G1396="&lt;please select&gt;","",'Q 5'!G1396))</f>
        <v/>
      </c>
    </row>
    <row r="5491" spans="1:9" x14ac:dyDescent="0.3">
      <c r="A5491" t="s">
        <v>1910</v>
      </c>
      <c r="B5491" t="s">
        <v>1912</v>
      </c>
      <c r="C5491">
        <v>9</v>
      </c>
      <c r="D5491" t="s">
        <v>1447</v>
      </c>
      <c r="E5491" t="s">
        <v>1916</v>
      </c>
      <c r="F5491" t="s">
        <v>1806</v>
      </c>
      <c r="I5491" t="str">
        <f>IF(ISBLANK('Q 5'!G1397),"",IF('Q 5'!G1397="&lt;please select&gt;","",'Q 5'!G1397))</f>
        <v/>
      </c>
    </row>
    <row r="5492" spans="1:9" x14ac:dyDescent="0.3">
      <c r="A5492" t="s">
        <v>1910</v>
      </c>
      <c r="B5492" t="s">
        <v>1912</v>
      </c>
      <c r="C5492">
        <v>10</v>
      </c>
      <c r="D5492" t="s">
        <v>1447</v>
      </c>
      <c r="E5492" t="s">
        <v>1916</v>
      </c>
      <c r="F5492" t="s">
        <v>1806</v>
      </c>
      <c r="I5492" t="str">
        <f>IF(ISBLANK('Q 5'!G1398),"",IF('Q 5'!G1398="&lt;please select&gt;","",'Q 5'!G1398))</f>
        <v/>
      </c>
    </row>
    <row r="5493" spans="1:9" x14ac:dyDescent="0.3">
      <c r="A5493" t="s">
        <v>1910</v>
      </c>
      <c r="B5493" t="s">
        <v>1912</v>
      </c>
      <c r="C5493">
        <v>11</v>
      </c>
      <c r="D5493" t="s">
        <v>1447</v>
      </c>
      <c r="E5493" t="s">
        <v>1916</v>
      </c>
      <c r="F5493" t="s">
        <v>1806</v>
      </c>
      <c r="I5493" t="str">
        <f>IF(ISBLANK('Q 5'!G1399),"",IF('Q 5'!G1399="&lt;please select&gt;","",'Q 5'!G1399))</f>
        <v/>
      </c>
    </row>
    <row r="5494" spans="1:9" x14ac:dyDescent="0.3">
      <c r="A5494" t="s">
        <v>1910</v>
      </c>
      <c r="B5494" t="s">
        <v>1912</v>
      </c>
      <c r="C5494">
        <v>12</v>
      </c>
      <c r="D5494" t="s">
        <v>1447</v>
      </c>
      <c r="E5494" t="s">
        <v>1916</v>
      </c>
      <c r="F5494" t="s">
        <v>1806</v>
      </c>
      <c r="I5494" t="str">
        <f>IF(ISBLANK('Q 5'!G1400),"",IF('Q 5'!G1400="&lt;please select&gt;","",'Q 5'!G1400))</f>
        <v/>
      </c>
    </row>
    <row r="5495" spans="1:9" x14ac:dyDescent="0.3">
      <c r="A5495" t="s">
        <v>1910</v>
      </c>
      <c r="B5495" t="s">
        <v>1912</v>
      </c>
      <c r="C5495">
        <v>13</v>
      </c>
      <c r="D5495" t="s">
        <v>1447</v>
      </c>
      <c r="E5495" t="s">
        <v>1916</v>
      </c>
      <c r="F5495" t="s">
        <v>1806</v>
      </c>
      <c r="I5495" t="str">
        <f>IF(ISBLANK('Q 5'!G1401),"",IF('Q 5'!G1401="&lt;please select&gt;","",'Q 5'!G1401))</f>
        <v/>
      </c>
    </row>
    <row r="5496" spans="1:9" x14ac:dyDescent="0.3">
      <c r="A5496" t="s">
        <v>1910</v>
      </c>
      <c r="B5496" t="s">
        <v>1912</v>
      </c>
      <c r="C5496">
        <v>14</v>
      </c>
      <c r="D5496" t="s">
        <v>1447</v>
      </c>
      <c r="E5496" t="s">
        <v>1916</v>
      </c>
      <c r="F5496" t="s">
        <v>1806</v>
      </c>
      <c r="I5496" t="str">
        <f>IF(ISBLANK('Q 5'!G1402),"",IF('Q 5'!G1402="&lt;please select&gt;","",'Q 5'!G1402))</f>
        <v/>
      </c>
    </row>
    <row r="5497" spans="1:9" x14ac:dyDescent="0.3">
      <c r="A5497" t="s">
        <v>1910</v>
      </c>
      <c r="B5497" t="s">
        <v>1912</v>
      </c>
      <c r="C5497">
        <v>15</v>
      </c>
      <c r="D5497" t="s">
        <v>1447</v>
      </c>
      <c r="E5497" t="s">
        <v>1916</v>
      </c>
      <c r="F5497" t="s">
        <v>1806</v>
      </c>
      <c r="I5497" t="str">
        <f>IF(ISBLANK('Q 5'!G1403),"",IF('Q 5'!G1403="&lt;please select&gt;","",'Q 5'!G1403))</f>
        <v/>
      </c>
    </row>
    <row r="5498" spans="1:9" x14ac:dyDescent="0.3">
      <c r="A5498" t="s">
        <v>1910</v>
      </c>
      <c r="B5498" t="s">
        <v>1912</v>
      </c>
      <c r="C5498">
        <v>16</v>
      </c>
      <c r="D5498" t="s">
        <v>1447</v>
      </c>
      <c r="E5498" t="s">
        <v>1916</v>
      </c>
      <c r="F5498" t="s">
        <v>1806</v>
      </c>
      <c r="I5498" t="str">
        <f>IF(ISBLANK('Q 5'!G1404),"",IF('Q 5'!G1404="&lt;please select&gt;","",'Q 5'!G1404))</f>
        <v/>
      </c>
    </row>
    <row r="5499" spans="1:9" x14ac:dyDescent="0.3">
      <c r="A5499" t="s">
        <v>1910</v>
      </c>
      <c r="B5499" t="s">
        <v>1912</v>
      </c>
      <c r="C5499">
        <v>17</v>
      </c>
      <c r="D5499" t="s">
        <v>1447</v>
      </c>
      <c r="E5499" t="s">
        <v>1916</v>
      </c>
      <c r="F5499" t="s">
        <v>1806</v>
      </c>
      <c r="I5499" t="str">
        <f>IF(ISBLANK('Q 5'!G1405),"",IF('Q 5'!G1405="&lt;please select&gt;","",'Q 5'!G1405))</f>
        <v/>
      </c>
    </row>
    <row r="5500" spans="1:9" x14ac:dyDescent="0.3">
      <c r="A5500" t="s">
        <v>1910</v>
      </c>
      <c r="B5500" t="s">
        <v>1912</v>
      </c>
      <c r="C5500">
        <v>18</v>
      </c>
      <c r="D5500" t="s">
        <v>1447</v>
      </c>
      <c r="E5500" t="s">
        <v>1916</v>
      </c>
      <c r="F5500" t="s">
        <v>1806</v>
      </c>
      <c r="I5500" t="str">
        <f>IF(ISBLANK('Q 5'!G1406),"",IF('Q 5'!G1406="&lt;please select&gt;","",'Q 5'!G1406))</f>
        <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
      </c>
    </row>
    <row r="5534" spans="1:9" x14ac:dyDescent="0.3">
      <c r="A5534" t="s">
        <v>1910</v>
      </c>
      <c r="B5534" t="s">
        <v>1912</v>
      </c>
      <c r="C5534">
        <v>2</v>
      </c>
      <c r="D5534" t="s">
        <v>1447</v>
      </c>
      <c r="E5534" t="s">
        <v>1917</v>
      </c>
      <c r="F5534" t="s">
        <v>1806</v>
      </c>
      <c r="I5534" t="str">
        <f>IF(ISBLANK('Q 5'!H1390),"",IF('Q 5'!H1390="&lt;please select&gt;","",'Q 5'!H1390))</f>
        <v/>
      </c>
    </row>
    <row r="5535" spans="1:9" x14ac:dyDescent="0.3">
      <c r="A5535" t="s">
        <v>1910</v>
      </c>
      <c r="B5535" t="s">
        <v>1912</v>
      </c>
      <c r="C5535">
        <v>3</v>
      </c>
      <c r="D5535" t="s">
        <v>1447</v>
      </c>
      <c r="E5535" t="s">
        <v>1917</v>
      </c>
      <c r="F5535" t="s">
        <v>1806</v>
      </c>
      <c r="I5535" t="str">
        <f>IF(ISBLANK('Q 5'!H1391),"",IF('Q 5'!H1391="&lt;please select&gt;","",'Q 5'!H1391))</f>
        <v/>
      </c>
    </row>
    <row r="5536" spans="1:9" x14ac:dyDescent="0.3">
      <c r="A5536" t="s">
        <v>1910</v>
      </c>
      <c r="B5536" t="s">
        <v>1912</v>
      </c>
      <c r="C5536">
        <v>4</v>
      </c>
      <c r="D5536" t="s">
        <v>1447</v>
      </c>
      <c r="E5536" t="s">
        <v>1917</v>
      </c>
      <c r="F5536" t="s">
        <v>1806</v>
      </c>
      <c r="I5536" t="str">
        <f>IF(ISBLANK('Q 5'!H1392),"",IF('Q 5'!H1392="&lt;please select&gt;","",'Q 5'!H1392))</f>
        <v/>
      </c>
    </row>
    <row r="5537" spans="1:9" x14ac:dyDescent="0.3">
      <c r="A5537" t="s">
        <v>1910</v>
      </c>
      <c r="B5537" t="s">
        <v>1912</v>
      </c>
      <c r="C5537">
        <v>5</v>
      </c>
      <c r="D5537" t="s">
        <v>1447</v>
      </c>
      <c r="E5537" t="s">
        <v>1917</v>
      </c>
      <c r="F5537" t="s">
        <v>1806</v>
      </c>
      <c r="I5537" t="str">
        <f>IF(ISBLANK('Q 5'!H1393),"",IF('Q 5'!H1393="&lt;please select&gt;","",'Q 5'!H1393))</f>
        <v/>
      </c>
    </row>
    <row r="5538" spans="1:9" x14ac:dyDescent="0.3">
      <c r="A5538" t="s">
        <v>1910</v>
      </c>
      <c r="B5538" t="s">
        <v>1912</v>
      </c>
      <c r="C5538">
        <v>6</v>
      </c>
      <c r="D5538" t="s">
        <v>1447</v>
      </c>
      <c r="E5538" t="s">
        <v>1917</v>
      </c>
      <c r="F5538" t="s">
        <v>1806</v>
      </c>
      <c r="I5538" t="str">
        <f>IF(ISBLANK('Q 5'!H1394),"",IF('Q 5'!H1394="&lt;please select&gt;","",'Q 5'!H1394))</f>
        <v/>
      </c>
    </row>
    <row r="5539" spans="1:9" x14ac:dyDescent="0.3">
      <c r="A5539" t="s">
        <v>1910</v>
      </c>
      <c r="B5539" t="s">
        <v>1912</v>
      </c>
      <c r="C5539">
        <v>7</v>
      </c>
      <c r="D5539" t="s">
        <v>1447</v>
      </c>
      <c r="E5539" t="s">
        <v>1917</v>
      </c>
      <c r="F5539" t="s">
        <v>1806</v>
      </c>
      <c r="I5539" t="str">
        <f>IF(ISBLANK('Q 5'!H1395),"",IF('Q 5'!H1395="&lt;please select&gt;","",'Q 5'!H1395))</f>
        <v/>
      </c>
    </row>
    <row r="5540" spans="1:9" x14ac:dyDescent="0.3">
      <c r="A5540" t="s">
        <v>1910</v>
      </c>
      <c r="B5540" t="s">
        <v>1912</v>
      </c>
      <c r="C5540">
        <v>8</v>
      </c>
      <c r="D5540" t="s">
        <v>1447</v>
      </c>
      <c r="E5540" t="s">
        <v>1917</v>
      </c>
      <c r="F5540" t="s">
        <v>1806</v>
      </c>
      <c r="I5540" t="str">
        <f>IF(ISBLANK('Q 5'!H1396),"",IF('Q 5'!H1396="&lt;please select&gt;","",'Q 5'!H1396))</f>
        <v/>
      </c>
    </row>
    <row r="5541" spans="1:9" x14ac:dyDescent="0.3">
      <c r="A5541" t="s">
        <v>1910</v>
      </c>
      <c r="B5541" t="s">
        <v>1912</v>
      </c>
      <c r="C5541">
        <v>9</v>
      </c>
      <c r="D5541" t="s">
        <v>1447</v>
      </c>
      <c r="E5541" t="s">
        <v>1917</v>
      </c>
      <c r="F5541" t="s">
        <v>1806</v>
      </c>
      <c r="I5541" t="str">
        <f>IF(ISBLANK('Q 5'!H1397),"",IF('Q 5'!H1397="&lt;please select&gt;","",'Q 5'!H1397))</f>
        <v/>
      </c>
    </row>
    <row r="5542" spans="1:9" x14ac:dyDescent="0.3">
      <c r="A5542" t="s">
        <v>1910</v>
      </c>
      <c r="B5542" t="s">
        <v>1912</v>
      </c>
      <c r="C5542">
        <v>10</v>
      </c>
      <c r="D5542" t="s">
        <v>1447</v>
      </c>
      <c r="E5542" t="s">
        <v>1917</v>
      </c>
      <c r="F5542" t="s">
        <v>1806</v>
      </c>
      <c r="I5542" t="str">
        <f>IF(ISBLANK('Q 5'!H1398),"",IF('Q 5'!H1398="&lt;please select&gt;","",'Q 5'!H1398))</f>
        <v/>
      </c>
    </row>
    <row r="5543" spans="1:9" x14ac:dyDescent="0.3">
      <c r="A5543" t="s">
        <v>1910</v>
      </c>
      <c r="B5543" t="s">
        <v>1912</v>
      </c>
      <c r="C5543">
        <v>11</v>
      </c>
      <c r="D5543" t="s">
        <v>1447</v>
      </c>
      <c r="E5543" t="s">
        <v>1917</v>
      </c>
      <c r="F5543" t="s">
        <v>1806</v>
      </c>
      <c r="I5543" t="str">
        <f>IF(ISBLANK('Q 5'!H1399),"",IF('Q 5'!H1399="&lt;please select&gt;","",'Q 5'!H1399))</f>
        <v/>
      </c>
    </row>
    <row r="5544" spans="1:9" x14ac:dyDescent="0.3">
      <c r="A5544" t="s">
        <v>1910</v>
      </c>
      <c r="B5544" t="s">
        <v>1912</v>
      </c>
      <c r="C5544">
        <v>12</v>
      </c>
      <c r="D5544" t="s">
        <v>1447</v>
      </c>
      <c r="E5544" t="s">
        <v>1917</v>
      </c>
      <c r="F5544" t="s">
        <v>1806</v>
      </c>
      <c r="I5544" t="str">
        <f>IF(ISBLANK('Q 5'!H1400),"",IF('Q 5'!H1400="&lt;please select&gt;","",'Q 5'!H1400))</f>
        <v/>
      </c>
    </row>
    <row r="5545" spans="1:9" x14ac:dyDescent="0.3">
      <c r="A5545" t="s">
        <v>1910</v>
      </c>
      <c r="B5545" t="s">
        <v>1912</v>
      </c>
      <c r="C5545">
        <v>13</v>
      </c>
      <c r="D5545" t="s">
        <v>1447</v>
      </c>
      <c r="E5545" t="s">
        <v>1917</v>
      </c>
      <c r="F5545" t="s">
        <v>1806</v>
      </c>
      <c r="I5545" t="str">
        <f>IF(ISBLANK('Q 5'!H1401),"",IF('Q 5'!H1401="&lt;please select&gt;","",'Q 5'!H1401))</f>
        <v/>
      </c>
    </row>
    <row r="5546" spans="1:9" x14ac:dyDescent="0.3">
      <c r="A5546" t="s">
        <v>1910</v>
      </c>
      <c r="B5546" t="s">
        <v>1912</v>
      </c>
      <c r="C5546">
        <v>14</v>
      </c>
      <c r="D5546" t="s">
        <v>1447</v>
      </c>
      <c r="E5546" t="s">
        <v>1917</v>
      </c>
      <c r="F5546" t="s">
        <v>1806</v>
      </c>
      <c r="I5546" t="str">
        <f>IF(ISBLANK('Q 5'!H1402),"",IF('Q 5'!H1402="&lt;please select&gt;","",'Q 5'!H1402))</f>
        <v/>
      </c>
    </row>
    <row r="5547" spans="1:9" x14ac:dyDescent="0.3">
      <c r="A5547" t="s">
        <v>1910</v>
      </c>
      <c r="B5547" t="s">
        <v>1912</v>
      </c>
      <c r="C5547">
        <v>15</v>
      </c>
      <c r="D5547" t="s">
        <v>1447</v>
      </c>
      <c r="E5547" t="s">
        <v>1917</v>
      </c>
      <c r="F5547" t="s">
        <v>1806</v>
      </c>
      <c r="I5547" t="str">
        <f>IF(ISBLANK('Q 5'!H1403),"",IF('Q 5'!H1403="&lt;please select&gt;","",'Q 5'!H1403))</f>
        <v/>
      </c>
    </row>
    <row r="5548" spans="1:9" x14ac:dyDescent="0.3">
      <c r="A5548" t="s">
        <v>1910</v>
      </c>
      <c r="B5548" t="s">
        <v>1912</v>
      </c>
      <c r="C5548">
        <v>16</v>
      </c>
      <c r="D5548" t="s">
        <v>1447</v>
      </c>
      <c r="E5548" t="s">
        <v>1917</v>
      </c>
      <c r="F5548" t="s">
        <v>1806</v>
      </c>
      <c r="I5548" t="str">
        <f>IF(ISBLANK('Q 5'!H1404),"",IF('Q 5'!H1404="&lt;please select&gt;","",'Q 5'!H1404))</f>
        <v/>
      </c>
    </row>
    <row r="5549" spans="1:9" x14ac:dyDescent="0.3">
      <c r="A5549" t="s">
        <v>1910</v>
      </c>
      <c r="B5549" t="s">
        <v>1912</v>
      </c>
      <c r="C5549">
        <v>17</v>
      </c>
      <c r="D5549" t="s">
        <v>1447</v>
      </c>
      <c r="E5549" t="s">
        <v>1917</v>
      </c>
      <c r="F5549" t="s">
        <v>1806</v>
      </c>
      <c r="I5549" t="str">
        <f>IF(ISBLANK('Q 5'!H1405),"",IF('Q 5'!H1405="&lt;please select&gt;","",'Q 5'!H1405))</f>
        <v/>
      </c>
    </row>
    <row r="5550" spans="1:9" x14ac:dyDescent="0.3">
      <c r="A5550" t="s">
        <v>1910</v>
      </c>
      <c r="B5550" t="s">
        <v>1912</v>
      </c>
      <c r="C5550">
        <v>18</v>
      </c>
      <c r="D5550" t="s">
        <v>1447</v>
      </c>
      <c r="E5550" t="s">
        <v>1917</v>
      </c>
      <c r="F5550" t="s">
        <v>1806</v>
      </c>
      <c r="I5550" t="str">
        <f>IF(ISBLANK('Q 5'!H1406),"",IF('Q 5'!H1406="&lt;please select&gt;","",'Q 5'!H1406))</f>
        <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
      </c>
    </row>
    <row r="5584" spans="1:9" x14ac:dyDescent="0.3">
      <c r="A5584" t="s">
        <v>1910</v>
      </c>
      <c r="B5584" t="s">
        <v>1912</v>
      </c>
      <c r="C5584">
        <v>2</v>
      </c>
      <c r="D5584" t="s">
        <v>1447</v>
      </c>
      <c r="E5584" t="s">
        <v>1918</v>
      </c>
      <c r="F5584" t="s">
        <v>1806</v>
      </c>
      <c r="I5584" t="str">
        <f>IF(ISBLANK('Q 5'!I1390),"",IF('Q 5'!I1390="&lt;please select&gt;","",'Q 5'!I1390))</f>
        <v/>
      </c>
    </row>
    <row r="5585" spans="1:9" x14ac:dyDescent="0.3">
      <c r="A5585" t="s">
        <v>1910</v>
      </c>
      <c r="B5585" t="s">
        <v>1912</v>
      </c>
      <c r="C5585">
        <v>3</v>
      </c>
      <c r="D5585" t="s">
        <v>1447</v>
      </c>
      <c r="E5585" t="s">
        <v>1918</v>
      </c>
      <c r="F5585" t="s">
        <v>1806</v>
      </c>
      <c r="I5585" t="str">
        <f>IF(ISBLANK('Q 5'!I1391),"",IF('Q 5'!I1391="&lt;please select&gt;","",'Q 5'!I1391))</f>
        <v/>
      </c>
    </row>
    <row r="5586" spans="1:9" x14ac:dyDescent="0.3">
      <c r="A5586" t="s">
        <v>1910</v>
      </c>
      <c r="B5586" t="s">
        <v>1912</v>
      </c>
      <c r="C5586">
        <v>4</v>
      </c>
      <c r="D5586" t="s">
        <v>1447</v>
      </c>
      <c r="E5586" t="s">
        <v>1918</v>
      </c>
      <c r="F5586" t="s">
        <v>1806</v>
      </c>
      <c r="I5586" t="str">
        <f>IF(ISBLANK('Q 5'!I1392),"",IF('Q 5'!I1392="&lt;please select&gt;","",'Q 5'!I1392))</f>
        <v/>
      </c>
    </row>
    <row r="5587" spans="1:9" x14ac:dyDescent="0.3">
      <c r="A5587" t="s">
        <v>1910</v>
      </c>
      <c r="B5587" t="s">
        <v>1912</v>
      </c>
      <c r="C5587">
        <v>5</v>
      </c>
      <c r="D5587" t="s">
        <v>1447</v>
      </c>
      <c r="E5587" t="s">
        <v>1918</v>
      </c>
      <c r="F5587" t="s">
        <v>1806</v>
      </c>
      <c r="I5587" t="str">
        <f>IF(ISBLANK('Q 5'!I1393),"",IF('Q 5'!I1393="&lt;please select&gt;","",'Q 5'!I1393))</f>
        <v/>
      </c>
    </row>
    <row r="5588" spans="1:9" x14ac:dyDescent="0.3">
      <c r="A5588" t="s">
        <v>1910</v>
      </c>
      <c r="B5588" t="s">
        <v>1912</v>
      </c>
      <c r="C5588">
        <v>6</v>
      </c>
      <c r="D5588" t="s">
        <v>1447</v>
      </c>
      <c r="E5588" t="s">
        <v>1918</v>
      </c>
      <c r="F5588" t="s">
        <v>1806</v>
      </c>
      <c r="I5588" t="str">
        <f>IF(ISBLANK('Q 5'!I1394),"",IF('Q 5'!I1394="&lt;please select&gt;","",'Q 5'!I1394))</f>
        <v/>
      </c>
    </row>
    <row r="5589" spans="1:9" x14ac:dyDescent="0.3">
      <c r="A5589" t="s">
        <v>1910</v>
      </c>
      <c r="B5589" t="s">
        <v>1912</v>
      </c>
      <c r="C5589">
        <v>7</v>
      </c>
      <c r="D5589" t="s">
        <v>1447</v>
      </c>
      <c r="E5589" t="s">
        <v>1918</v>
      </c>
      <c r="F5589" t="s">
        <v>1806</v>
      </c>
      <c r="I5589" t="str">
        <f>IF(ISBLANK('Q 5'!I1395),"",IF('Q 5'!I1395="&lt;please select&gt;","",'Q 5'!I1395))</f>
        <v/>
      </c>
    </row>
    <row r="5590" spans="1:9" x14ac:dyDescent="0.3">
      <c r="A5590" t="s">
        <v>1910</v>
      </c>
      <c r="B5590" t="s">
        <v>1912</v>
      </c>
      <c r="C5590">
        <v>8</v>
      </c>
      <c r="D5590" t="s">
        <v>1447</v>
      </c>
      <c r="E5590" t="s">
        <v>1918</v>
      </c>
      <c r="F5590" t="s">
        <v>1806</v>
      </c>
      <c r="I5590" t="str">
        <f>IF(ISBLANK('Q 5'!I1396),"",IF('Q 5'!I1396="&lt;please select&gt;","",'Q 5'!I1396))</f>
        <v/>
      </c>
    </row>
    <row r="5591" spans="1:9" x14ac:dyDescent="0.3">
      <c r="A5591" t="s">
        <v>1910</v>
      </c>
      <c r="B5591" t="s">
        <v>1912</v>
      </c>
      <c r="C5591">
        <v>9</v>
      </c>
      <c r="D5591" t="s">
        <v>1447</v>
      </c>
      <c r="E5591" t="s">
        <v>1918</v>
      </c>
      <c r="F5591" t="s">
        <v>1806</v>
      </c>
      <c r="I5591" t="str">
        <f>IF(ISBLANK('Q 5'!I1397),"",IF('Q 5'!I1397="&lt;please select&gt;","",'Q 5'!I1397))</f>
        <v/>
      </c>
    </row>
    <row r="5592" spans="1:9" x14ac:dyDescent="0.3">
      <c r="A5592" t="s">
        <v>1910</v>
      </c>
      <c r="B5592" t="s">
        <v>1912</v>
      </c>
      <c r="C5592">
        <v>10</v>
      </c>
      <c r="D5592" t="s">
        <v>1447</v>
      </c>
      <c r="E5592" t="s">
        <v>1918</v>
      </c>
      <c r="F5592" t="s">
        <v>1806</v>
      </c>
      <c r="I5592" t="str">
        <f>IF(ISBLANK('Q 5'!I1398),"",IF('Q 5'!I1398="&lt;please select&gt;","",'Q 5'!I1398))</f>
        <v/>
      </c>
    </row>
    <row r="5593" spans="1:9" x14ac:dyDescent="0.3">
      <c r="A5593" t="s">
        <v>1910</v>
      </c>
      <c r="B5593" t="s">
        <v>1912</v>
      </c>
      <c r="C5593">
        <v>11</v>
      </c>
      <c r="D5593" t="s">
        <v>1447</v>
      </c>
      <c r="E5593" t="s">
        <v>1918</v>
      </c>
      <c r="F5593" t="s">
        <v>1806</v>
      </c>
      <c r="I5593" t="str">
        <f>IF(ISBLANK('Q 5'!I1399),"",IF('Q 5'!I1399="&lt;please select&gt;","",'Q 5'!I1399))</f>
        <v/>
      </c>
    </row>
    <row r="5594" spans="1:9" x14ac:dyDescent="0.3">
      <c r="A5594" t="s">
        <v>1910</v>
      </c>
      <c r="B5594" t="s">
        <v>1912</v>
      </c>
      <c r="C5594">
        <v>12</v>
      </c>
      <c r="D5594" t="s">
        <v>1447</v>
      </c>
      <c r="E5594" t="s">
        <v>1918</v>
      </c>
      <c r="F5594" t="s">
        <v>1806</v>
      </c>
      <c r="I5594" t="str">
        <f>IF(ISBLANK('Q 5'!I1400),"",IF('Q 5'!I1400="&lt;please select&gt;","",'Q 5'!I1400))</f>
        <v/>
      </c>
    </row>
    <row r="5595" spans="1:9" x14ac:dyDescent="0.3">
      <c r="A5595" t="s">
        <v>1910</v>
      </c>
      <c r="B5595" t="s">
        <v>1912</v>
      </c>
      <c r="C5595">
        <v>13</v>
      </c>
      <c r="D5595" t="s">
        <v>1447</v>
      </c>
      <c r="E5595" t="s">
        <v>1918</v>
      </c>
      <c r="F5595" t="s">
        <v>1806</v>
      </c>
      <c r="I5595" t="str">
        <f>IF(ISBLANK('Q 5'!I1401),"",IF('Q 5'!I1401="&lt;please select&gt;","",'Q 5'!I1401))</f>
        <v/>
      </c>
    </row>
    <row r="5596" spans="1:9" x14ac:dyDescent="0.3">
      <c r="A5596" t="s">
        <v>1910</v>
      </c>
      <c r="B5596" t="s">
        <v>1912</v>
      </c>
      <c r="C5596">
        <v>14</v>
      </c>
      <c r="D5596" t="s">
        <v>1447</v>
      </c>
      <c r="E5596" t="s">
        <v>1918</v>
      </c>
      <c r="F5596" t="s">
        <v>1806</v>
      </c>
      <c r="I5596" t="str">
        <f>IF(ISBLANK('Q 5'!I1402),"",IF('Q 5'!I1402="&lt;please select&gt;","",'Q 5'!I1402))</f>
        <v/>
      </c>
    </row>
    <row r="5597" spans="1:9" x14ac:dyDescent="0.3">
      <c r="A5597" t="s">
        <v>1910</v>
      </c>
      <c r="B5597" t="s">
        <v>1912</v>
      </c>
      <c r="C5597">
        <v>15</v>
      </c>
      <c r="D5597" t="s">
        <v>1447</v>
      </c>
      <c r="E5597" t="s">
        <v>1918</v>
      </c>
      <c r="F5597" t="s">
        <v>1806</v>
      </c>
      <c r="I5597" t="str">
        <f>IF(ISBLANK('Q 5'!I1403),"",IF('Q 5'!I1403="&lt;please select&gt;","",'Q 5'!I1403))</f>
        <v/>
      </c>
    </row>
    <row r="5598" spans="1:9" x14ac:dyDescent="0.3">
      <c r="A5598" t="s">
        <v>1910</v>
      </c>
      <c r="B5598" t="s">
        <v>1912</v>
      </c>
      <c r="C5598">
        <v>16</v>
      </c>
      <c r="D5598" t="s">
        <v>1447</v>
      </c>
      <c r="E5598" t="s">
        <v>1918</v>
      </c>
      <c r="F5598" t="s">
        <v>1806</v>
      </c>
      <c r="I5598" t="str">
        <f>IF(ISBLANK('Q 5'!I1404),"",IF('Q 5'!I1404="&lt;please select&gt;","",'Q 5'!I1404))</f>
        <v/>
      </c>
    </row>
    <row r="5599" spans="1:9" x14ac:dyDescent="0.3">
      <c r="A5599" t="s">
        <v>1910</v>
      </c>
      <c r="B5599" t="s">
        <v>1912</v>
      </c>
      <c r="C5599">
        <v>17</v>
      </c>
      <c r="D5599" t="s">
        <v>1447</v>
      </c>
      <c r="E5599" t="s">
        <v>1918</v>
      </c>
      <c r="F5599" t="s">
        <v>1806</v>
      </c>
      <c r="I5599" t="str">
        <f>IF(ISBLANK('Q 5'!I1405),"",IF('Q 5'!I1405="&lt;please select&gt;","",'Q 5'!I1405))</f>
        <v/>
      </c>
    </row>
    <row r="5600" spans="1:9" x14ac:dyDescent="0.3">
      <c r="A5600" t="s">
        <v>1910</v>
      </c>
      <c r="B5600" t="s">
        <v>1912</v>
      </c>
      <c r="C5600">
        <v>18</v>
      </c>
      <c r="D5600" t="s">
        <v>1447</v>
      </c>
      <c r="E5600" t="s">
        <v>1918</v>
      </c>
      <c r="F5600" t="s">
        <v>1806</v>
      </c>
      <c r="I5600" t="str">
        <f>IF(ISBLANK('Q 5'!I1406),"",IF('Q 5'!I1406="&lt;please select&gt;","",'Q 5'!I1406))</f>
        <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
      </c>
    </row>
    <row r="5634" spans="1:9" x14ac:dyDescent="0.3">
      <c r="A5634" t="s">
        <v>1910</v>
      </c>
      <c r="B5634" t="s">
        <v>1912</v>
      </c>
      <c r="C5634">
        <v>2</v>
      </c>
      <c r="D5634" t="s">
        <v>1447</v>
      </c>
      <c r="E5634" t="s">
        <v>1919</v>
      </c>
      <c r="F5634" t="s">
        <v>1806</v>
      </c>
      <c r="I5634" t="str">
        <f>IF(ISBLANK('Q 5'!J1390),"",IF('Q 5'!J1390="&lt;please select&gt;","",'Q 5'!J1390))</f>
        <v/>
      </c>
    </row>
    <row r="5635" spans="1:9" x14ac:dyDescent="0.3">
      <c r="A5635" t="s">
        <v>1910</v>
      </c>
      <c r="B5635" t="s">
        <v>1912</v>
      </c>
      <c r="C5635">
        <v>3</v>
      </c>
      <c r="D5635" t="s">
        <v>1447</v>
      </c>
      <c r="E5635" t="s">
        <v>1919</v>
      </c>
      <c r="F5635" t="s">
        <v>1806</v>
      </c>
      <c r="I5635" t="str">
        <f>IF(ISBLANK('Q 5'!J1391),"",IF('Q 5'!J1391="&lt;please select&gt;","",'Q 5'!J1391))</f>
        <v/>
      </c>
    </row>
    <row r="5636" spans="1:9" x14ac:dyDescent="0.3">
      <c r="A5636" t="s">
        <v>1910</v>
      </c>
      <c r="B5636" t="s">
        <v>1912</v>
      </c>
      <c r="C5636">
        <v>4</v>
      </c>
      <c r="D5636" t="s">
        <v>1447</v>
      </c>
      <c r="E5636" t="s">
        <v>1919</v>
      </c>
      <c r="F5636" t="s">
        <v>1806</v>
      </c>
      <c r="I5636" t="str">
        <f>IF(ISBLANK('Q 5'!J1392),"",IF('Q 5'!J1392="&lt;please select&gt;","",'Q 5'!J1392))</f>
        <v/>
      </c>
    </row>
    <row r="5637" spans="1:9" x14ac:dyDescent="0.3">
      <c r="A5637" t="s">
        <v>1910</v>
      </c>
      <c r="B5637" t="s">
        <v>1912</v>
      </c>
      <c r="C5637">
        <v>5</v>
      </c>
      <c r="D5637" t="s">
        <v>1447</v>
      </c>
      <c r="E5637" t="s">
        <v>1919</v>
      </c>
      <c r="F5637" t="s">
        <v>1806</v>
      </c>
      <c r="I5637" t="str">
        <f>IF(ISBLANK('Q 5'!J1393),"",IF('Q 5'!J1393="&lt;please select&gt;","",'Q 5'!J1393))</f>
        <v/>
      </c>
    </row>
    <row r="5638" spans="1:9" x14ac:dyDescent="0.3">
      <c r="A5638" t="s">
        <v>1910</v>
      </c>
      <c r="B5638" t="s">
        <v>1912</v>
      </c>
      <c r="C5638">
        <v>6</v>
      </c>
      <c r="D5638" t="s">
        <v>1447</v>
      </c>
      <c r="E5638" t="s">
        <v>1919</v>
      </c>
      <c r="F5638" t="s">
        <v>1806</v>
      </c>
      <c r="I5638" t="str">
        <f>IF(ISBLANK('Q 5'!J1394),"",IF('Q 5'!J1394="&lt;please select&gt;","",'Q 5'!J1394))</f>
        <v/>
      </c>
    </row>
    <row r="5639" spans="1:9" x14ac:dyDescent="0.3">
      <c r="A5639" t="s">
        <v>1910</v>
      </c>
      <c r="B5639" t="s">
        <v>1912</v>
      </c>
      <c r="C5639">
        <v>7</v>
      </c>
      <c r="D5639" t="s">
        <v>1447</v>
      </c>
      <c r="E5639" t="s">
        <v>1919</v>
      </c>
      <c r="F5639" t="s">
        <v>1806</v>
      </c>
      <c r="I5639" t="str">
        <f>IF(ISBLANK('Q 5'!J1395),"",IF('Q 5'!J1395="&lt;please select&gt;","",'Q 5'!J1395))</f>
        <v/>
      </c>
    </row>
    <row r="5640" spans="1:9" x14ac:dyDescent="0.3">
      <c r="A5640" t="s">
        <v>1910</v>
      </c>
      <c r="B5640" t="s">
        <v>1912</v>
      </c>
      <c r="C5640">
        <v>8</v>
      </c>
      <c r="D5640" t="s">
        <v>1447</v>
      </c>
      <c r="E5640" t="s">
        <v>1919</v>
      </c>
      <c r="F5640" t="s">
        <v>1806</v>
      </c>
      <c r="I5640" t="str">
        <f>IF(ISBLANK('Q 5'!J1396),"",IF('Q 5'!J1396="&lt;please select&gt;","",'Q 5'!J1396))</f>
        <v/>
      </c>
    </row>
    <row r="5641" spans="1:9" x14ac:dyDescent="0.3">
      <c r="A5641" t="s">
        <v>1910</v>
      </c>
      <c r="B5641" t="s">
        <v>1912</v>
      </c>
      <c r="C5641">
        <v>9</v>
      </c>
      <c r="D5641" t="s">
        <v>1447</v>
      </c>
      <c r="E5641" t="s">
        <v>1919</v>
      </c>
      <c r="F5641" t="s">
        <v>1806</v>
      </c>
      <c r="I5641" t="str">
        <f>IF(ISBLANK('Q 5'!J1397),"",IF('Q 5'!J1397="&lt;please select&gt;","",'Q 5'!J1397))</f>
        <v/>
      </c>
    </row>
    <row r="5642" spans="1:9" x14ac:dyDescent="0.3">
      <c r="A5642" t="s">
        <v>1910</v>
      </c>
      <c r="B5642" t="s">
        <v>1912</v>
      </c>
      <c r="C5642">
        <v>10</v>
      </c>
      <c r="D5642" t="s">
        <v>1447</v>
      </c>
      <c r="E5642" t="s">
        <v>1919</v>
      </c>
      <c r="F5642" t="s">
        <v>1806</v>
      </c>
      <c r="I5642" t="str">
        <f>IF(ISBLANK('Q 5'!J1398),"",IF('Q 5'!J1398="&lt;please select&gt;","",'Q 5'!J1398))</f>
        <v/>
      </c>
    </row>
    <row r="5643" spans="1:9" x14ac:dyDescent="0.3">
      <c r="A5643" t="s">
        <v>1910</v>
      </c>
      <c r="B5643" t="s">
        <v>1912</v>
      </c>
      <c r="C5643">
        <v>11</v>
      </c>
      <c r="D5643" t="s">
        <v>1447</v>
      </c>
      <c r="E5643" t="s">
        <v>1919</v>
      </c>
      <c r="F5643" t="s">
        <v>1806</v>
      </c>
      <c r="I5643" t="str">
        <f>IF(ISBLANK('Q 5'!J1399),"",IF('Q 5'!J1399="&lt;please select&gt;","",'Q 5'!J1399))</f>
        <v/>
      </c>
    </row>
    <row r="5644" spans="1:9" x14ac:dyDescent="0.3">
      <c r="A5644" t="s">
        <v>1910</v>
      </c>
      <c r="B5644" t="s">
        <v>1912</v>
      </c>
      <c r="C5644">
        <v>12</v>
      </c>
      <c r="D5644" t="s">
        <v>1447</v>
      </c>
      <c r="E5644" t="s">
        <v>1919</v>
      </c>
      <c r="F5644" t="s">
        <v>1806</v>
      </c>
      <c r="I5644" t="str">
        <f>IF(ISBLANK('Q 5'!J1400),"",IF('Q 5'!J1400="&lt;please select&gt;","",'Q 5'!J1400))</f>
        <v/>
      </c>
    </row>
    <row r="5645" spans="1:9" x14ac:dyDescent="0.3">
      <c r="A5645" t="s">
        <v>1910</v>
      </c>
      <c r="B5645" t="s">
        <v>1912</v>
      </c>
      <c r="C5645">
        <v>13</v>
      </c>
      <c r="D5645" t="s">
        <v>1447</v>
      </c>
      <c r="E5645" t="s">
        <v>1919</v>
      </c>
      <c r="F5645" t="s">
        <v>1806</v>
      </c>
      <c r="I5645" t="str">
        <f>IF(ISBLANK('Q 5'!J1401),"",IF('Q 5'!J1401="&lt;please select&gt;","",'Q 5'!J1401))</f>
        <v/>
      </c>
    </row>
    <row r="5646" spans="1:9" x14ac:dyDescent="0.3">
      <c r="A5646" t="s">
        <v>1910</v>
      </c>
      <c r="B5646" t="s">
        <v>1912</v>
      </c>
      <c r="C5646">
        <v>14</v>
      </c>
      <c r="D5646" t="s">
        <v>1447</v>
      </c>
      <c r="E5646" t="s">
        <v>1919</v>
      </c>
      <c r="F5646" t="s">
        <v>1806</v>
      </c>
      <c r="I5646" t="str">
        <f>IF(ISBLANK('Q 5'!J1402),"",IF('Q 5'!J1402="&lt;please select&gt;","",'Q 5'!J1402))</f>
        <v/>
      </c>
    </row>
    <row r="5647" spans="1:9" x14ac:dyDescent="0.3">
      <c r="A5647" t="s">
        <v>1910</v>
      </c>
      <c r="B5647" t="s">
        <v>1912</v>
      </c>
      <c r="C5647">
        <v>15</v>
      </c>
      <c r="D5647" t="s">
        <v>1447</v>
      </c>
      <c r="E5647" t="s">
        <v>1919</v>
      </c>
      <c r="F5647" t="s">
        <v>1806</v>
      </c>
      <c r="I5647" t="str">
        <f>IF(ISBLANK('Q 5'!J1403),"",IF('Q 5'!J1403="&lt;please select&gt;","",'Q 5'!J1403))</f>
        <v/>
      </c>
    </row>
    <row r="5648" spans="1:9" x14ac:dyDescent="0.3">
      <c r="A5648" t="s">
        <v>1910</v>
      </c>
      <c r="B5648" t="s">
        <v>1912</v>
      </c>
      <c r="C5648">
        <v>16</v>
      </c>
      <c r="D5648" t="s">
        <v>1447</v>
      </c>
      <c r="E5648" t="s">
        <v>1919</v>
      </c>
      <c r="F5648" t="s">
        <v>1806</v>
      </c>
      <c r="I5648" t="str">
        <f>IF(ISBLANK('Q 5'!J1404),"",IF('Q 5'!J1404="&lt;please select&gt;","",'Q 5'!J1404))</f>
        <v/>
      </c>
    </row>
    <row r="5649" spans="1:9" x14ac:dyDescent="0.3">
      <c r="A5649" t="s">
        <v>1910</v>
      </c>
      <c r="B5649" t="s">
        <v>1912</v>
      </c>
      <c r="C5649">
        <v>17</v>
      </c>
      <c r="D5649" t="s">
        <v>1447</v>
      </c>
      <c r="E5649" t="s">
        <v>1919</v>
      </c>
      <c r="F5649" t="s">
        <v>1806</v>
      </c>
      <c r="I5649" t="str">
        <f>IF(ISBLANK('Q 5'!J1405),"",IF('Q 5'!J1405="&lt;please select&gt;","",'Q 5'!J1405))</f>
        <v/>
      </c>
    </row>
    <row r="5650" spans="1:9" x14ac:dyDescent="0.3">
      <c r="A5650" t="s">
        <v>1910</v>
      </c>
      <c r="B5650" t="s">
        <v>1912</v>
      </c>
      <c r="C5650">
        <v>18</v>
      </c>
      <c r="D5650" t="s">
        <v>1447</v>
      </c>
      <c r="E5650" t="s">
        <v>1919</v>
      </c>
      <c r="F5650" t="s">
        <v>1806</v>
      </c>
      <c r="I5650" t="str">
        <f>IF(ISBLANK('Q 5'!J1406),"",IF('Q 5'!J1406="&lt;please select&gt;","",'Q 5'!J1406))</f>
        <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
      </c>
    </row>
    <row r="5684" spans="1:9" x14ac:dyDescent="0.3">
      <c r="A5684" t="s">
        <v>1910</v>
      </c>
      <c r="B5684" t="s">
        <v>1912</v>
      </c>
      <c r="C5684">
        <v>2</v>
      </c>
      <c r="D5684" t="s">
        <v>1447</v>
      </c>
      <c r="E5684" t="s">
        <v>1920</v>
      </c>
      <c r="F5684" t="s">
        <v>1806</v>
      </c>
      <c r="I5684" t="str">
        <f>IF(ISBLANK('Q 5'!K1390),"",IF('Q 5'!K1390="&lt;please select&gt;","",'Q 5'!K1390))</f>
        <v/>
      </c>
    </row>
    <row r="5685" spans="1:9" x14ac:dyDescent="0.3">
      <c r="A5685" t="s">
        <v>1910</v>
      </c>
      <c r="B5685" t="s">
        <v>1912</v>
      </c>
      <c r="C5685">
        <v>3</v>
      </c>
      <c r="D5685" t="s">
        <v>1447</v>
      </c>
      <c r="E5685" t="s">
        <v>1920</v>
      </c>
      <c r="F5685" t="s">
        <v>1806</v>
      </c>
      <c r="I5685" t="str">
        <f>IF(ISBLANK('Q 5'!K1391),"",IF('Q 5'!K1391="&lt;please select&gt;","",'Q 5'!K1391))</f>
        <v/>
      </c>
    </row>
    <row r="5686" spans="1:9" x14ac:dyDescent="0.3">
      <c r="A5686" t="s">
        <v>1910</v>
      </c>
      <c r="B5686" t="s">
        <v>1912</v>
      </c>
      <c r="C5686">
        <v>4</v>
      </c>
      <c r="D5686" t="s">
        <v>1447</v>
      </c>
      <c r="E5686" t="s">
        <v>1920</v>
      </c>
      <c r="F5686" t="s">
        <v>1806</v>
      </c>
      <c r="I5686" t="str">
        <f>IF(ISBLANK('Q 5'!K1392),"",IF('Q 5'!K1392="&lt;please select&gt;","",'Q 5'!K1392))</f>
        <v/>
      </c>
    </row>
    <row r="5687" spans="1:9" x14ac:dyDescent="0.3">
      <c r="A5687" t="s">
        <v>1910</v>
      </c>
      <c r="B5687" t="s">
        <v>1912</v>
      </c>
      <c r="C5687">
        <v>5</v>
      </c>
      <c r="D5687" t="s">
        <v>1447</v>
      </c>
      <c r="E5687" t="s">
        <v>1920</v>
      </c>
      <c r="F5687" t="s">
        <v>1806</v>
      </c>
      <c r="I5687" t="str">
        <f>IF(ISBLANK('Q 5'!K1393),"",IF('Q 5'!K1393="&lt;please select&gt;","",'Q 5'!K1393))</f>
        <v/>
      </c>
    </row>
    <row r="5688" spans="1:9" x14ac:dyDescent="0.3">
      <c r="A5688" t="s">
        <v>1910</v>
      </c>
      <c r="B5688" t="s">
        <v>1912</v>
      </c>
      <c r="C5688">
        <v>6</v>
      </c>
      <c r="D5688" t="s">
        <v>1447</v>
      </c>
      <c r="E5688" t="s">
        <v>1920</v>
      </c>
      <c r="F5688" t="s">
        <v>1806</v>
      </c>
      <c r="I5688" t="str">
        <f>IF(ISBLANK('Q 5'!K1394),"",IF('Q 5'!K1394="&lt;please select&gt;","",'Q 5'!K1394))</f>
        <v/>
      </c>
    </row>
    <row r="5689" spans="1:9" x14ac:dyDescent="0.3">
      <c r="A5689" t="s">
        <v>1910</v>
      </c>
      <c r="B5689" t="s">
        <v>1912</v>
      </c>
      <c r="C5689">
        <v>7</v>
      </c>
      <c r="D5689" t="s">
        <v>1447</v>
      </c>
      <c r="E5689" t="s">
        <v>1920</v>
      </c>
      <c r="F5689" t="s">
        <v>1806</v>
      </c>
      <c r="I5689" t="str">
        <f>IF(ISBLANK('Q 5'!K1395),"",IF('Q 5'!K1395="&lt;please select&gt;","",'Q 5'!K1395))</f>
        <v/>
      </c>
    </row>
    <row r="5690" spans="1:9" x14ac:dyDescent="0.3">
      <c r="A5690" t="s">
        <v>1910</v>
      </c>
      <c r="B5690" t="s">
        <v>1912</v>
      </c>
      <c r="C5690">
        <v>8</v>
      </c>
      <c r="D5690" t="s">
        <v>1447</v>
      </c>
      <c r="E5690" t="s">
        <v>1920</v>
      </c>
      <c r="F5690" t="s">
        <v>1806</v>
      </c>
      <c r="I5690" t="str">
        <f>IF(ISBLANK('Q 5'!K1396),"",IF('Q 5'!K1396="&lt;please select&gt;","",'Q 5'!K1396))</f>
        <v/>
      </c>
    </row>
    <row r="5691" spans="1:9" x14ac:dyDescent="0.3">
      <c r="A5691" t="s">
        <v>1910</v>
      </c>
      <c r="B5691" t="s">
        <v>1912</v>
      </c>
      <c r="C5691">
        <v>9</v>
      </c>
      <c r="D5691" t="s">
        <v>1447</v>
      </c>
      <c r="E5691" t="s">
        <v>1920</v>
      </c>
      <c r="F5691" t="s">
        <v>1806</v>
      </c>
      <c r="I5691" t="str">
        <f>IF(ISBLANK('Q 5'!K1397),"",IF('Q 5'!K1397="&lt;please select&gt;","",'Q 5'!K1397))</f>
        <v/>
      </c>
    </row>
    <row r="5692" spans="1:9" x14ac:dyDescent="0.3">
      <c r="A5692" t="s">
        <v>1910</v>
      </c>
      <c r="B5692" t="s">
        <v>1912</v>
      </c>
      <c r="C5692">
        <v>10</v>
      </c>
      <c r="D5692" t="s">
        <v>1447</v>
      </c>
      <c r="E5692" t="s">
        <v>1920</v>
      </c>
      <c r="F5692" t="s">
        <v>1806</v>
      </c>
      <c r="I5692" t="str">
        <f>IF(ISBLANK('Q 5'!K1398),"",IF('Q 5'!K1398="&lt;please select&gt;","",'Q 5'!K1398))</f>
        <v/>
      </c>
    </row>
    <row r="5693" spans="1:9" x14ac:dyDescent="0.3">
      <c r="A5693" t="s">
        <v>1910</v>
      </c>
      <c r="B5693" t="s">
        <v>1912</v>
      </c>
      <c r="C5693">
        <v>11</v>
      </c>
      <c r="D5693" t="s">
        <v>1447</v>
      </c>
      <c r="E5693" t="s">
        <v>1920</v>
      </c>
      <c r="F5693" t="s">
        <v>1806</v>
      </c>
      <c r="I5693" t="str">
        <f>IF(ISBLANK('Q 5'!K1399),"",IF('Q 5'!K1399="&lt;please select&gt;","",'Q 5'!K1399))</f>
        <v/>
      </c>
    </row>
    <row r="5694" spans="1:9" x14ac:dyDescent="0.3">
      <c r="A5694" t="s">
        <v>1910</v>
      </c>
      <c r="B5694" t="s">
        <v>1912</v>
      </c>
      <c r="C5694">
        <v>12</v>
      </c>
      <c r="D5694" t="s">
        <v>1447</v>
      </c>
      <c r="E5694" t="s">
        <v>1920</v>
      </c>
      <c r="F5694" t="s">
        <v>1806</v>
      </c>
      <c r="I5694" t="str">
        <f>IF(ISBLANK('Q 5'!K1400),"",IF('Q 5'!K1400="&lt;please select&gt;","",'Q 5'!K1400))</f>
        <v/>
      </c>
    </row>
    <row r="5695" spans="1:9" x14ac:dyDescent="0.3">
      <c r="A5695" t="s">
        <v>1910</v>
      </c>
      <c r="B5695" t="s">
        <v>1912</v>
      </c>
      <c r="C5695">
        <v>13</v>
      </c>
      <c r="D5695" t="s">
        <v>1447</v>
      </c>
      <c r="E5695" t="s">
        <v>1920</v>
      </c>
      <c r="F5695" t="s">
        <v>1806</v>
      </c>
      <c r="I5695" t="str">
        <f>IF(ISBLANK('Q 5'!K1401),"",IF('Q 5'!K1401="&lt;please select&gt;","",'Q 5'!K1401))</f>
        <v/>
      </c>
    </row>
    <row r="5696" spans="1:9" x14ac:dyDescent="0.3">
      <c r="A5696" t="s">
        <v>1910</v>
      </c>
      <c r="B5696" t="s">
        <v>1912</v>
      </c>
      <c r="C5696">
        <v>14</v>
      </c>
      <c r="D5696" t="s">
        <v>1447</v>
      </c>
      <c r="E5696" t="s">
        <v>1920</v>
      </c>
      <c r="F5696" t="s">
        <v>1806</v>
      </c>
      <c r="I5696" t="str">
        <f>IF(ISBLANK('Q 5'!K1402),"",IF('Q 5'!K1402="&lt;please select&gt;","",'Q 5'!K1402))</f>
        <v/>
      </c>
    </row>
    <row r="5697" spans="1:9" x14ac:dyDescent="0.3">
      <c r="A5697" t="s">
        <v>1910</v>
      </c>
      <c r="B5697" t="s">
        <v>1912</v>
      </c>
      <c r="C5697">
        <v>15</v>
      </c>
      <c r="D5697" t="s">
        <v>1447</v>
      </c>
      <c r="E5697" t="s">
        <v>1920</v>
      </c>
      <c r="F5697" t="s">
        <v>1806</v>
      </c>
      <c r="I5697" t="str">
        <f>IF(ISBLANK('Q 5'!K1403),"",IF('Q 5'!K1403="&lt;please select&gt;","",'Q 5'!K1403))</f>
        <v/>
      </c>
    </row>
    <row r="5698" spans="1:9" x14ac:dyDescent="0.3">
      <c r="A5698" t="s">
        <v>1910</v>
      </c>
      <c r="B5698" t="s">
        <v>1912</v>
      </c>
      <c r="C5698">
        <v>16</v>
      </c>
      <c r="D5698" t="s">
        <v>1447</v>
      </c>
      <c r="E5698" t="s">
        <v>1920</v>
      </c>
      <c r="F5698" t="s">
        <v>1806</v>
      </c>
      <c r="I5698" t="str">
        <f>IF(ISBLANK('Q 5'!K1404),"",IF('Q 5'!K1404="&lt;please select&gt;","",'Q 5'!K1404))</f>
        <v/>
      </c>
    </row>
    <row r="5699" spans="1:9" x14ac:dyDescent="0.3">
      <c r="A5699" t="s">
        <v>1910</v>
      </c>
      <c r="B5699" t="s">
        <v>1912</v>
      </c>
      <c r="C5699">
        <v>17</v>
      </c>
      <c r="D5699" t="s">
        <v>1447</v>
      </c>
      <c r="E5699" t="s">
        <v>1920</v>
      </c>
      <c r="F5699" t="s">
        <v>1806</v>
      </c>
      <c r="I5699" t="str">
        <f>IF(ISBLANK('Q 5'!K1405),"",IF('Q 5'!K1405="&lt;please select&gt;","",'Q 5'!K1405))</f>
        <v/>
      </c>
    </row>
    <row r="5700" spans="1:9" x14ac:dyDescent="0.3">
      <c r="A5700" t="s">
        <v>1910</v>
      </c>
      <c r="B5700" t="s">
        <v>1912</v>
      </c>
      <c r="C5700">
        <v>18</v>
      </c>
      <c r="D5700" t="s">
        <v>1447</v>
      </c>
      <c r="E5700" t="s">
        <v>1920</v>
      </c>
      <c r="F5700" t="s">
        <v>1806</v>
      </c>
      <c r="I5700" t="str">
        <f>IF(ISBLANK('Q 5'!K1406),"",IF('Q 5'!K1406="&lt;please select&gt;","",'Q 5'!K1406))</f>
        <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140925.1391</v>
      </c>
    </row>
    <row r="5734" spans="1:11" x14ac:dyDescent="0.3">
      <c r="A5734" t="s">
        <v>1923</v>
      </c>
      <c r="B5734" t="s">
        <v>1924</v>
      </c>
      <c r="C5734">
        <v>0</v>
      </c>
      <c r="D5734" t="s">
        <v>1447</v>
      </c>
      <c r="E5734" t="s">
        <v>1924</v>
      </c>
      <c r="F5734" t="s">
        <v>1759</v>
      </c>
      <c r="K5734" t="str">
        <f>IF(ISBLANK('Q 5'!$I$1449),"",IF('Q 5'!$I$1449="&lt;please select&gt;","",'Q 5'!$I$1449))</f>
        <v>No</v>
      </c>
    </row>
    <row r="5735" spans="1:11" x14ac:dyDescent="0.3">
      <c r="A5735" t="s">
        <v>1923</v>
      </c>
      <c r="B5735" t="s">
        <v>1925</v>
      </c>
      <c r="C5735">
        <v>1</v>
      </c>
      <c r="D5735" t="s">
        <v>1447</v>
      </c>
      <c r="E5735" t="s">
        <v>1926</v>
      </c>
      <c r="F5735" t="s">
        <v>1737</v>
      </c>
      <c r="K5735" t="str">
        <f>IF(ISBLANK('Q 5'!C1452),"",IF('Q 5'!C1452="&lt;please select&gt;","",'Q 5'!C1452))</f>
        <v/>
      </c>
    </row>
    <row r="5736" spans="1:11" x14ac:dyDescent="0.3">
      <c r="A5736" t="s">
        <v>1923</v>
      </c>
      <c r="B5736" t="s">
        <v>1925</v>
      </c>
      <c r="C5736">
        <v>2</v>
      </c>
      <c r="D5736" t="s">
        <v>1447</v>
      </c>
      <c r="E5736" t="s">
        <v>1926</v>
      </c>
      <c r="F5736" t="s">
        <v>1737</v>
      </c>
      <c r="K5736" t="str">
        <f>IF(ISBLANK('Q 5'!C1453),"",IF('Q 5'!C1453="&lt;please select&gt;","",'Q 5'!C1453))</f>
        <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
      </c>
    </row>
    <row r="5741" spans="1:11" x14ac:dyDescent="0.3">
      <c r="A5741" t="s">
        <v>1923</v>
      </c>
      <c r="B5741" t="s">
        <v>1925</v>
      </c>
      <c r="C5741">
        <v>2</v>
      </c>
      <c r="D5741" t="s">
        <v>1447</v>
      </c>
      <c r="E5741" t="s">
        <v>1927</v>
      </c>
      <c r="F5741" t="s">
        <v>1741</v>
      </c>
      <c r="G5741" t="str">
        <f>IF(ISBLANK('Q 5'!G1453),"",IF('Q 5'!G1453="&lt;please select&gt;","",'Q 5'!G1453))</f>
        <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1</v>
      </c>
    </row>
    <row r="5746" spans="1:9" x14ac:dyDescent="0.3">
      <c r="A5746" t="s">
        <v>1928</v>
      </c>
      <c r="B5746" t="s">
        <v>1929</v>
      </c>
      <c r="C5746">
        <v>2</v>
      </c>
      <c r="D5746" t="s">
        <v>1447</v>
      </c>
      <c r="E5746" t="s">
        <v>1930</v>
      </c>
      <c r="F5746" t="s">
        <v>1748</v>
      </c>
      <c r="H5746" s="165" t="str">
        <f>IF(ISBLANK('Q 5'!E1463),"",IF('Q 5'!E1463="&lt;please select&gt;","",'Q 5'!E1463))</f>
        <v>1</v>
      </c>
    </row>
    <row r="5747" spans="1:9" x14ac:dyDescent="0.3">
      <c r="A5747" t="s">
        <v>1928</v>
      </c>
      <c r="B5747" t="s">
        <v>1929</v>
      </c>
      <c r="C5747">
        <v>3</v>
      </c>
      <c r="D5747" t="s">
        <v>1447</v>
      </c>
      <c r="E5747" t="s">
        <v>1930</v>
      </c>
      <c r="F5747" t="s">
        <v>1748</v>
      </c>
      <c r="H5747" s="165" t="str">
        <f>IF(ISBLANK('Q 5'!E1464),"",IF('Q 5'!E1464="&lt;please select&gt;","",'Q 5'!E1464))</f>
        <v>0</v>
      </c>
    </row>
    <row r="5748" spans="1:9" x14ac:dyDescent="0.3">
      <c r="A5748" t="s">
        <v>1928</v>
      </c>
      <c r="B5748" t="s">
        <v>1929</v>
      </c>
      <c r="C5748">
        <v>1</v>
      </c>
      <c r="D5748" t="s">
        <v>1447</v>
      </c>
      <c r="E5748" t="s">
        <v>1931</v>
      </c>
      <c r="F5748" t="s">
        <v>1806</v>
      </c>
      <c r="I5748" s="166" t="str">
        <f>IF(ISBLANK('Q 5'!G1462),"",IF('Q 5'!G1462="&lt;please select&gt;","",'Q 5'!G1462))</f>
        <v>0</v>
      </c>
    </row>
    <row r="5749" spans="1:9" x14ac:dyDescent="0.3">
      <c r="A5749" t="s">
        <v>1928</v>
      </c>
      <c r="B5749" t="s">
        <v>1929</v>
      </c>
      <c r="C5749">
        <v>2</v>
      </c>
      <c r="D5749" t="s">
        <v>1447</v>
      </c>
      <c r="E5749" t="s">
        <v>1931</v>
      </c>
      <c r="F5749" t="s">
        <v>1806</v>
      </c>
      <c r="I5749" s="166" t="str">
        <f>IF(ISBLANK('Q 5'!G1463),"",IF('Q 5'!G1463="&lt;please select&gt;","",'Q 5'!G1463))</f>
        <v>0</v>
      </c>
    </row>
    <row r="5750" spans="1:9" x14ac:dyDescent="0.3">
      <c r="A5750" t="s">
        <v>1928</v>
      </c>
      <c r="B5750" t="s">
        <v>1929</v>
      </c>
      <c r="C5750">
        <v>3</v>
      </c>
      <c r="D5750" t="s">
        <v>1447</v>
      </c>
      <c r="E5750" t="s">
        <v>1931</v>
      </c>
      <c r="F5750" t="s">
        <v>1806</v>
      </c>
      <c r="I5750" s="166" t="str">
        <f>IF(ISBLANK('Q 5'!G1464),"",IF('Q 5'!G1464="&lt;please select&gt;","",'Q 5'!G1464))</f>
        <v>0</v>
      </c>
    </row>
    <row r="5751" spans="1:9" x14ac:dyDescent="0.3">
      <c r="A5751" t="s">
        <v>1932</v>
      </c>
      <c r="B5751" t="s">
        <v>1933</v>
      </c>
      <c r="C5751">
        <v>1</v>
      </c>
      <c r="D5751" t="s">
        <v>1447</v>
      </c>
      <c r="E5751" t="s">
        <v>1934</v>
      </c>
      <c r="F5751" t="s">
        <v>1806</v>
      </c>
      <c r="I5751" t="str">
        <f>IF(ISBLANK('Q 5'!G1472),"",IF('Q 5'!G1472="&lt;please select&gt;","",'Q 5'!G1472))</f>
        <v>230635</v>
      </c>
    </row>
    <row r="5752" spans="1:9" x14ac:dyDescent="0.3">
      <c r="A5752" t="s">
        <v>1932</v>
      </c>
      <c r="B5752" t="s">
        <v>1933</v>
      </c>
      <c r="C5752">
        <v>2</v>
      </c>
      <c r="D5752" t="s">
        <v>1447</v>
      </c>
      <c r="E5752" t="s">
        <v>1934</v>
      </c>
      <c r="F5752" t="s">
        <v>1806</v>
      </c>
      <c r="I5752" t="str">
        <f>IF(ISBLANK('Q 5'!G1473),"",IF('Q 5'!G1473="&lt;please select&gt;","",'Q 5'!G1473))</f>
        <v>41</v>
      </c>
    </row>
    <row r="5753" spans="1:9" x14ac:dyDescent="0.3">
      <c r="A5753" t="s">
        <v>1932</v>
      </c>
      <c r="B5753" t="s">
        <v>1933</v>
      </c>
      <c r="C5753">
        <v>3</v>
      </c>
      <c r="D5753" t="s">
        <v>1447</v>
      </c>
      <c r="E5753" t="s">
        <v>1934</v>
      </c>
      <c r="F5753" t="s">
        <v>1806</v>
      </c>
      <c r="I5753" t="str">
        <f>IF(ISBLANK('Q 5'!G1474),"",IF('Q 5'!G1474="&lt;please select&gt;","",'Q 5'!G1474))</f>
        <v>306632</v>
      </c>
    </row>
    <row r="5754" spans="1:9" x14ac:dyDescent="0.3">
      <c r="A5754" t="s">
        <v>1932</v>
      </c>
      <c r="B5754" t="s">
        <v>1933</v>
      </c>
      <c r="C5754">
        <v>4</v>
      </c>
      <c r="D5754" t="s">
        <v>1447</v>
      </c>
      <c r="E5754" t="s">
        <v>1934</v>
      </c>
      <c r="F5754" t="s">
        <v>1806</v>
      </c>
      <c r="I5754" t="str">
        <f>IF(ISBLANK('Q 5'!G1475),"",IF('Q 5'!G1475="&lt;please select&gt;","",'Q 5'!G1475))</f>
        <v>47793</v>
      </c>
    </row>
    <row r="5755" spans="1:9" x14ac:dyDescent="0.3">
      <c r="A5755" t="s">
        <v>1932</v>
      </c>
      <c r="B5755" t="s">
        <v>1933</v>
      </c>
      <c r="C5755">
        <v>5</v>
      </c>
      <c r="D5755" t="s">
        <v>1447</v>
      </c>
      <c r="E5755" t="s">
        <v>1934</v>
      </c>
      <c r="F5755" t="s">
        <v>1806</v>
      </c>
      <c r="I5755" t="str">
        <f>IF(ISBLANK('Q 5'!G1476),"",IF('Q 5'!G1476="&lt;please select&gt;","",'Q 5'!G1476))</f>
        <v>2186</v>
      </c>
    </row>
    <row r="5756" spans="1:9" x14ac:dyDescent="0.3">
      <c r="A5756" t="s">
        <v>1932</v>
      </c>
      <c r="B5756" t="s">
        <v>1935</v>
      </c>
      <c r="C5756">
        <v>0</v>
      </c>
      <c r="D5756" t="s">
        <v>1447</v>
      </c>
      <c r="E5756" t="s">
        <v>1935</v>
      </c>
      <c r="F5756" t="s">
        <v>1748</v>
      </c>
      <c r="H5756" s="167" t="str">
        <f>IF(ISBLANK('Q 5'!$G$1479),"",IF('Q 5'!$G$1479="&lt;please select&gt;","",'Q 5'!$G$1479))</f>
        <v>0</v>
      </c>
    </row>
    <row r="5757" spans="1:9" x14ac:dyDescent="0.3">
      <c r="A5757" t="s">
        <v>1936</v>
      </c>
      <c r="B5757" t="s">
        <v>1937</v>
      </c>
      <c r="C5757">
        <v>0</v>
      </c>
      <c r="D5757" t="s">
        <v>1447</v>
      </c>
      <c r="E5757" t="s">
        <v>1937</v>
      </c>
      <c r="F5757" t="s">
        <v>1748</v>
      </c>
      <c r="H5757" s="165" t="str">
        <f>IF(ISBLANK('Q 5'!$C$1486),"",IF('Q 5'!$C$1486="&lt;please select&gt;","",'Q 5'!$C$1486))</f>
        <v>0</v>
      </c>
    </row>
    <row r="5758" spans="1:9" x14ac:dyDescent="0.3">
      <c r="A5758" t="s">
        <v>1936</v>
      </c>
      <c r="B5758" t="s">
        <v>1938</v>
      </c>
      <c r="C5758">
        <v>0</v>
      </c>
      <c r="D5758" t="s">
        <v>1447</v>
      </c>
      <c r="E5758" t="s">
        <v>1938</v>
      </c>
      <c r="F5758" t="s">
        <v>1806</v>
      </c>
      <c r="I5758" s="165" t="str">
        <f>IF(ISBLANK('Q 5'!$E$1486),"",IF('Q 5'!$E$1486="&lt;please select&gt;","",'Q 5'!$E$1486))</f>
        <v>0</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0</v>
      </c>
    </row>
    <row r="5761" spans="1:11" x14ac:dyDescent="0.3">
      <c r="A5761" t="s">
        <v>1940</v>
      </c>
      <c r="B5761" t="s">
        <v>1941</v>
      </c>
      <c r="C5761">
        <v>2</v>
      </c>
      <c r="D5761" t="s">
        <v>1447</v>
      </c>
      <c r="E5761" t="s">
        <v>1942</v>
      </c>
      <c r="F5761" t="s">
        <v>1748</v>
      </c>
      <c r="H5761" s="165" t="str">
        <f>IF(ISBLANK('Q 5'!H1494),"",IF('Q 5'!H1494="&lt;please select&gt;","",'Q 5'!H1494))</f>
        <v>0</v>
      </c>
    </row>
    <row r="5762" spans="1:11" x14ac:dyDescent="0.3">
      <c r="A5762" t="s">
        <v>1940</v>
      </c>
      <c r="B5762" t="s">
        <v>1941</v>
      </c>
      <c r="C5762">
        <v>3</v>
      </c>
      <c r="D5762" t="s">
        <v>1447</v>
      </c>
      <c r="E5762" t="s">
        <v>1942</v>
      </c>
      <c r="F5762" t="s">
        <v>1748</v>
      </c>
      <c r="H5762" s="165" t="str">
        <f>IF(ISBLANK('Q 5'!H1495),"",IF('Q 5'!H1495="&lt;please select&gt;","",'Q 5'!H1495))</f>
        <v>0</v>
      </c>
    </row>
    <row r="5763" spans="1:11" x14ac:dyDescent="0.3">
      <c r="A5763" t="s">
        <v>1940</v>
      </c>
      <c r="B5763" t="s">
        <v>1941</v>
      </c>
      <c r="C5763">
        <v>4</v>
      </c>
      <c r="D5763" t="s">
        <v>1447</v>
      </c>
      <c r="E5763" t="s">
        <v>1942</v>
      </c>
      <c r="F5763" t="s">
        <v>1748</v>
      </c>
      <c r="H5763" s="165" t="str">
        <f>IF(ISBLANK('Q 5'!H1496),"",IF('Q 5'!H1496="&lt;please select&gt;","",'Q 5'!H1496))</f>
        <v>0</v>
      </c>
    </row>
    <row r="5764" spans="1:11" x14ac:dyDescent="0.3">
      <c r="A5764" t="s">
        <v>1943</v>
      </c>
      <c r="B5764" t="s">
        <v>1944</v>
      </c>
      <c r="C5764">
        <v>0</v>
      </c>
      <c r="D5764" t="s">
        <v>1447</v>
      </c>
      <c r="E5764" t="s">
        <v>1944</v>
      </c>
      <c r="F5764" t="s">
        <v>1748</v>
      </c>
      <c r="H5764" s="165" t="str">
        <f>IF(ISBLANK('Q 5'!$C$1500),"",IF('Q 5'!$C$1500="&lt;please select&gt;","",'Q 5'!$C$1500))</f>
        <v/>
      </c>
    </row>
    <row r="5765" spans="1:11" x14ac:dyDescent="0.3">
      <c r="A5765" t="s">
        <v>1943</v>
      </c>
      <c r="B5765" t="s">
        <v>1945</v>
      </c>
      <c r="C5765">
        <v>0</v>
      </c>
      <c r="D5765" t="s">
        <v>1447</v>
      </c>
      <c r="E5765" t="s">
        <v>1945</v>
      </c>
      <c r="F5765" t="s">
        <v>1748</v>
      </c>
      <c r="H5765" s="165" t="str">
        <f>IF(ISBLANK('Q 5'!$G$1500),"",IF('Q 5'!$G$1500="&lt;please select&gt;","",'Q 5'!$G$1500))</f>
        <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3</v>
      </c>
    </row>
    <row r="5778" spans="1:11" x14ac:dyDescent="0.3">
      <c r="A5778" t="s">
        <v>1951</v>
      </c>
      <c r="B5778" t="s">
        <v>1952</v>
      </c>
      <c r="C5778">
        <v>2</v>
      </c>
      <c r="D5778" t="s">
        <v>1447</v>
      </c>
      <c r="E5778" t="s">
        <v>1953</v>
      </c>
      <c r="F5778" t="s">
        <v>1748</v>
      </c>
      <c r="H5778" s="165" t="str">
        <f>IF(ISBLANK('Q 6'!F9),"",IF('Q 6'!F9="&lt;please select&gt;","",'Q 6'!F9))</f>
        <v/>
      </c>
    </row>
    <row r="5779" spans="1:11" x14ac:dyDescent="0.3">
      <c r="A5779" t="s">
        <v>1951</v>
      </c>
      <c r="B5779" t="s">
        <v>1952</v>
      </c>
      <c r="C5779">
        <v>3</v>
      </c>
      <c r="D5779" t="s">
        <v>1447</v>
      </c>
      <c r="E5779" t="s">
        <v>1953</v>
      </c>
      <c r="F5779" t="s">
        <v>1748</v>
      </c>
      <c r="H5779" s="165" t="str">
        <f>IF(ISBLANK('Q 6'!F10),"",IF('Q 6'!F10="&lt;please select&gt;","",'Q 6'!F10))</f>
        <v/>
      </c>
    </row>
    <row r="5780" spans="1:11" x14ac:dyDescent="0.3">
      <c r="A5780" t="s">
        <v>1951</v>
      </c>
      <c r="B5780" t="s">
        <v>1952</v>
      </c>
      <c r="C5780">
        <v>4</v>
      </c>
      <c r="D5780" t="s">
        <v>1447</v>
      </c>
      <c r="E5780" t="s">
        <v>1953</v>
      </c>
      <c r="F5780" t="s">
        <v>1748</v>
      </c>
      <c r="H5780" s="165" t="str">
        <f>IF(ISBLANK('Q 6'!F11),"",IF('Q 6'!F11="&lt;please select&gt;","",'Q 6'!F11))</f>
        <v/>
      </c>
    </row>
    <row r="5781" spans="1:11" x14ac:dyDescent="0.3">
      <c r="A5781" t="s">
        <v>1951</v>
      </c>
      <c r="B5781" t="s">
        <v>1952</v>
      </c>
      <c r="C5781">
        <v>3</v>
      </c>
      <c r="D5781" t="s">
        <v>1447</v>
      </c>
      <c r="E5781" t="s">
        <v>1954</v>
      </c>
      <c r="F5781" t="s">
        <v>1741</v>
      </c>
      <c r="G5781" t="str">
        <f>IF(ISBLANK('Q 6'!G10),"",IF('Q 6'!G10="&lt;please select&gt;","",'Q 6'!G10))</f>
        <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1</v>
      </c>
    </row>
    <row r="5784" spans="1:11" x14ac:dyDescent="0.3">
      <c r="A5784" t="s">
        <v>1951</v>
      </c>
      <c r="B5784" t="s">
        <v>1952</v>
      </c>
      <c r="C5784">
        <v>2</v>
      </c>
      <c r="D5784" t="s">
        <v>1447</v>
      </c>
      <c r="E5784" t="s">
        <v>1955</v>
      </c>
      <c r="F5784" t="s">
        <v>1748</v>
      </c>
      <c r="H5784" s="165" t="str">
        <f>IF(ISBLANK('Q 6'!H9),"",IF('Q 6'!H9="&lt;please select&gt;","",'Q 6'!H9))</f>
        <v/>
      </c>
    </row>
    <row r="5785" spans="1:11" x14ac:dyDescent="0.3">
      <c r="A5785" t="s">
        <v>1951</v>
      </c>
      <c r="B5785" t="s">
        <v>1952</v>
      </c>
      <c r="C5785">
        <v>3</v>
      </c>
      <c r="D5785" t="s">
        <v>1447</v>
      </c>
      <c r="E5785" t="s">
        <v>1955</v>
      </c>
      <c r="F5785" t="s">
        <v>1748</v>
      </c>
      <c r="H5785" s="165" t="str">
        <f>IF(ISBLANK('Q 6'!H10),"",IF('Q 6'!H10="&lt;please select&gt;","",'Q 6'!H10))</f>
        <v/>
      </c>
    </row>
    <row r="5786" spans="1:11" x14ac:dyDescent="0.3">
      <c r="A5786" t="s">
        <v>1951</v>
      </c>
      <c r="B5786" t="s">
        <v>1952</v>
      </c>
      <c r="C5786">
        <v>4</v>
      </c>
      <c r="D5786" t="s">
        <v>1447</v>
      </c>
      <c r="E5786" t="s">
        <v>1955</v>
      </c>
      <c r="F5786" t="s">
        <v>1748</v>
      </c>
      <c r="H5786" s="165" t="str">
        <f>IF(ISBLANK('Q 6'!H11),"",IF('Q 6'!H11="&lt;please select&gt;","",'Q 6'!H11))</f>
        <v/>
      </c>
    </row>
    <row r="5787" spans="1:11" x14ac:dyDescent="0.3">
      <c r="A5787" t="s">
        <v>1951</v>
      </c>
      <c r="B5787" t="s">
        <v>1952</v>
      </c>
      <c r="C5787">
        <v>3</v>
      </c>
      <c r="D5787" t="s">
        <v>1447</v>
      </c>
      <c r="E5787" t="s">
        <v>1956</v>
      </c>
      <c r="F5787" t="s">
        <v>1741</v>
      </c>
      <c r="G5787" t="str">
        <f>IF(ISBLANK('Q 6'!I10),"",IF('Q 6'!I10="&lt;please select&gt;","",'Q 6'!I10))</f>
        <v/>
      </c>
    </row>
    <row r="5788" spans="1:11" x14ac:dyDescent="0.3">
      <c r="A5788" t="s">
        <v>1951</v>
      </c>
      <c r="B5788" t="s">
        <v>1952</v>
      </c>
      <c r="C5788">
        <v>4</v>
      </c>
      <c r="D5788" t="s">
        <v>1447</v>
      </c>
      <c r="E5788" t="s">
        <v>1956</v>
      </c>
      <c r="F5788" t="s">
        <v>1741</v>
      </c>
      <c r="G5788" t="str">
        <f>IF(ISBLANK('Q 6'!I11),"",IF('Q 6'!I11="&lt;please select&gt;","",'Q 6'!I11))</f>
        <v/>
      </c>
    </row>
    <row r="5789" spans="1:11" x14ac:dyDescent="0.3">
      <c r="A5789" t="s">
        <v>1951</v>
      </c>
      <c r="B5789" t="s">
        <v>1957</v>
      </c>
      <c r="C5789">
        <v>1</v>
      </c>
      <c r="D5789" t="s">
        <v>1447</v>
      </c>
      <c r="E5789" t="s">
        <v>1958</v>
      </c>
      <c r="F5789" t="s">
        <v>1737</v>
      </c>
      <c r="K5789" t="str">
        <f>IF(ISBLANK('Q 6'!C17),"",IF('Q 6'!C17="&lt;please select&gt;","",'Q 6'!C17))</f>
        <v>1a - Combustion of fuels in installations, where only commercial standard fuels as defined in Commission Implementing Regulation (EU) 2018/2066 are used, or where natural gas is used in category A or B installations.</v>
      </c>
    </row>
    <row r="5790" spans="1:11" x14ac:dyDescent="0.3">
      <c r="A5790" t="s">
        <v>1951</v>
      </c>
      <c r="B5790" t="s">
        <v>1957</v>
      </c>
      <c r="C5790">
        <v>2</v>
      </c>
      <c r="D5790" t="s">
        <v>1447</v>
      </c>
      <c r="E5790" t="s">
        <v>1958</v>
      </c>
      <c r="F5790" t="s">
        <v>1737</v>
      </c>
      <c r="K5790" t="str">
        <f>IF(ISBLANK('Q 6'!C18),"",IF('Q 6'!C18="&lt;please select&gt;","",'Q 6'!C18))</f>
        <v>1b - Combustion of fuels in installations, without restrictions</v>
      </c>
    </row>
    <row r="5791" spans="1:11" x14ac:dyDescent="0.3">
      <c r="A5791" t="s">
        <v>1951</v>
      </c>
      <c r="B5791" t="s">
        <v>1957</v>
      </c>
      <c r="C5791">
        <v>3</v>
      </c>
      <c r="D5791" t="s">
        <v>1447</v>
      </c>
      <c r="E5791" t="s">
        <v>1958</v>
      </c>
      <c r="F5791" t="s">
        <v>1737</v>
      </c>
      <c r="K5791" t="str">
        <f>IF(ISBLANK('Q 6'!C19),"",IF('Q 6'!C19="&lt;please select&gt;","",'Q 6'!C19))</f>
        <v>2 - Refining of mineral oil</v>
      </c>
    </row>
    <row r="5792" spans="1:11" x14ac:dyDescent="0.3">
      <c r="A5792" t="s">
        <v>1951</v>
      </c>
      <c r="B5792" t="s">
        <v>1957</v>
      </c>
      <c r="C5792">
        <v>4</v>
      </c>
      <c r="D5792" t="s">
        <v>1447</v>
      </c>
      <c r="E5792" t="s">
        <v>1958</v>
      </c>
      <c r="F5792" t="s">
        <v>1737</v>
      </c>
      <c r="K5792" t="str">
        <f>IF(ISBLANK('Q 6'!C20),"",IF('Q 6'!C20="&lt;please select&gt;","",'Q 6'!C20))</f>
        <v xml:space="preserve">3 - Metal ore (including sulphide ore) roasting or sintering, including pelletisation </v>
      </c>
    </row>
    <row r="5793" spans="1:11" x14ac:dyDescent="0.3">
      <c r="A5793" t="s">
        <v>1951</v>
      </c>
      <c r="B5793" t="s">
        <v>1957</v>
      </c>
      <c r="C5793">
        <v>5</v>
      </c>
      <c r="D5793" t="s">
        <v>1447</v>
      </c>
      <c r="E5793" t="s">
        <v>1958</v>
      </c>
      <c r="F5793" t="s">
        <v>1737</v>
      </c>
      <c r="K5793" t="str">
        <f>IF(ISBLANK('Q 6'!C21),"",IF('Q 6'!C21="&lt;please select&gt;","",'Q 6'!C21))</f>
        <v>3 - Production of pig iron or steel (primary or secondary fusion) including continuous casting</v>
      </c>
    </row>
    <row r="5794" spans="1:11" x14ac:dyDescent="0.3">
      <c r="A5794" t="s">
        <v>1951</v>
      </c>
      <c r="B5794" t="s">
        <v>1957</v>
      </c>
      <c r="C5794">
        <v>6</v>
      </c>
      <c r="D5794" t="s">
        <v>1447</v>
      </c>
      <c r="E5794" t="s">
        <v>1958</v>
      </c>
      <c r="F5794" t="s">
        <v>1737</v>
      </c>
      <c r="K5794" t="str">
        <f>IF(ISBLANK('Q 6'!C22),"",IF('Q 6'!C22="&lt;please select&gt;","",'Q 6'!C22))</f>
        <v xml:space="preserve">4 - Production or processing of ferrous metals (including ferro-alloys) </v>
      </c>
    </row>
    <row r="5795" spans="1:11" x14ac:dyDescent="0.3">
      <c r="A5795" t="s">
        <v>1951</v>
      </c>
      <c r="B5795" t="s">
        <v>1957</v>
      </c>
      <c r="C5795">
        <v>7</v>
      </c>
      <c r="D5795" t="s">
        <v>1447</v>
      </c>
      <c r="E5795" t="s">
        <v>1958</v>
      </c>
      <c r="F5795" t="s">
        <v>1737</v>
      </c>
      <c r="K5795" t="str">
        <f>IF(ISBLANK('Q 6'!C23),"",IF('Q 6'!C23="&lt;please select&gt;","",'Q 6'!C23))</f>
        <v xml:space="preserve">6 - Production of cement clinker </v>
      </c>
    </row>
    <row r="5796" spans="1:11" x14ac:dyDescent="0.3">
      <c r="A5796" t="s">
        <v>1951</v>
      </c>
      <c r="B5796" t="s">
        <v>1957</v>
      </c>
      <c r="C5796">
        <v>8</v>
      </c>
      <c r="D5796" t="s">
        <v>1447</v>
      </c>
      <c r="E5796" t="s">
        <v>1958</v>
      </c>
      <c r="F5796" t="s">
        <v>1737</v>
      </c>
      <c r="K5796" t="str">
        <f>IF(ISBLANK('Q 6'!C24),"",IF('Q 6'!C24="&lt;please select&gt;","",'Q 6'!C24))</f>
        <v xml:space="preserve">6 - Production of lime or calcination of dolomite or magnesite </v>
      </c>
    </row>
    <row r="5797" spans="1:11" x14ac:dyDescent="0.3">
      <c r="A5797" t="s">
        <v>1951</v>
      </c>
      <c r="B5797" t="s">
        <v>1957</v>
      </c>
      <c r="C5797">
        <v>9</v>
      </c>
      <c r="D5797" t="s">
        <v>1447</v>
      </c>
      <c r="E5797" t="s">
        <v>1958</v>
      </c>
      <c r="F5797" t="s">
        <v>1737</v>
      </c>
      <c r="K5797" t="str">
        <f>IF(ISBLANK('Q 6'!C25),"",IF('Q 6'!C25="&lt;please select&gt;","",'Q 6'!C25))</f>
        <v xml:space="preserve">6 - Manufacture of glass including glass fibre </v>
      </c>
    </row>
    <row r="5798" spans="1:11" x14ac:dyDescent="0.3">
      <c r="A5798" t="s">
        <v>1951</v>
      </c>
      <c r="B5798" t="s">
        <v>1957</v>
      </c>
      <c r="C5798">
        <v>10</v>
      </c>
      <c r="D5798" t="s">
        <v>1447</v>
      </c>
      <c r="E5798" t="s">
        <v>1958</v>
      </c>
      <c r="F5798" t="s">
        <v>1737</v>
      </c>
      <c r="K5798" t="str">
        <f>IF(ISBLANK('Q 6'!C26),"",IF('Q 6'!C26="&lt;please select&gt;","",'Q 6'!C26))</f>
        <v xml:space="preserve">6 - Manufacture of ceramic products by firing </v>
      </c>
    </row>
    <row r="5799" spans="1:11" x14ac:dyDescent="0.3">
      <c r="A5799" t="s">
        <v>1951</v>
      </c>
      <c r="B5799" t="s">
        <v>1957</v>
      </c>
      <c r="C5799">
        <v>11</v>
      </c>
      <c r="D5799" t="s">
        <v>1447</v>
      </c>
      <c r="E5799" t="s">
        <v>1958</v>
      </c>
      <c r="F5799" t="s">
        <v>1737</v>
      </c>
      <c r="K5799" t="str">
        <f>IF(ISBLANK('Q 6'!C27),"",IF('Q 6'!C27="&lt;please select&gt;","",'Q 6'!C27))</f>
        <v xml:space="preserve">6 - Manufacture of mineral wool insulation material </v>
      </c>
    </row>
    <row r="5800" spans="1:11" x14ac:dyDescent="0.3">
      <c r="A5800" t="s">
        <v>1951</v>
      </c>
      <c r="B5800" t="s">
        <v>1957</v>
      </c>
      <c r="C5800">
        <v>12</v>
      </c>
      <c r="D5800" t="s">
        <v>1447</v>
      </c>
      <c r="E5800" t="s">
        <v>1958</v>
      </c>
      <c r="F5800" t="s">
        <v>1737</v>
      </c>
      <c r="K5800" t="str">
        <f>IF(ISBLANK('Q 6'!C28),"",IF('Q 6'!C28="&lt;please select&gt;","",'Q 6'!C28))</f>
        <v>6 - Drying or calcination of gypsum or production of plaster boards and other gypsum products</v>
      </c>
    </row>
    <row r="5801" spans="1:11" x14ac:dyDescent="0.3">
      <c r="A5801" t="s">
        <v>1951</v>
      </c>
      <c r="B5801" t="s">
        <v>1957</v>
      </c>
      <c r="C5801">
        <v>13</v>
      </c>
      <c r="D5801" t="s">
        <v>1447</v>
      </c>
      <c r="E5801" t="s">
        <v>1958</v>
      </c>
      <c r="F5801" t="s">
        <v>1737</v>
      </c>
      <c r="K5801" t="str">
        <f>IF(ISBLANK('Q 6'!C29),"",IF('Q 6'!C29="&lt;please select&gt;","",'Q 6'!C29))</f>
        <v xml:space="preserve">7 - Production of pulp from timber or other fibrous materials </v>
      </c>
    </row>
    <row r="5802" spans="1:11" x14ac:dyDescent="0.3">
      <c r="A5802" t="s">
        <v>1951</v>
      </c>
      <c r="B5802" t="s">
        <v>1957</v>
      </c>
      <c r="C5802">
        <v>14</v>
      </c>
      <c r="D5802" t="s">
        <v>1447</v>
      </c>
      <c r="E5802" t="s">
        <v>1958</v>
      </c>
      <c r="F5802" t="s">
        <v>1737</v>
      </c>
      <c r="K5802" t="str">
        <f>IF(ISBLANK('Q 6'!C30),"",IF('Q 6'!C30="&lt;please select&gt;","",'Q 6'!C30))</f>
        <v>7 - Production of paper or cardboard</v>
      </c>
    </row>
    <row r="5803" spans="1:11" x14ac:dyDescent="0.3">
      <c r="A5803" t="s">
        <v>1951</v>
      </c>
      <c r="B5803" t="s">
        <v>1957</v>
      </c>
      <c r="C5803">
        <v>15</v>
      </c>
      <c r="D5803" t="s">
        <v>1447</v>
      </c>
      <c r="E5803" t="s">
        <v>1958</v>
      </c>
      <c r="F5803" t="s">
        <v>1737</v>
      </c>
      <c r="K5803" t="str">
        <f>IF(ISBLANK('Q 6'!C31),"",IF('Q 6'!C31="&lt;please select&gt;","",'Q 6'!C31))</f>
        <v xml:space="preserve">8 - Production of ammonia </v>
      </c>
    </row>
    <row r="5804" spans="1:11" x14ac:dyDescent="0.3">
      <c r="A5804" t="s">
        <v>1951</v>
      </c>
      <c r="B5804" t="s">
        <v>1957</v>
      </c>
      <c r="C5804">
        <v>16</v>
      </c>
      <c r="D5804" t="s">
        <v>1447</v>
      </c>
      <c r="E5804" t="s">
        <v>1958</v>
      </c>
      <c r="F5804" t="s">
        <v>1737</v>
      </c>
      <c r="K5804" t="str">
        <f>IF(ISBLANK('Q 6'!C32),"",IF('Q 6'!C32="&lt;please select&gt;","",'Q 6'!C32))</f>
        <v xml:space="preserve">8 - Production of bulk organic chemicals by cracking, reforming, partial or full oxidation or by similar processes </v>
      </c>
    </row>
    <row r="5805" spans="1:11" x14ac:dyDescent="0.3">
      <c r="A5805" t="s">
        <v>1951</v>
      </c>
      <c r="B5805" t="s">
        <v>1957</v>
      </c>
      <c r="C5805">
        <v>17</v>
      </c>
      <c r="D5805" t="s">
        <v>1447</v>
      </c>
      <c r="E5805" t="s">
        <v>1958</v>
      </c>
      <c r="F5805" t="s">
        <v>1737</v>
      </c>
      <c r="K5805" t="str">
        <f>IF(ISBLANK('Q 6'!C33),"",IF('Q 6'!C33="&lt;please select&gt;","",'Q 6'!C33))</f>
        <v xml:space="preserve">9 - Production of nitric acid (CO2 and N2O emissions) </v>
      </c>
    </row>
    <row r="5806" spans="1:11" x14ac:dyDescent="0.3">
      <c r="A5806" t="s">
        <v>1951</v>
      </c>
      <c r="B5806" t="s">
        <v>1957</v>
      </c>
      <c r="C5806">
        <v>18</v>
      </c>
      <c r="D5806" t="s">
        <v>1447</v>
      </c>
      <c r="E5806" t="s">
        <v>1958</v>
      </c>
      <c r="F5806" t="s">
        <v>1737</v>
      </c>
      <c r="K5806" t="str">
        <f>IF(ISBLANK('Q 6'!C34),"",IF('Q 6'!C34="&lt;please select&gt;","",'Q 6'!C34))</f>
        <v>12 - Aviation activities (emissions and tonne-kilometre data)</v>
      </c>
    </row>
    <row r="5807" spans="1:11" x14ac:dyDescent="0.3">
      <c r="A5807" t="s">
        <v>1951</v>
      </c>
      <c r="B5807" t="s">
        <v>1957</v>
      </c>
      <c r="C5807">
        <v>19</v>
      </c>
      <c r="D5807" t="s">
        <v>1447</v>
      </c>
      <c r="E5807" t="s">
        <v>1958</v>
      </c>
      <c r="F5807" t="s">
        <v>1737</v>
      </c>
      <c r="K5807" t="str">
        <f>IF(ISBLANK('Q 6'!C35),"",IF('Q 6'!C35="&lt;please select&gt;","",'Q 6'!C35))</f>
        <v>98 - Other activities pursuant to Article 10a of Directive 2003/87/EC</v>
      </c>
    </row>
    <row r="5808" spans="1:11" x14ac:dyDescent="0.3">
      <c r="A5808" t="s">
        <v>1951</v>
      </c>
      <c r="B5808" t="s">
        <v>1957</v>
      </c>
      <c r="C5808">
        <v>20</v>
      </c>
      <c r="D5808" t="s">
        <v>1447</v>
      </c>
      <c r="E5808" t="s">
        <v>1958</v>
      </c>
      <c r="F5808" t="s">
        <v>1737</v>
      </c>
      <c r="K5808" t="str">
        <f>IF(ISBLANK('Q 6'!C36),"",IF('Q 6'!C36="&lt;please select&gt;","",'Q 6'!C36))</f>
        <v/>
      </c>
    </row>
    <row r="5809" spans="1:11" x14ac:dyDescent="0.3">
      <c r="A5809" t="s">
        <v>1951</v>
      </c>
      <c r="B5809" t="s">
        <v>1957</v>
      </c>
      <c r="C5809">
        <v>21</v>
      </c>
      <c r="D5809" t="s">
        <v>1447</v>
      </c>
      <c r="E5809" t="s">
        <v>1958</v>
      </c>
      <c r="F5809" t="s">
        <v>1737</v>
      </c>
      <c r="K5809" t="str">
        <f>IF(ISBLANK('Q 6'!C37),"",IF('Q 6'!C37="&lt;please select&gt;","",'Q 6'!C37))</f>
        <v/>
      </c>
    </row>
    <row r="5810" spans="1:11" x14ac:dyDescent="0.3">
      <c r="A5810" t="s">
        <v>1951</v>
      </c>
      <c r="B5810" t="s">
        <v>1957</v>
      </c>
      <c r="C5810">
        <v>22</v>
      </c>
      <c r="D5810" t="s">
        <v>1447</v>
      </c>
      <c r="E5810" t="s">
        <v>1958</v>
      </c>
      <c r="F5810" t="s">
        <v>1737</v>
      </c>
      <c r="K5810" t="str">
        <f>IF(ISBLANK('Q 6'!C38),"",IF('Q 6'!C38="&lt;please select&gt;","",'Q 6'!C38))</f>
        <v/>
      </c>
    </row>
    <row r="5811" spans="1:11" x14ac:dyDescent="0.3">
      <c r="A5811" t="s">
        <v>1951</v>
      </c>
      <c r="B5811" t="s">
        <v>1957</v>
      </c>
      <c r="C5811">
        <v>23</v>
      </c>
      <c r="D5811" t="s">
        <v>1447</v>
      </c>
      <c r="E5811" t="s">
        <v>1958</v>
      </c>
      <c r="F5811" t="s">
        <v>1737</v>
      </c>
      <c r="K5811" t="str">
        <f>IF(ISBLANK('Q 6'!C39),"",IF('Q 6'!C39="&lt;please select&gt;","",'Q 6'!C39))</f>
        <v/>
      </c>
    </row>
    <row r="5812" spans="1:11" x14ac:dyDescent="0.3">
      <c r="A5812" t="s">
        <v>1951</v>
      </c>
      <c r="B5812" t="s">
        <v>1957</v>
      </c>
      <c r="C5812">
        <v>24</v>
      </c>
      <c r="D5812" t="s">
        <v>1447</v>
      </c>
      <c r="E5812" t="s">
        <v>1958</v>
      </c>
      <c r="F5812" t="s">
        <v>1737</v>
      </c>
      <c r="K5812" t="str">
        <f>IF(ISBLANK('Q 6'!C40),"",IF('Q 6'!C40="&lt;please select&gt;","",'Q 6'!C40))</f>
        <v/>
      </c>
    </row>
    <row r="5813" spans="1:11" x14ac:dyDescent="0.3">
      <c r="A5813" t="s">
        <v>1951</v>
      </c>
      <c r="B5813" t="s">
        <v>1957</v>
      </c>
      <c r="C5813">
        <v>25</v>
      </c>
      <c r="D5813" t="s">
        <v>1447</v>
      </c>
      <c r="E5813" t="s">
        <v>1958</v>
      </c>
      <c r="F5813" t="s">
        <v>1737</v>
      </c>
      <c r="K5813" t="str">
        <f>IF(ISBLANK('Q 6'!C41),"",IF('Q 6'!C41="&lt;please select&gt;","",'Q 6'!C41))</f>
        <v/>
      </c>
    </row>
    <row r="5814" spans="1:11" x14ac:dyDescent="0.3">
      <c r="A5814" t="s">
        <v>1951</v>
      </c>
      <c r="B5814" t="s">
        <v>1957</v>
      </c>
      <c r="C5814">
        <v>26</v>
      </c>
      <c r="D5814" t="s">
        <v>1447</v>
      </c>
      <c r="E5814" t="s">
        <v>1958</v>
      </c>
      <c r="F5814" t="s">
        <v>1737</v>
      </c>
      <c r="K5814" t="str">
        <f>IF(ISBLANK('Q 6'!C42),"",IF('Q 6'!C42="&lt;please select&gt;","",'Q 6'!C42))</f>
        <v/>
      </c>
    </row>
    <row r="5815" spans="1:11" x14ac:dyDescent="0.3">
      <c r="A5815" t="s">
        <v>1951</v>
      </c>
      <c r="B5815" t="s">
        <v>1957</v>
      </c>
      <c r="C5815">
        <v>27</v>
      </c>
      <c r="D5815" t="s">
        <v>1447</v>
      </c>
      <c r="E5815" t="s">
        <v>1958</v>
      </c>
      <c r="F5815" t="s">
        <v>1737</v>
      </c>
      <c r="K5815" t="str">
        <f>IF(ISBLANK('Q 6'!C43),"",IF('Q 6'!C43="&lt;please select&gt;","",'Q 6'!C43))</f>
        <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3</v>
      </c>
    </row>
    <row r="5824" spans="1:11" x14ac:dyDescent="0.3">
      <c r="A5824" t="s">
        <v>1951</v>
      </c>
      <c r="B5824" t="s">
        <v>1957</v>
      </c>
      <c r="C5824">
        <v>2</v>
      </c>
      <c r="D5824" t="s">
        <v>1447</v>
      </c>
      <c r="E5824" t="s">
        <v>1959</v>
      </c>
      <c r="F5824" t="s">
        <v>1748</v>
      </c>
      <c r="H5824" s="165" t="str">
        <f>IF(ISBLANK('Q 6'!H18),"",IF('Q 6'!H18="&lt;please select&gt;","",'Q 6'!H18))</f>
        <v>3</v>
      </c>
    </row>
    <row r="5825" spans="1:8" x14ac:dyDescent="0.3">
      <c r="A5825" t="s">
        <v>1951</v>
      </c>
      <c r="B5825" t="s">
        <v>1957</v>
      </c>
      <c r="C5825">
        <v>3</v>
      </c>
      <c r="D5825" t="s">
        <v>1447</v>
      </c>
      <c r="E5825" t="s">
        <v>1959</v>
      </c>
      <c r="F5825" t="s">
        <v>1748</v>
      </c>
      <c r="H5825" s="165" t="str">
        <f>IF(ISBLANK('Q 6'!H19),"",IF('Q 6'!H19="&lt;please select&gt;","",'Q 6'!H19))</f>
        <v>1</v>
      </c>
    </row>
    <row r="5826" spans="1:8" x14ac:dyDescent="0.3">
      <c r="A5826" t="s">
        <v>1951</v>
      </c>
      <c r="B5826" t="s">
        <v>1957</v>
      </c>
      <c r="C5826">
        <v>4</v>
      </c>
      <c r="D5826" t="s">
        <v>1447</v>
      </c>
      <c r="E5826" t="s">
        <v>1959</v>
      </c>
      <c r="F5826" t="s">
        <v>1748</v>
      </c>
      <c r="H5826" s="165" t="str">
        <f>IF(ISBLANK('Q 6'!H20),"",IF('Q 6'!H20="&lt;please select&gt;","",'Q 6'!H20))</f>
        <v>1</v>
      </c>
    </row>
    <row r="5827" spans="1:8" x14ac:dyDescent="0.3">
      <c r="A5827" t="s">
        <v>1951</v>
      </c>
      <c r="B5827" t="s">
        <v>1957</v>
      </c>
      <c r="C5827">
        <v>5</v>
      </c>
      <c r="D5827" t="s">
        <v>1447</v>
      </c>
      <c r="E5827" t="s">
        <v>1959</v>
      </c>
      <c r="F5827" t="s">
        <v>1748</v>
      </c>
      <c r="H5827" s="165" t="str">
        <f>IF(ISBLANK('Q 6'!H21),"",IF('Q 6'!H21="&lt;please select&gt;","",'Q 6'!H21))</f>
        <v>2</v>
      </c>
    </row>
    <row r="5828" spans="1:8" x14ac:dyDescent="0.3">
      <c r="A5828" t="s">
        <v>1951</v>
      </c>
      <c r="B5828" t="s">
        <v>1957</v>
      </c>
      <c r="C5828">
        <v>6</v>
      </c>
      <c r="D5828" t="s">
        <v>1447</v>
      </c>
      <c r="E5828" t="s">
        <v>1959</v>
      </c>
      <c r="F5828" t="s">
        <v>1748</v>
      </c>
      <c r="H5828" s="165" t="str">
        <f>IF(ISBLANK('Q 6'!H22),"",IF('Q 6'!H22="&lt;please select&gt;","",'Q 6'!H22))</f>
        <v>2</v>
      </c>
    </row>
    <row r="5829" spans="1:8" x14ac:dyDescent="0.3">
      <c r="A5829" t="s">
        <v>1951</v>
      </c>
      <c r="B5829" t="s">
        <v>1957</v>
      </c>
      <c r="C5829">
        <v>7</v>
      </c>
      <c r="D5829" t="s">
        <v>1447</v>
      </c>
      <c r="E5829" t="s">
        <v>1959</v>
      </c>
      <c r="F5829" t="s">
        <v>1748</v>
      </c>
      <c r="H5829" s="165" t="str">
        <f>IF(ISBLANK('Q 6'!H23),"",IF('Q 6'!H23="&lt;please select&gt;","",'Q 6'!H23))</f>
        <v>3</v>
      </c>
    </row>
    <row r="5830" spans="1:8" x14ac:dyDescent="0.3">
      <c r="A5830" t="s">
        <v>1951</v>
      </c>
      <c r="B5830" t="s">
        <v>1957</v>
      </c>
      <c r="C5830">
        <v>8</v>
      </c>
      <c r="D5830" t="s">
        <v>1447</v>
      </c>
      <c r="E5830" t="s">
        <v>1959</v>
      </c>
      <c r="F5830" t="s">
        <v>1748</v>
      </c>
      <c r="H5830" s="165" t="str">
        <f>IF(ISBLANK('Q 6'!H24),"",IF('Q 6'!H24="&lt;please select&gt;","",'Q 6'!H24))</f>
        <v>3</v>
      </c>
    </row>
    <row r="5831" spans="1:8" x14ac:dyDescent="0.3">
      <c r="A5831" t="s">
        <v>1951</v>
      </c>
      <c r="B5831" t="s">
        <v>1957</v>
      </c>
      <c r="C5831">
        <v>9</v>
      </c>
      <c r="D5831" t="s">
        <v>1447</v>
      </c>
      <c r="E5831" t="s">
        <v>1959</v>
      </c>
      <c r="F5831" t="s">
        <v>1748</v>
      </c>
      <c r="H5831" s="165" t="str">
        <f>IF(ISBLANK('Q 6'!H25),"",IF('Q 6'!H25="&lt;please select&gt;","",'Q 6'!H25))</f>
        <v>3</v>
      </c>
    </row>
    <row r="5832" spans="1:8" x14ac:dyDescent="0.3">
      <c r="A5832" t="s">
        <v>1951</v>
      </c>
      <c r="B5832" t="s">
        <v>1957</v>
      </c>
      <c r="C5832">
        <v>10</v>
      </c>
      <c r="D5832" t="s">
        <v>1447</v>
      </c>
      <c r="E5832" t="s">
        <v>1959</v>
      </c>
      <c r="F5832" t="s">
        <v>1748</v>
      </c>
      <c r="H5832" s="165" t="str">
        <f>IF(ISBLANK('Q 6'!H26),"",IF('Q 6'!H26="&lt;please select&gt;","",'Q 6'!H26))</f>
        <v>3</v>
      </c>
    </row>
    <row r="5833" spans="1:8" x14ac:dyDescent="0.3">
      <c r="A5833" t="s">
        <v>1951</v>
      </c>
      <c r="B5833" t="s">
        <v>1957</v>
      </c>
      <c r="C5833">
        <v>11</v>
      </c>
      <c r="D5833" t="s">
        <v>1447</v>
      </c>
      <c r="E5833" t="s">
        <v>1959</v>
      </c>
      <c r="F5833" t="s">
        <v>1748</v>
      </c>
      <c r="H5833" s="165" t="str">
        <f>IF(ISBLANK('Q 6'!H27),"",IF('Q 6'!H27="&lt;please select&gt;","",'Q 6'!H27))</f>
        <v>3</v>
      </c>
    </row>
    <row r="5834" spans="1:8" x14ac:dyDescent="0.3">
      <c r="A5834" t="s">
        <v>1951</v>
      </c>
      <c r="B5834" t="s">
        <v>1957</v>
      </c>
      <c r="C5834">
        <v>12</v>
      </c>
      <c r="D5834" t="s">
        <v>1447</v>
      </c>
      <c r="E5834" t="s">
        <v>1959</v>
      </c>
      <c r="F5834" t="s">
        <v>1748</v>
      </c>
      <c r="H5834" s="165" t="str">
        <f>IF(ISBLANK('Q 6'!H28),"",IF('Q 6'!H28="&lt;please select&gt;","",'Q 6'!H28))</f>
        <v>3</v>
      </c>
    </row>
    <row r="5835" spans="1:8" x14ac:dyDescent="0.3">
      <c r="A5835" t="s">
        <v>1951</v>
      </c>
      <c r="B5835" t="s">
        <v>1957</v>
      </c>
      <c r="C5835">
        <v>13</v>
      </c>
      <c r="D5835" t="s">
        <v>1447</v>
      </c>
      <c r="E5835" t="s">
        <v>1959</v>
      </c>
      <c r="F5835" t="s">
        <v>1748</v>
      </c>
      <c r="H5835" s="165" t="str">
        <f>IF(ISBLANK('Q 6'!H29),"",IF('Q 6'!H29="&lt;please select&gt;","",'Q 6'!H29))</f>
        <v>2</v>
      </c>
    </row>
    <row r="5836" spans="1:8" x14ac:dyDescent="0.3">
      <c r="A5836" t="s">
        <v>1951</v>
      </c>
      <c r="B5836" t="s">
        <v>1957</v>
      </c>
      <c r="C5836">
        <v>14</v>
      </c>
      <c r="D5836" t="s">
        <v>1447</v>
      </c>
      <c r="E5836" t="s">
        <v>1959</v>
      </c>
      <c r="F5836" t="s">
        <v>1748</v>
      </c>
      <c r="H5836" s="165" t="str">
        <f>IF(ISBLANK('Q 6'!H30),"",IF('Q 6'!H30="&lt;please select&gt;","",'Q 6'!H30))</f>
        <v>2</v>
      </c>
    </row>
    <row r="5837" spans="1:8" x14ac:dyDescent="0.3">
      <c r="A5837" t="s">
        <v>1951</v>
      </c>
      <c r="B5837" t="s">
        <v>1957</v>
      </c>
      <c r="C5837">
        <v>15</v>
      </c>
      <c r="D5837" t="s">
        <v>1447</v>
      </c>
      <c r="E5837" t="s">
        <v>1959</v>
      </c>
      <c r="F5837" t="s">
        <v>1748</v>
      </c>
      <c r="H5837" s="165" t="str">
        <f>IF(ISBLANK('Q 6'!H31),"",IF('Q 6'!H31="&lt;please select&gt;","",'Q 6'!H31))</f>
        <v>1</v>
      </c>
    </row>
    <row r="5838" spans="1:8" x14ac:dyDescent="0.3">
      <c r="A5838" t="s">
        <v>1951</v>
      </c>
      <c r="B5838" t="s">
        <v>1957</v>
      </c>
      <c r="C5838">
        <v>16</v>
      </c>
      <c r="D5838" t="s">
        <v>1447</v>
      </c>
      <c r="E5838" t="s">
        <v>1959</v>
      </c>
      <c r="F5838" t="s">
        <v>1748</v>
      </c>
      <c r="H5838" s="165" t="str">
        <f>IF(ISBLANK('Q 6'!H32),"",IF('Q 6'!H32="&lt;please select&gt;","",'Q 6'!H32))</f>
        <v>1</v>
      </c>
    </row>
    <row r="5839" spans="1:8" x14ac:dyDescent="0.3">
      <c r="A5839" t="s">
        <v>1951</v>
      </c>
      <c r="B5839" t="s">
        <v>1957</v>
      </c>
      <c r="C5839">
        <v>17</v>
      </c>
      <c r="D5839" t="s">
        <v>1447</v>
      </c>
      <c r="E5839" t="s">
        <v>1959</v>
      </c>
      <c r="F5839" t="s">
        <v>1748</v>
      </c>
      <c r="H5839" s="165" t="str">
        <f>IF(ISBLANK('Q 6'!H33),"",IF('Q 6'!H33="&lt;please select&gt;","",'Q 6'!H33))</f>
        <v>1</v>
      </c>
    </row>
    <row r="5840" spans="1:8" x14ac:dyDescent="0.3">
      <c r="A5840" t="s">
        <v>1951</v>
      </c>
      <c r="B5840" t="s">
        <v>1957</v>
      </c>
      <c r="C5840">
        <v>18</v>
      </c>
      <c r="D5840" t="s">
        <v>1447</v>
      </c>
      <c r="E5840" t="s">
        <v>1959</v>
      </c>
      <c r="F5840" t="s">
        <v>1748</v>
      </c>
      <c r="H5840" s="165" t="str">
        <f>IF(ISBLANK('Q 6'!H34),"",IF('Q 6'!H34="&lt;please select&gt;","",'Q 6'!H34))</f>
        <v>1</v>
      </c>
    </row>
    <row r="5841" spans="1:8" x14ac:dyDescent="0.3">
      <c r="A5841" t="s">
        <v>1951</v>
      </c>
      <c r="B5841" t="s">
        <v>1957</v>
      </c>
      <c r="C5841">
        <v>19</v>
      </c>
      <c r="D5841" t="s">
        <v>1447</v>
      </c>
      <c r="E5841" t="s">
        <v>1959</v>
      </c>
      <c r="F5841" t="s">
        <v>1748</v>
      </c>
      <c r="H5841" s="165" t="str">
        <f>IF(ISBLANK('Q 6'!H35),"",IF('Q 6'!H35="&lt;please select&gt;","",'Q 6'!H35))</f>
        <v>3</v>
      </c>
    </row>
    <row r="5842" spans="1:8" x14ac:dyDescent="0.3">
      <c r="A5842" t="s">
        <v>1951</v>
      </c>
      <c r="B5842" t="s">
        <v>1957</v>
      </c>
      <c r="C5842">
        <v>20</v>
      </c>
      <c r="D5842" t="s">
        <v>1447</v>
      </c>
      <c r="E5842" t="s">
        <v>1959</v>
      </c>
      <c r="F5842" t="s">
        <v>1748</v>
      </c>
      <c r="H5842" s="165" t="str">
        <f>IF(ISBLANK('Q 6'!H36),"",IF('Q 6'!H36="&lt;please select&gt;","",'Q 6'!H36))</f>
        <v/>
      </c>
    </row>
    <row r="5843" spans="1:8" x14ac:dyDescent="0.3">
      <c r="A5843" t="s">
        <v>1951</v>
      </c>
      <c r="B5843" t="s">
        <v>1957</v>
      </c>
      <c r="C5843">
        <v>21</v>
      </c>
      <c r="D5843" t="s">
        <v>1447</v>
      </c>
      <c r="E5843" t="s">
        <v>1959</v>
      </c>
      <c r="F5843" t="s">
        <v>1748</v>
      </c>
      <c r="H5843" s="165" t="str">
        <f>IF(ISBLANK('Q 6'!H37),"",IF('Q 6'!H37="&lt;please select&gt;","",'Q 6'!H37))</f>
        <v/>
      </c>
    </row>
    <row r="5844" spans="1:8" x14ac:dyDescent="0.3">
      <c r="A5844" t="s">
        <v>1951</v>
      </c>
      <c r="B5844" t="s">
        <v>1957</v>
      </c>
      <c r="C5844">
        <v>22</v>
      </c>
      <c r="D5844" t="s">
        <v>1447</v>
      </c>
      <c r="E5844" t="s">
        <v>1959</v>
      </c>
      <c r="F5844" t="s">
        <v>1748</v>
      </c>
      <c r="H5844" s="165" t="str">
        <f>IF(ISBLANK('Q 6'!H38),"",IF('Q 6'!H38="&lt;please select&gt;","",'Q 6'!H38))</f>
        <v/>
      </c>
    </row>
    <row r="5845" spans="1:8" x14ac:dyDescent="0.3">
      <c r="A5845" t="s">
        <v>1951</v>
      </c>
      <c r="B5845" t="s">
        <v>1957</v>
      </c>
      <c r="C5845">
        <v>23</v>
      </c>
      <c r="D5845" t="s">
        <v>1447</v>
      </c>
      <c r="E5845" t="s">
        <v>1959</v>
      </c>
      <c r="F5845" t="s">
        <v>1748</v>
      </c>
      <c r="H5845" s="165" t="str">
        <f>IF(ISBLANK('Q 6'!H39),"",IF('Q 6'!H39="&lt;please select&gt;","",'Q 6'!H39))</f>
        <v/>
      </c>
    </row>
    <row r="5846" spans="1:8" x14ac:dyDescent="0.3">
      <c r="A5846" t="s">
        <v>1951</v>
      </c>
      <c r="B5846" t="s">
        <v>1957</v>
      </c>
      <c r="C5846">
        <v>24</v>
      </c>
      <c r="D5846" t="s">
        <v>1447</v>
      </c>
      <c r="E5846" t="s">
        <v>1959</v>
      </c>
      <c r="F5846" t="s">
        <v>1748</v>
      </c>
      <c r="H5846" s="165" t="str">
        <f>IF(ISBLANK('Q 6'!H40),"",IF('Q 6'!H40="&lt;please select&gt;","",'Q 6'!H40))</f>
        <v/>
      </c>
    </row>
    <row r="5847" spans="1:8" x14ac:dyDescent="0.3">
      <c r="A5847" t="s">
        <v>1951</v>
      </c>
      <c r="B5847" t="s">
        <v>1957</v>
      </c>
      <c r="C5847">
        <v>25</v>
      </c>
      <c r="D5847" t="s">
        <v>1447</v>
      </c>
      <c r="E5847" t="s">
        <v>1959</v>
      </c>
      <c r="F5847" t="s">
        <v>1748</v>
      </c>
      <c r="H5847" s="165" t="str">
        <f>IF(ISBLANK('Q 6'!H41),"",IF('Q 6'!H41="&lt;please select&gt;","",'Q 6'!H41))</f>
        <v/>
      </c>
    </row>
    <row r="5848" spans="1:8" x14ac:dyDescent="0.3">
      <c r="A5848" t="s">
        <v>1951</v>
      </c>
      <c r="B5848" t="s">
        <v>1957</v>
      </c>
      <c r="C5848">
        <v>26</v>
      </c>
      <c r="D5848" t="s">
        <v>1447</v>
      </c>
      <c r="E5848" t="s">
        <v>1959</v>
      </c>
      <c r="F5848" t="s">
        <v>1748</v>
      </c>
      <c r="H5848" s="165" t="str">
        <f>IF(ISBLANK('Q 6'!H42),"",IF('Q 6'!H42="&lt;please select&gt;","",'Q 6'!H42))</f>
        <v/>
      </c>
    </row>
    <row r="5849" spans="1:8" x14ac:dyDescent="0.3">
      <c r="A5849" t="s">
        <v>1951</v>
      </c>
      <c r="B5849" t="s">
        <v>1957</v>
      </c>
      <c r="C5849">
        <v>27</v>
      </c>
      <c r="D5849" t="s">
        <v>1447</v>
      </c>
      <c r="E5849" t="s">
        <v>1959</v>
      </c>
      <c r="F5849" t="s">
        <v>1748</v>
      </c>
      <c r="H5849" s="165" t="str">
        <f>IF(ISBLANK('Q 6'!H43),"",IF('Q 6'!H43="&lt;please select&gt;","",'Q 6'!H43))</f>
        <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
      </c>
    </row>
    <row r="5858" spans="1:8" x14ac:dyDescent="0.3">
      <c r="A5858" t="s">
        <v>1951</v>
      </c>
      <c r="B5858" t="s">
        <v>1957</v>
      </c>
      <c r="C5858">
        <v>2</v>
      </c>
      <c r="D5858" t="s">
        <v>1447</v>
      </c>
      <c r="E5858" t="s">
        <v>1960</v>
      </c>
      <c r="F5858" t="s">
        <v>1748</v>
      </c>
      <c r="H5858" s="165" t="str">
        <f>IF(ISBLANK('Q 6'!I18),"",IF('Q 6'!I18="&lt;please select&gt;","",'Q 6'!I18))</f>
        <v/>
      </c>
    </row>
    <row r="5859" spans="1:8" x14ac:dyDescent="0.3">
      <c r="A5859" t="s">
        <v>1951</v>
      </c>
      <c r="B5859" t="s">
        <v>1957</v>
      </c>
      <c r="C5859">
        <v>3</v>
      </c>
      <c r="D5859" t="s">
        <v>1447</v>
      </c>
      <c r="E5859" t="s">
        <v>1960</v>
      </c>
      <c r="F5859" t="s">
        <v>1748</v>
      </c>
      <c r="H5859" s="165" t="str">
        <f>IF(ISBLANK('Q 6'!I19),"",IF('Q 6'!I19="&lt;please select&gt;","",'Q 6'!I19))</f>
        <v/>
      </c>
    </row>
    <row r="5860" spans="1:8" x14ac:dyDescent="0.3">
      <c r="A5860" t="s">
        <v>1951</v>
      </c>
      <c r="B5860" t="s">
        <v>1957</v>
      </c>
      <c r="C5860">
        <v>4</v>
      </c>
      <c r="D5860" t="s">
        <v>1447</v>
      </c>
      <c r="E5860" t="s">
        <v>1960</v>
      </c>
      <c r="F5860" t="s">
        <v>1748</v>
      </c>
      <c r="H5860" s="165" t="str">
        <f>IF(ISBLANK('Q 6'!I20),"",IF('Q 6'!I20="&lt;please select&gt;","",'Q 6'!I20))</f>
        <v/>
      </c>
    </row>
    <row r="5861" spans="1:8" x14ac:dyDescent="0.3">
      <c r="A5861" t="s">
        <v>1951</v>
      </c>
      <c r="B5861" t="s">
        <v>1957</v>
      </c>
      <c r="C5861">
        <v>5</v>
      </c>
      <c r="D5861" t="s">
        <v>1447</v>
      </c>
      <c r="E5861" t="s">
        <v>1960</v>
      </c>
      <c r="F5861" t="s">
        <v>1748</v>
      </c>
      <c r="H5861" s="165" t="str">
        <f>IF(ISBLANK('Q 6'!I21),"",IF('Q 6'!I21="&lt;please select&gt;","",'Q 6'!I21))</f>
        <v/>
      </c>
    </row>
    <row r="5862" spans="1:8" x14ac:dyDescent="0.3">
      <c r="A5862" t="s">
        <v>1951</v>
      </c>
      <c r="B5862" t="s">
        <v>1957</v>
      </c>
      <c r="C5862">
        <v>6</v>
      </c>
      <c r="D5862" t="s">
        <v>1447</v>
      </c>
      <c r="E5862" t="s">
        <v>1960</v>
      </c>
      <c r="F5862" t="s">
        <v>1748</v>
      </c>
      <c r="H5862" s="165" t="str">
        <f>IF(ISBLANK('Q 6'!I22),"",IF('Q 6'!I22="&lt;please select&gt;","",'Q 6'!I22))</f>
        <v/>
      </c>
    </row>
    <row r="5863" spans="1:8" x14ac:dyDescent="0.3">
      <c r="A5863" t="s">
        <v>1951</v>
      </c>
      <c r="B5863" t="s">
        <v>1957</v>
      </c>
      <c r="C5863">
        <v>7</v>
      </c>
      <c r="D5863" t="s">
        <v>1447</v>
      </c>
      <c r="E5863" t="s">
        <v>1960</v>
      </c>
      <c r="F5863" t="s">
        <v>1748</v>
      </c>
      <c r="H5863" s="165" t="str">
        <f>IF(ISBLANK('Q 6'!I23),"",IF('Q 6'!I23="&lt;please select&gt;","",'Q 6'!I23))</f>
        <v/>
      </c>
    </row>
    <row r="5864" spans="1:8" x14ac:dyDescent="0.3">
      <c r="A5864" t="s">
        <v>1951</v>
      </c>
      <c r="B5864" t="s">
        <v>1957</v>
      </c>
      <c r="C5864">
        <v>8</v>
      </c>
      <c r="D5864" t="s">
        <v>1447</v>
      </c>
      <c r="E5864" t="s">
        <v>1960</v>
      </c>
      <c r="F5864" t="s">
        <v>1748</v>
      </c>
      <c r="H5864" s="165" t="str">
        <f>IF(ISBLANK('Q 6'!I24),"",IF('Q 6'!I24="&lt;please select&gt;","",'Q 6'!I24))</f>
        <v/>
      </c>
    </row>
    <row r="5865" spans="1:8" x14ac:dyDescent="0.3">
      <c r="A5865" t="s">
        <v>1951</v>
      </c>
      <c r="B5865" t="s">
        <v>1957</v>
      </c>
      <c r="C5865">
        <v>9</v>
      </c>
      <c r="D5865" t="s">
        <v>1447</v>
      </c>
      <c r="E5865" t="s">
        <v>1960</v>
      </c>
      <c r="F5865" t="s">
        <v>1748</v>
      </c>
      <c r="H5865" s="165" t="str">
        <f>IF(ISBLANK('Q 6'!I25),"",IF('Q 6'!I25="&lt;please select&gt;","",'Q 6'!I25))</f>
        <v/>
      </c>
    </row>
    <row r="5866" spans="1:8" x14ac:dyDescent="0.3">
      <c r="A5866" t="s">
        <v>1951</v>
      </c>
      <c r="B5866" t="s">
        <v>1957</v>
      </c>
      <c r="C5866">
        <v>10</v>
      </c>
      <c r="D5866" t="s">
        <v>1447</v>
      </c>
      <c r="E5866" t="s">
        <v>1960</v>
      </c>
      <c r="F5866" t="s">
        <v>1748</v>
      </c>
      <c r="H5866" s="165" t="str">
        <f>IF(ISBLANK('Q 6'!I26),"",IF('Q 6'!I26="&lt;please select&gt;","",'Q 6'!I26))</f>
        <v/>
      </c>
    </row>
    <row r="5867" spans="1:8" x14ac:dyDescent="0.3">
      <c r="A5867" t="s">
        <v>1951</v>
      </c>
      <c r="B5867" t="s">
        <v>1957</v>
      </c>
      <c r="C5867">
        <v>11</v>
      </c>
      <c r="D5867" t="s">
        <v>1447</v>
      </c>
      <c r="E5867" t="s">
        <v>1960</v>
      </c>
      <c r="F5867" t="s">
        <v>1748</v>
      </c>
      <c r="H5867" s="165" t="str">
        <f>IF(ISBLANK('Q 6'!I27),"",IF('Q 6'!I27="&lt;please select&gt;","",'Q 6'!I27))</f>
        <v/>
      </c>
    </row>
    <row r="5868" spans="1:8" x14ac:dyDescent="0.3">
      <c r="A5868" t="s">
        <v>1951</v>
      </c>
      <c r="B5868" t="s">
        <v>1957</v>
      </c>
      <c r="C5868">
        <v>12</v>
      </c>
      <c r="D5868" t="s">
        <v>1447</v>
      </c>
      <c r="E5868" t="s">
        <v>1960</v>
      </c>
      <c r="F5868" t="s">
        <v>1748</v>
      </c>
      <c r="H5868" s="165" t="str">
        <f>IF(ISBLANK('Q 6'!I28),"",IF('Q 6'!I28="&lt;please select&gt;","",'Q 6'!I28))</f>
        <v/>
      </c>
    </row>
    <row r="5869" spans="1:8" x14ac:dyDescent="0.3">
      <c r="A5869" t="s">
        <v>1951</v>
      </c>
      <c r="B5869" t="s">
        <v>1957</v>
      </c>
      <c r="C5869">
        <v>13</v>
      </c>
      <c r="D5869" t="s">
        <v>1447</v>
      </c>
      <c r="E5869" t="s">
        <v>1960</v>
      </c>
      <c r="F5869" t="s">
        <v>1748</v>
      </c>
      <c r="H5869" s="165" t="str">
        <f>IF(ISBLANK('Q 6'!I29),"",IF('Q 6'!I29="&lt;please select&gt;","",'Q 6'!I29))</f>
        <v/>
      </c>
    </row>
    <row r="5870" spans="1:8" x14ac:dyDescent="0.3">
      <c r="A5870" t="s">
        <v>1951</v>
      </c>
      <c r="B5870" t="s">
        <v>1957</v>
      </c>
      <c r="C5870">
        <v>14</v>
      </c>
      <c r="D5870" t="s">
        <v>1447</v>
      </c>
      <c r="E5870" t="s">
        <v>1960</v>
      </c>
      <c r="F5870" t="s">
        <v>1748</v>
      </c>
      <c r="H5870" s="165" t="str">
        <f>IF(ISBLANK('Q 6'!I30),"",IF('Q 6'!I30="&lt;please select&gt;","",'Q 6'!I30))</f>
        <v/>
      </c>
    </row>
    <row r="5871" spans="1:8" x14ac:dyDescent="0.3">
      <c r="A5871" t="s">
        <v>1951</v>
      </c>
      <c r="B5871" t="s">
        <v>1957</v>
      </c>
      <c r="C5871">
        <v>15</v>
      </c>
      <c r="D5871" t="s">
        <v>1447</v>
      </c>
      <c r="E5871" t="s">
        <v>1960</v>
      </c>
      <c r="F5871" t="s">
        <v>1748</v>
      </c>
      <c r="H5871" s="165" t="str">
        <f>IF(ISBLANK('Q 6'!I31),"",IF('Q 6'!I31="&lt;please select&gt;","",'Q 6'!I31))</f>
        <v/>
      </c>
    </row>
    <row r="5872" spans="1:8" x14ac:dyDescent="0.3">
      <c r="A5872" t="s">
        <v>1951</v>
      </c>
      <c r="B5872" t="s">
        <v>1957</v>
      </c>
      <c r="C5872">
        <v>16</v>
      </c>
      <c r="D5872" t="s">
        <v>1447</v>
      </c>
      <c r="E5872" t="s">
        <v>1960</v>
      </c>
      <c r="F5872" t="s">
        <v>1748</v>
      </c>
      <c r="H5872" s="165" t="str">
        <f>IF(ISBLANK('Q 6'!I32),"",IF('Q 6'!I32="&lt;please select&gt;","",'Q 6'!I32))</f>
        <v/>
      </c>
    </row>
    <row r="5873" spans="1:8" x14ac:dyDescent="0.3">
      <c r="A5873" t="s">
        <v>1951</v>
      </c>
      <c r="B5873" t="s">
        <v>1957</v>
      </c>
      <c r="C5873">
        <v>17</v>
      </c>
      <c r="D5873" t="s">
        <v>1447</v>
      </c>
      <c r="E5873" t="s">
        <v>1960</v>
      </c>
      <c r="F5873" t="s">
        <v>1748</v>
      </c>
      <c r="H5873" s="165" t="str">
        <f>IF(ISBLANK('Q 6'!I33),"",IF('Q 6'!I33="&lt;please select&gt;","",'Q 6'!I33))</f>
        <v/>
      </c>
    </row>
    <row r="5874" spans="1:8" x14ac:dyDescent="0.3">
      <c r="A5874" t="s">
        <v>1951</v>
      </c>
      <c r="B5874" t="s">
        <v>1957</v>
      </c>
      <c r="C5874">
        <v>18</v>
      </c>
      <c r="D5874" t="s">
        <v>1447</v>
      </c>
      <c r="E5874" t="s">
        <v>1960</v>
      </c>
      <c r="F5874" t="s">
        <v>1748</v>
      </c>
      <c r="H5874" s="165" t="str">
        <f>IF(ISBLANK('Q 6'!I34),"",IF('Q 6'!I34="&lt;please select&gt;","",'Q 6'!I34))</f>
        <v/>
      </c>
    </row>
    <row r="5875" spans="1:8" x14ac:dyDescent="0.3">
      <c r="A5875" t="s">
        <v>1951</v>
      </c>
      <c r="B5875" t="s">
        <v>1957</v>
      </c>
      <c r="C5875">
        <v>19</v>
      </c>
      <c r="D5875" t="s">
        <v>1447</v>
      </c>
      <c r="E5875" t="s">
        <v>1960</v>
      </c>
      <c r="F5875" t="s">
        <v>1748</v>
      </c>
      <c r="H5875" s="165" t="str">
        <f>IF(ISBLANK('Q 6'!I35),"",IF('Q 6'!I35="&lt;please select&gt;","",'Q 6'!I35))</f>
        <v/>
      </c>
    </row>
    <row r="5876" spans="1:8" x14ac:dyDescent="0.3">
      <c r="A5876" t="s">
        <v>1951</v>
      </c>
      <c r="B5876" t="s">
        <v>1957</v>
      </c>
      <c r="C5876">
        <v>20</v>
      </c>
      <c r="D5876" t="s">
        <v>1447</v>
      </c>
      <c r="E5876" t="s">
        <v>1960</v>
      </c>
      <c r="F5876" t="s">
        <v>1748</v>
      </c>
      <c r="H5876" s="165" t="str">
        <f>IF(ISBLANK('Q 6'!I36),"",IF('Q 6'!I36="&lt;please select&gt;","",'Q 6'!I36))</f>
        <v/>
      </c>
    </row>
    <row r="5877" spans="1:8" x14ac:dyDescent="0.3">
      <c r="A5877" t="s">
        <v>1951</v>
      </c>
      <c r="B5877" t="s">
        <v>1957</v>
      </c>
      <c r="C5877">
        <v>21</v>
      </c>
      <c r="D5877" t="s">
        <v>1447</v>
      </c>
      <c r="E5877" t="s">
        <v>1960</v>
      </c>
      <c r="F5877" t="s">
        <v>1748</v>
      </c>
      <c r="H5877" s="165" t="str">
        <f>IF(ISBLANK('Q 6'!I37),"",IF('Q 6'!I37="&lt;please select&gt;","",'Q 6'!I37))</f>
        <v/>
      </c>
    </row>
    <row r="5878" spans="1:8" x14ac:dyDescent="0.3">
      <c r="A5878" t="s">
        <v>1951</v>
      </c>
      <c r="B5878" t="s">
        <v>1957</v>
      </c>
      <c r="C5878">
        <v>22</v>
      </c>
      <c r="D5878" t="s">
        <v>1447</v>
      </c>
      <c r="E5878" t="s">
        <v>1960</v>
      </c>
      <c r="F5878" t="s">
        <v>1748</v>
      </c>
      <c r="H5878" s="165" t="str">
        <f>IF(ISBLANK('Q 6'!I38),"",IF('Q 6'!I38="&lt;please select&gt;","",'Q 6'!I38))</f>
        <v/>
      </c>
    </row>
    <row r="5879" spans="1:8" x14ac:dyDescent="0.3">
      <c r="A5879" t="s">
        <v>1951</v>
      </c>
      <c r="B5879" t="s">
        <v>1957</v>
      </c>
      <c r="C5879">
        <v>23</v>
      </c>
      <c r="D5879" t="s">
        <v>1447</v>
      </c>
      <c r="E5879" t="s">
        <v>1960</v>
      </c>
      <c r="F5879" t="s">
        <v>1748</v>
      </c>
      <c r="H5879" s="165" t="str">
        <f>IF(ISBLANK('Q 6'!I39),"",IF('Q 6'!I39="&lt;please select&gt;","",'Q 6'!I39))</f>
        <v/>
      </c>
    </row>
    <row r="5880" spans="1:8" x14ac:dyDescent="0.3">
      <c r="A5880" t="s">
        <v>1951</v>
      </c>
      <c r="B5880" t="s">
        <v>1957</v>
      </c>
      <c r="C5880">
        <v>24</v>
      </c>
      <c r="D5880" t="s">
        <v>1447</v>
      </c>
      <c r="E5880" t="s">
        <v>1960</v>
      </c>
      <c r="F5880" t="s">
        <v>1748</v>
      </c>
      <c r="H5880" s="165" t="str">
        <f>IF(ISBLANK('Q 6'!I40),"",IF('Q 6'!I40="&lt;please select&gt;","",'Q 6'!I40))</f>
        <v/>
      </c>
    </row>
    <row r="5881" spans="1:8" x14ac:dyDescent="0.3">
      <c r="A5881" t="s">
        <v>1951</v>
      </c>
      <c r="B5881" t="s">
        <v>1957</v>
      </c>
      <c r="C5881">
        <v>25</v>
      </c>
      <c r="D5881" t="s">
        <v>1447</v>
      </c>
      <c r="E5881" t="s">
        <v>1960</v>
      </c>
      <c r="F5881" t="s">
        <v>1748</v>
      </c>
      <c r="H5881" s="165" t="str">
        <f>IF(ISBLANK('Q 6'!I41),"",IF('Q 6'!I41="&lt;please select&gt;","",'Q 6'!I41))</f>
        <v/>
      </c>
    </row>
    <row r="5882" spans="1:8" x14ac:dyDescent="0.3">
      <c r="A5882" t="s">
        <v>1951</v>
      </c>
      <c r="B5882" t="s">
        <v>1957</v>
      </c>
      <c r="C5882">
        <v>26</v>
      </c>
      <c r="D5882" t="s">
        <v>1447</v>
      </c>
      <c r="E5882" t="s">
        <v>1960</v>
      </c>
      <c r="F5882" t="s">
        <v>1748</v>
      </c>
      <c r="H5882" s="165" t="str">
        <f>IF(ISBLANK('Q 6'!I42),"",IF('Q 6'!I42="&lt;please select&gt;","",'Q 6'!I42))</f>
        <v/>
      </c>
    </row>
    <row r="5883" spans="1:8" x14ac:dyDescent="0.3">
      <c r="A5883" t="s">
        <v>1951</v>
      </c>
      <c r="B5883" t="s">
        <v>1957</v>
      </c>
      <c r="C5883">
        <v>27</v>
      </c>
      <c r="D5883" t="s">
        <v>1447</v>
      </c>
      <c r="E5883" t="s">
        <v>1960</v>
      </c>
      <c r="F5883" t="s">
        <v>1748</v>
      </c>
      <c r="H5883" s="165" t="str">
        <f>IF(ISBLANK('Q 6'!I43),"",IF('Q 6'!I43="&lt;please select&gt;","",'Q 6'!I43))</f>
        <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Yes</v>
      </c>
    </row>
    <row r="5892" spans="1:11" x14ac:dyDescent="0.3">
      <c r="A5892" t="s">
        <v>1961</v>
      </c>
      <c r="B5892" t="s">
        <v>1962</v>
      </c>
      <c r="C5892">
        <v>1</v>
      </c>
      <c r="D5892" t="s">
        <v>1447</v>
      </c>
      <c r="E5892" t="s">
        <v>1964</v>
      </c>
      <c r="F5892" t="s">
        <v>1759</v>
      </c>
      <c r="K5892" t="str">
        <f>IF(ISBLANK('Q 6'!$I$56),"",IF('Q 6'!$I$56="&lt;please select&gt;","",'Q 6'!$I$56))</f>
        <v>Partially</v>
      </c>
    </row>
    <row r="5893" spans="1:11" x14ac:dyDescent="0.3">
      <c r="A5893" t="s">
        <v>1961</v>
      </c>
      <c r="B5893" t="s">
        <v>1962</v>
      </c>
      <c r="C5893">
        <v>2</v>
      </c>
      <c r="D5893" t="s">
        <v>1447</v>
      </c>
      <c r="E5893" t="s">
        <v>1963</v>
      </c>
      <c r="F5893" t="s">
        <v>1759</v>
      </c>
      <c r="K5893" t="str">
        <f>IF(ISBLANK('Q 6'!$G$58),"",IF('Q 6'!$G$58="&lt;please select&gt;","",'Q 6'!$G$58))</f>
        <v>Yes</v>
      </c>
    </row>
    <row r="5894" spans="1:11" x14ac:dyDescent="0.3">
      <c r="A5894" t="s">
        <v>1961</v>
      </c>
      <c r="B5894" t="s">
        <v>1962</v>
      </c>
      <c r="C5894">
        <v>2</v>
      </c>
      <c r="D5894" t="s">
        <v>1447</v>
      </c>
      <c r="E5894" t="s">
        <v>1964</v>
      </c>
      <c r="F5894" t="s">
        <v>1759</v>
      </c>
      <c r="K5894" t="str">
        <f>IF(ISBLANK('Q 6'!$I$58),"",IF('Q 6'!$I$58="&lt;please select&gt;","",'Q 6'!$I$58))</f>
        <v>Partially</v>
      </c>
    </row>
    <row r="5895" spans="1:11" x14ac:dyDescent="0.3">
      <c r="A5895" t="s">
        <v>1961</v>
      </c>
      <c r="B5895" t="s">
        <v>1962</v>
      </c>
      <c r="C5895">
        <v>3</v>
      </c>
      <c r="D5895" t="s">
        <v>1447</v>
      </c>
      <c r="E5895" t="s">
        <v>1963</v>
      </c>
      <c r="F5895" t="s">
        <v>1759</v>
      </c>
      <c r="K5895" t="str">
        <f>IF(ISBLANK('Q 6'!$G$60),"",IF('Q 6'!$G$60="&lt;please select&gt;","",'Q 6'!$G$60))</f>
        <v>Partially</v>
      </c>
    </row>
    <row r="5896" spans="1:11" x14ac:dyDescent="0.3">
      <c r="A5896" t="s">
        <v>1961</v>
      </c>
      <c r="B5896" t="s">
        <v>1962</v>
      </c>
      <c r="C5896">
        <v>3</v>
      </c>
      <c r="D5896" t="s">
        <v>1447</v>
      </c>
      <c r="E5896" t="s">
        <v>1964</v>
      </c>
      <c r="F5896" t="s">
        <v>1759</v>
      </c>
      <c r="K5896" t="str">
        <f>IF(ISBLANK('Q 6'!$I$60),"",IF('Q 6'!$I$60="&lt;please select&gt;","",'Q 6'!$I$60))</f>
        <v>Partially</v>
      </c>
    </row>
    <row r="5897" spans="1:11" x14ac:dyDescent="0.3">
      <c r="A5897" t="s">
        <v>1961</v>
      </c>
      <c r="B5897" t="s">
        <v>1965</v>
      </c>
      <c r="C5897">
        <v>1</v>
      </c>
      <c r="D5897" t="s">
        <v>1447</v>
      </c>
      <c r="E5897" t="s">
        <v>1966</v>
      </c>
      <c r="F5897" t="s">
        <v>1748</v>
      </c>
      <c r="H5897" s="165" t="str">
        <f>IF(ISBLANK('Q 6'!$G$62),"",IF('Q 6'!$G$62="&lt;please select&gt;","",'Q 6'!$G$62))</f>
        <v>0</v>
      </c>
    </row>
    <row r="5898" spans="1:11" x14ac:dyDescent="0.3">
      <c r="A5898" t="s">
        <v>1961</v>
      </c>
      <c r="B5898" t="s">
        <v>1965</v>
      </c>
      <c r="C5898">
        <v>1</v>
      </c>
      <c r="D5898" t="s">
        <v>1447</v>
      </c>
      <c r="E5898" t="s">
        <v>1967</v>
      </c>
      <c r="F5898" t="s">
        <v>1748</v>
      </c>
      <c r="H5898" s="165" t="str">
        <f>IF(ISBLANK('Q 6'!$H$62),"",IF('Q 6'!$H$62="&lt;please select&gt;","",'Q 6'!$H$62))</f>
        <v>0</v>
      </c>
    </row>
    <row r="5899" spans="1:11" x14ac:dyDescent="0.3">
      <c r="A5899" t="s">
        <v>1961</v>
      </c>
      <c r="B5899" t="s">
        <v>1965</v>
      </c>
      <c r="C5899">
        <v>1</v>
      </c>
      <c r="D5899" t="s">
        <v>1447</v>
      </c>
      <c r="E5899" t="s">
        <v>1968</v>
      </c>
      <c r="F5899" t="s">
        <v>1748</v>
      </c>
      <c r="H5899" s="165" t="str">
        <f>IF(ISBLANK('Q 6'!$I$62),"",IF('Q 6'!$I$62="&lt;please select&gt;","",'Q 6'!$I$62))</f>
        <v>0</v>
      </c>
    </row>
    <row r="5900" spans="1:11" x14ac:dyDescent="0.3">
      <c r="A5900" t="s">
        <v>1961</v>
      </c>
      <c r="B5900" t="s">
        <v>1965</v>
      </c>
      <c r="C5900">
        <v>2</v>
      </c>
      <c r="D5900" t="s">
        <v>1447</v>
      </c>
      <c r="E5900" t="s">
        <v>1966</v>
      </c>
      <c r="F5900" t="s">
        <v>1748</v>
      </c>
      <c r="H5900" s="165" t="str">
        <f>IF(ISBLANK('Q 6'!$G$64),"",IF('Q 6'!$G$64="&lt;please select&gt;","",'Q 6'!$G$64))</f>
        <v/>
      </c>
    </row>
    <row r="5901" spans="1:11" x14ac:dyDescent="0.3">
      <c r="A5901" t="s">
        <v>1961</v>
      </c>
      <c r="B5901" t="s">
        <v>1965</v>
      </c>
      <c r="C5901">
        <v>2</v>
      </c>
      <c r="D5901" t="s">
        <v>1447</v>
      </c>
      <c r="E5901" t="s">
        <v>1967</v>
      </c>
      <c r="F5901" t="s">
        <v>1748</v>
      </c>
      <c r="H5901" s="165" t="str">
        <f>IF(ISBLANK('Q 6'!$H$64),"",IF('Q 6'!$H$64="&lt;please select&gt;","",'Q 6'!$H$64))</f>
        <v/>
      </c>
    </row>
    <row r="5902" spans="1:11" x14ac:dyDescent="0.3">
      <c r="A5902" t="s">
        <v>1961</v>
      </c>
      <c r="B5902" t="s">
        <v>1965</v>
      </c>
      <c r="C5902">
        <v>2</v>
      </c>
      <c r="D5902" t="s">
        <v>1447</v>
      </c>
      <c r="E5902" t="s">
        <v>1968</v>
      </c>
      <c r="F5902" t="s">
        <v>1748</v>
      </c>
      <c r="H5902" s="165" t="str">
        <f>IF(ISBLANK('Q 6'!$I$64),"",IF('Q 6'!$I$64="&lt;please select&gt;","",'Q 6'!$I$64))</f>
        <v/>
      </c>
    </row>
    <row r="5903" spans="1:11" x14ac:dyDescent="0.3">
      <c r="A5903" t="s">
        <v>1961</v>
      </c>
      <c r="B5903" t="s">
        <v>1969</v>
      </c>
      <c r="C5903">
        <v>0</v>
      </c>
      <c r="D5903" t="s">
        <v>1447</v>
      </c>
      <c r="E5903" t="s">
        <v>1970</v>
      </c>
      <c r="F5903" t="s">
        <v>1748</v>
      </c>
      <c r="H5903" s="165" t="str">
        <f>IF(ISBLANK('Q 6'!$G$65),"",IF('Q 6'!$G$65="&lt;please select&gt;","",'Q 6'!$G$65))</f>
        <v>0</v>
      </c>
    </row>
    <row r="5904" spans="1:11" x14ac:dyDescent="0.3">
      <c r="A5904" t="s">
        <v>1961</v>
      </c>
      <c r="B5904" t="s">
        <v>1971</v>
      </c>
      <c r="C5904">
        <v>1</v>
      </c>
      <c r="D5904" t="s">
        <v>1447</v>
      </c>
      <c r="E5904" t="s">
        <v>1972</v>
      </c>
      <c r="F5904" t="s">
        <v>1748</v>
      </c>
      <c r="H5904" s="165" t="str">
        <f>IF(ISBLANK('Q 6'!$G$67),"",IF('Q 6'!$G$67="&lt;please select&gt;","",'Q 6'!$G$67))</f>
        <v>1</v>
      </c>
    </row>
    <row r="5905" spans="1:8" x14ac:dyDescent="0.3">
      <c r="A5905" t="s">
        <v>1961</v>
      </c>
      <c r="B5905" t="s">
        <v>1971</v>
      </c>
      <c r="C5905">
        <v>1</v>
      </c>
      <c r="D5905" t="s">
        <v>1447</v>
      </c>
      <c r="E5905" t="s">
        <v>1973</v>
      </c>
      <c r="F5905" t="s">
        <v>1748</v>
      </c>
      <c r="H5905" s="165" t="str">
        <f>IF(ISBLANK('Q 6'!$H$67),"",IF('Q 6'!$H$67="&lt;please select&gt;","",'Q 6'!$H$67))</f>
        <v>0</v>
      </c>
    </row>
    <row r="5906" spans="1:8" x14ac:dyDescent="0.3">
      <c r="A5906" t="s">
        <v>1961</v>
      </c>
      <c r="B5906" t="s">
        <v>1971</v>
      </c>
      <c r="C5906">
        <v>1</v>
      </c>
      <c r="D5906" t="s">
        <v>1447</v>
      </c>
      <c r="E5906" t="s">
        <v>1974</v>
      </c>
      <c r="F5906" t="s">
        <v>1748</v>
      </c>
      <c r="H5906" s="165" t="str">
        <f>IF(ISBLANK('Q 6'!$I$67),"",IF('Q 6'!$I$67="&lt;please select&gt;","",'Q 6'!$I$67))</f>
        <v>0</v>
      </c>
    </row>
    <row r="5907" spans="1:8" x14ac:dyDescent="0.3">
      <c r="A5907" t="s">
        <v>1961</v>
      </c>
      <c r="B5907" t="s">
        <v>1971</v>
      </c>
      <c r="C5907">
        <v>2</v>
      </c>
      <c r="D5907" t="s">
        <v>1447</v>
      </c>
      <c r="E5907" t="s">
        <v>1972</v>
      </c>
      <c r="F5907" t="s">
        <v>1748</v>
      </c>
      <c r="H5907" s="165" t="str">
        <f>IF(ISBLANK('Q 6'!$G$69),"",IF('Q 6'!$G$69="&lt;please select&gt;","",'Q 6'!$G$69))</f>
        <v/>
      </c>
    </row>
    <row r="5908" spans="1:8" x14ac:dyDescent="0.3">
      <c r="A5908" t="s">
        <v>1961</v>
      </c>
      <c r="B5908" t="s">
        <v>1971</v>
      </c>
      <c r="C5908">
        <v>2</v>
      </c>
      <c r="D5908" t="s">
        <v>1447</v>
      </c>
      <c r="E5908" t="s">
        <v>1973</v>
      </c>
      <c r="F5908" t="s">
        <v>1748</v>
      </c>
      <c r="H5908" s="165" t="str">
        <f>IF(ISBLANK('Q 6'!$H$69),"",IF('Q 6'!$H$69="&lt;please select&gt;","",'Q 6'!$H$69))</f>
        <v/>
      </c>
    </row>
    <row r="5909" spans="1:8" x14ac:dyDescent="0.3">
      <c r="A5909" t="s">
        <v>1961</v>
      </c>
      <c r="B5909" t="s">
        <v>1971</v>
      </c>
      <c r="C5909">
        <v>2</v>
      </c>
      <c r="D5909" t="s">
        <v>1447</v>
      </c>
      <c r="E5909" t="s">
        <v>1974</v>
      </c>
      <c r="F5909" t="s">
        <v>1748</v>
      </c>
      <c r="H5909" s="165" t="str">
        <f>IF(ISBLANK('Q 6'!$I$69),"",IF('Q 6'!$I$69="&lt;please select&gt;","",'Q 6'!$I$69))</f>
        <v/>
      </c>
    </row>
    <row r="5910" spans="1:8" x14ac:dyDescent="0.3">
      <c r="A5910" t="s">
        <v>1961</v>
      </c>
      <c r="B5910" t="s">
        <v>1971</v>
      </c>
      <c r="C5910">
        <v>3</v>
      </c>
      <c r="D5910" t="s">
        <v>1447</v>
      </c>
      <c r="E5910" t="s">
        <v>1972</v>
      </c>
      <c r="F5910" t="s">
        <v>1748</v>
      </c>
      <c r="H5910" s="165" t="str">
        <f>IF(ISBLANK('Q 6'!$G$71),"",IF('Q 6'!$G$71="&lt;please select&gt;","",'Q 6'!$G$71))</f>
        <v>0</v>
      </c>
    </row>
    <row r="5911" spans="1:8" x14ac:dyDescent="0.3">
      <c r="A5911" t="s">
        <v>1961</v>
      </c>
      <c r="B5911" t="s">
        <v>1971</v>
      </c>
      <c r="C5911">
        <v>3</v>
      </c>
      <c r="D5911" t="s">
        <v>1447</v>
      </c>
      <c r="E5911" t="s">
        <v>1973</v>
      </c>
      <c r="F5911" t="s">
        <v>1748</v>
      </c>
      <c r="H5911" s="165" t="str">
        <f>IF(ISBLANK('Q 6'!$H$71),"",IF('Q 6'!$H$71="&lt;please select&gt;","",'Q 6'!$H$71))</f>
        <v>0</v>
      </c>
    </row>
    <row r="5912" spans="1:8" x14ac:dyDescent="0.3">
      <c r="A5912" t="s">
        <v>1961</v>
      </c>
      <c r="B5912" t="s">
        <v>1971</v>
      </c>
      <c r="C5912">
        <v>3</v>
      </c>
      <c r="D5912" t="s">
        <v>1447</v>
      </c>
      <c r="E5912" t="s">
        <v>1974</v>
      </c>
      <c r="F5912" t="s">
        <v>1748</v>
      </c>
      <c r="H5912" s="165" t="str">
        <f>IF(ISBLANK('Q 6'!$I$71),"",IF('Q 6'!$I$71="&lt;please select&gt;","",'Q 6'!$I$71))</f>
        <v>0</v>
      </c>
    </row>
    <row r="5913" spans="1:8" x14ac:dyDescent="0.3">
      <c r="A5913" t="s">
        <v>1975</v>
      </c>
      <c r="B5913" t="s">
        <v>1976</v>
      </c>
      <c r="C5913">
        <v>1</v>
      </c>
      <c r="D5913" t="s">
        <v>1447</v>
      </c>
      <c r="E5913" t="s">
        <v>1868</v>
      </c>
      <c r="F5913" t="s">
        <v>1741</v>
      </c>
      <c r="G5913" t="str">
        <f>IF(ISBLANK('Q 6'!C78),"",IF('Q 6'!C78="&lt;please select&gt;","",'Q 6'!C78))</f>
        <v/>
      </c>
    </row>
    <row r="5914" spans="1:8" x14ac:dyDescent="0.3">
      <c r="A5914" t="s">
        <v>1975</v>
      </c>
      <c r="B5914" t="s">
        <v>1976</v>
      </c>
      <c r="C5914">
        <v>2</v>
      </c>
      <c r="D5914" t="s">
        <v>1447</v>
      </c>
      <c r="E5914" t="s">
        <v>1868</v>
      </c>
      <c r="F5914" t="s">
        <v>1741</v>
      </c>
      <c r="G5914" t="str">
        <f>IF(ISBLANK('Q 6'!C79),"",IF('Q 6'!C79="&lt;please select&gt;","",'Q 6'!C79))</f>
        <v/>
      </c>
    </row>
    <row r="5915" spans="1:8" x14ac:dyDescent="0.3">
      <c r="A5915" t="s">
        <v>1975</v>
      </c>
      <c r="B5915" t="s">
        <v>1976</v>
      </c>
      <c r="C5915">
        <v>3</v>
      </c>
      <c r="D5915" t="s">
        <v>1447</v>
      </c>
      <c r="E5915" t="s">
        <v>1868</v>
      </c>
      <c r="F5915" t="s">
        <v>1741</v>
      </c>
      <c r="G5915" t="str">
        <f>IF(ISBLANK('Q 6'!C80),"",IF('Q 6'!C80="&lt;please select&gt;","",'Q 6'!C80))</f>
        <v/>
      </c>
    </row>
    <row r="5916" spans="1:8" x14ac:dyDescent="0.3">
      <c r="A5916" t="s">
        <v>1975</v>
      </c>
      <c r="B5916" t="s">
        <v>1976</v>
      </c>
      <c r="C5916">
        <v>4</v>
      </c>
      <c r="D5916" t="s">
        <v>1447</v>
      </c>
      <c r="E5916" t="s">
        <v>1868</v>
      </c>
      <c r="F5916" t="s">
        <v>1741</v>
      </c>
      <c r="G5916" t="str">
        <f>IF(ISBLANK('Q 6'!C81),"",IF('Q 6'!C81="&lt;please select&gt;","",'Q 6'!C81))</f>
        <v/>
      </c>
    </row>
    <row r="5917" spans="1:8" x14ac:dyDescent="0.3">
      <c r="A5917" t="s">
        <v>1975</v>
      </c>
      <c r="B5917" t="s">
        <v>1976</v>
      </c>
      <c r="C5917">
        <v>5</v>
      </c>
      <c r="D5917" t="s">
        <v>1447</v>
      </c>
      <c r="E5917" t="s">
        <v>1868</v>
      </c>
      <c r="F5917" t="s">
        <v>1741</v>
      </c>
      <c r="G5917" t="str">
        <f>IF(ISBLANK('Q 6'!C82),"",IF('Q 6'!C82="&lt;please select&gt;","",'Q 6'!C82))</f>
        <v/>
      </c>
    </row>
    <row r="5918" spans="1:8" x14ac:dyDescent="0.3">
      <c r="A5918" t="s">
        <v>1975</v>
      </c>
      <c r="B5918" t="s">
        <v>1976</v>
      </c>
      <c r="C5918">
        <v>6</v>
      </c>
      <c r="D5918" t="s">
        <v>1447</v>
      </c>
      <c r="E5918" t="s">
        <v>1868</v>
      </c>
      <c r="F5918" t="s">
        <v>1741</v>
      </c>
      <c r="G5918" t="str">
        <f>IF(ISBLANK('Q 6'!C83),"",IF('Q 6'!C83="&lt;please select&gt;","",'Q 6'!C83))</f>
        <v/>
      </c>
    </row>
    <row r="5919" spans="1:8" x14ac:dyDescent="0.3">
      <c r="A5919" t="s">
        <v>1975</v>
      </c>
      <c r="B5919" t="s">
        <v>1976</v>
      </c>
      <c r="C5919">
        <v>7</v>
      </c>
      <c r="D5919" t="s">
        <v>1447</v>
      </c>
      <c r="E5919" t="s">
        <v>1868</v>
      </c>
      <c r="F5919" t="s">
        <v>1741</v>
      </c>
      <c r="G5919" t="str">
        <f>IF(ISBLANK('Q 6'!C84),"",IF('Q 6'!C84="&lt;please select&gt;","",'Q 6'!C84))</f>
        <v/>
      </c>
    </row>
    <row r="5920" spans="1:8" x14ac:dyDescent="0.3">
      <c r="A5920" t="s">
        <v>1975</v>
      </c>
      <c r="B5920" t="s">
        <v>1976</v>
      </c>
      <c r="C5920">
        <v>8</v>
      </c>
      <c r="D5920" t="s">
        <v>1447</v>
      </c>
      <c r="E5920" t="s">
        <v>1868</v>
      </c>
      <c r="F5920" t="s">
        <v>1741</v>
      </c>
      <c r="G5920" t="str">
        <f>IF(ISBLANK('Q 6'!C85),"",IF('Q 6'!C85="&lt;please select&gt;","",'Q 6'!C85))</f>
        <v/>
      </c>
    </row>
    <row r="5921" spans="1:7" x14ac:dyDescent="0.3">
      <c r="A5921" t="s">
        <v>1975</v>
      </c>
      <c r="B5921" t="s">
        <v>1976</v>
      </c>
      <c r="C5921">
        <v>9</v>
      </c>
      <c r="D5921" t="s">
        <v>1447</v>
      </c>
      <c r="E5921" t="s">
        <v>1868</v>
      </c>
      <c r="F5921" t="s">
        <v>1741</v>
      </c>
      <c r="G5921" t="str">
        <f>IF(ISBLANK('Q 6'!C86),"",IF('Q 6'!C86="&lt;please select&gt;","",'Q 6'!C86))</f>
        <v/>
      </c>
    </row>
    <row r="5922" spans="1:7" x14ac:dyDescent="0.3">
      <c r="A5922" t="s">
        <v>1975</v>
      </c>
      <c r="B5922" t="s">
        <v>1976</v>
      </c>
      <c r="C5922">
        <v>10</v>
      </c>
      <c r="D5922" t="s">
        <v>1447</v>
      </c>
      <c r="E5922" t="s">
        <v>1868</v>
      </c>
      <c r="F5922" t="s">
        <v>1741</v>
      </c>
      <c r="G5922" t="str">
        <f>IF(ISBLANK('Q 6'!C87),"",IF('Q 6'!C87="&lt;please select&gt;","",'Q 6'!C87))</f>
        <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
      </c>
    </row>
    <row r="5954" spans="1:9" x14ac:dyDescent="0.3">
      <c r="A5954" t="s">
        <v>1975</v>
      </c>
      <c r="B5954" t="s">
        <v>1976</v>
      </c>
      <c r="C5954">
        <v>2</v>
      </c>
      <c r="D5954" t="s">
        <v>1447</v>
      </c>
      <c r="E5954" t="s">
        <v>1977</v>
      </c>
      <c r="F5954" t="s">
        <v>1806</v>
      </c>
      <c r="I5954" s="165" t="str">
        <f>IF(ISBLANK('Q 6'!D79),"",IF('Q 6'!D79="&lt;please select&gt;","",'Q 6'!D79))</f>
        <v/>
      </c>
    </row>
    <row r="5955" spans="1:9" x14ac:dyDescent="0.3">
      <c r="A5955" t="s">
        <v>1975</v>
      </c>
      <c r="B5955" t="s">
        <v>1976</v>
      </c>
      <c r="C5955">
        <v>3</v>
      </c>
      <c r="D5955" t="s">
        <v>1447</v>
      </c>
      <c r="E5955" t="s">
        <v>1977</v>
      </c>
      <c r="F5955" t="s">
        <v>1806</v>
      </c>
      <c r="I5955" s="165" t="str">
        <f>IF(ISBLANK('Q 6'!D80),"",IF('Q 6'!D80="&lt;please select&gt;","",'Q 6'!D80))</f>
        <v/>
      </c>
    </row>
    <row r="5956" spans="1:9" x14ac:dyDescent="0.3">
      <c r="A5956" t="s">
        <v>1975</v>
      </c>
      <c r="B5956" t="s">
        <v>1976</v>
      </c>
      <c r="C5956">
        <v>4</v>
      </c>
      <c r="D5956" t="s">
        <v>1447</v>
      </c>
      <c r="E5956" t="s">
        <v>1977</v>
      </c>
      <c r="F5956" t="s">
        <v>1806</v>
      </c>
      <c r="I5956" s="165" t="str">
        <f>IF(ISBLANK('Q 6'!D81),"",IF('Q 6'!D81="&lt;please select&gt;","",'Q 6'!D81))</f>
        <v/>
      </c>
    </row>
    <row r="5957" spans="1:9" x14ac:dyDescent="0.3">
      <c r="A5957" t="s">
        <v>1975</v>
      </c>
      <c r="B5957" t="s">
        <v>1976</v>
      </c>
      <c r="C5957">
        <v>5</v>
      </c>
      <c r="D5957" t="s">
        <v>1447</v>
      </c>
      <c r="E5957" t="s">
        <v>1977</v>
      </c>
      <c r="F5957" t="s">
        <v>1806</v>
      </c>
      <c r="I5957" s="165" t="str">
        <f>IF(ISBLANK('Q 6'!D82),"",IF('Q 6'!D82="&lt;please select&gt;","",'Q 6'!D82))</f>
        <v/>
      </c>
    </row>
    <row r="5958" spans="1:9" x14ac:dyDescent="0.3">
      <c r="A5958" t="s">
        <v>1975</v>
      </c>
      <c r="B5958" t="s">
        <v>1976</v>
      </c>
      <c r="C5958">
        <v>6</v>
      </c>
      <c r="D5958" t="s">
        <v>1447</v>
      </c>
      <c r="E5958" t="s">
        <v>1977</v>
      </c>
      <c r="F5958" t="s">
        <v>1806</v>
      </c>
      <c r="I5958" s="165" t="str">
        <f>IF(ISBLANK('Q 6'!D83),"",IF('Q 6'!D83="&lt;please select&gt;","",'Q 6'!D83))</f>
        <v/>
      </c>
    </row>
    <row r="5959" spans="1:9" x14ac:dyDescent="0.3">
      <c r="A5959" t="s">
        <v>1975</v>
      </c>
      <c r="B5959" t="s">
        <v>1976</v>
      </c>
      <c r="C5959">
        <v>7</v>
      </c>
      <c r="D5959" t="s">
        <v>1447</v>
      </c>
      <c r="E5959" t="s">
        <v>1977</v>
      </c>
      <c r="F5959" t="s">
        <v>1806</v>
      </c>
      <c r="I5959" s="165" t="str">
        <f>IF(ISBLANK('Q 6'!D84),"",IF('Q 6'!D84="&lt;please select&gt;","",'Q 6'!D84))</f>
        <v/>
      </c>
    </row>
    <row r="5960" spans="1:9" x14ac:dyDescent="0.3">
      <c r="A5960" t="s">
        <v>1975</v>
      </c>
      <c r="B5960" t="s">
        <v>1976</v>
      </c>
      <c r="C5960">
        <v>8</v>
      </c>
      <c r="D5960" t="s">
        <v>1447</v>
      </c>
      <c r="E5960" t="s">
        <v>1977</v>
      </c>
      <c r="F5960" t="s">
        <v>1806</v>
      </c>
      <c r="I5960" s="165" t="str">
        <f>IF(ISBLANK('Q 6'!D85),"",IF('Q 6'!D85="&lt;please select&gt;","",'Q 6'!D85))</f>
        <v/>
      </c>
    </row>
    <row r="5961" spans="1:9" x14ac:dyDescent="0.3">
      <c r="A5961" t="s">
        <v>1975</v>
      </c>
      <c r="B5961" t="s">
        <v>1976</v>
      </c>
      <c r="C5961">
        <v>9</v>
      </c>
      <c r="D5961" t="s">
        <v>1447</v>
      </c>
      <c r="E5961" t="s">
        <v>1977</v>
      </c>
      <c r="F5961" t="s">
        <v>1806</v>
      </c>
      <c r="I5961" s="165" t="str">
        <f>IF(ISBLANK('Q 6'!D86),"",IF('Q 6'!D86="&lt;please select&gt;","",'Q 6'!D86))</f>
        <v/>
      </c>
    </row>
    <row r="5962" spans="1:9" x14ac:dyDescent="0.3">
      <c r="A5962" t="s">
        <v>1975</v>
      </c>
      <c r="B5962" t="s">
        <v>1976</v>
      </c>
      <c r="C5962">
        <v>10</v>
      </c>
      <c r="D5962" t="s">
        <v>1447</v>
      </c>
      <c r="E5962" t="s">
        <v>1977</v>
      </c>
      <c r="F5962" t="s">
        <v>1806</v>
      </c>
      <c r="I5962" s="165" t="str">
        <f>IF(ISBLANK('Q 6'!D87),"",IF('Q 6'!D87="&lt;please select&gt;","",'Q 6'!D87))</f>
        <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
      </c>
    </row>
    <row r="5994" spans="1:11" x14ac:dyDescent="0.3">
      <c r="A5994" t="s">
        <v>1975</v>
      </c>
      <c r="B5994" t="s">
        <v>1976</v>
      </c>
      <c r="C5994">
        <v>2</v>
      </c>
      <c r="D5994" t="s">
        <v>1447</v>
      </c>
      <c r="E5994" t="s">
        <v>1978</v>
      </c>
      <c r="F5994" t="s">
        <v>1737</v>
      </c>
      <c r="K5994" t="str">
        <f>IF(ISBLANK('Q 6'!E79),"",IF('Q 6'!E79="&lt;please select&gt;","",'Q 6'!E79))</f>
        <v/>
      </c>
    </row>
    <row r="5995" spans="1:11" x14ac:dyDescent="0.3">
      <c r="A5995" t="s">
        <v>1975</v>
      </c>
      <c r="B5995" t="s">
        <v>1976</v>
      </c>
      <c r="C5995">
        <v>3</v>
      </c>
      <c r="D5995" t="s">
        <v>1447</v>
      </c>
      <c r="E5995" t="s">
        <v>1978</v>
      </c>
      <c r="F5995" t="s">
        <v>1737</v>
      </c>
      <c r="K5995" t="str">
        <f>IF(ISBLANK('Q 6'!E80),"",IF('Q 6'!E80="&lt;please select&gt;","",'Q 6'!E80))</f>
        <v/>
      </c>
    </row>
    <row r="5996" spans="1:11" x14ac:dyDescent="0.3">
      <c r="A5996" t="s">
        <v>1975</v>
      </c>
      <c r="B5996" t="s">
        <v>1976</v>
      </c>
      <c r="C5996">
        <v>4</v>
      </c>
      <c r="D5996" t="s">
        <v>1447</v>
      </c>
      <c r="E5996" t="s">
        <v>1978</v>
      </c>
      <c r="F5996" t="s">
        <v>1737</v>
      </c>
      <c r="K5996" t="str">
        <f>IF(ISBLANK('Q 6'!E81),"",IF('Q 6'!E81="&lt;please select&gt;","",'Q 6'!E81))</f>
        <v/>
      </c>
    </row>
    <row r="5997" spans="1:11" x14ac:dyDescent="0.3">
      <c r="A5997" t="s">
        <v>1975</v>
      </c>
      <c r="B5997" t="s">
        <v>1976</v>
      </c>
      <c r="C5997">
        <v>5</v>
      </c>
      <c r="D5997" t="s">
        <v>1447</v>
      </c>
      <c r="E5997" t="s">
        <v>1978</v>
      </c>
      <c r="F5997" t="s">
        <v>1737</v>
      </c>
      <c r="K5997" t="str">
        <f>IF(ISBLANK('Q 6'!E82),"",IF('Q 6'!E82="&lt;please select&gt;","",'Q 6'!E82))</f>
        <v/>
      </c>
    </row>
    <row r="5998" spans="1:11" x14ac:dyDescent="0.3">
      <c r="A5998" t="s">
        <v>1975</v>
      </c>
      <c r="B5998" t="s">
        <v>1976</v>
      </c>
      <c r="C5998">
        <v>6</v>
      </c>
      <c r="D5998" t="s">
        <v>1447</v>
      </c>
      <c r="E5998" t="s">
        <v>1978</v>
      </c>
      <c r="F5998" t="s">
        <v>1737</v>
      </c>
      <c r="K5998" t="str">
        <f>IF(ISBLANK('Q 6'!E83),"",IF('Q 6'!E83="&lt;please select&gt;","",'Q 6'!E83))</f>
        <v/>
      </c>
    </row>
    <row r="5999" spans="1:11" x14ac:dyDescent="0.3">
      <c r="A5999" t="s">
        <v>1975</v>
      </c>
      <c r="B5999" t="s">
        <v>1976</v>
      </c>
      <c r="C5999">
        <v>7</v>
      </c>
      <c r="D5999" t="s">
        <v>1447</v>
      </c>
      <c r="E5999" t="s">
        <v>1978</v>
      </c>
      <c r="F5999" t="s">
        <v>1737</v>
      </c>
      <c r="K5999" t="str">
        <f>IF(ISBLANK('Q 6'!E84),"",IF('Q 6'!E84="&lt;please select&gt;","",'Q 6'!E84))</f>
        <v/>
      </c>
    </row>
    <row r="6000" spans="1:11" x14ac:dyDescent="0.3">
      <c r="A6000" t="s">
        <v>1975</v>
      </c>
      <c r="B6000" t="s">
        <v>1976</v>
      </c>
      <c r="C6000">
        <v>8</v>
      </c>
      <c r="D6000" t="s">
        <v>1447</v>
      </c>
      <c r="E6000" t="s">
        <v>1978</v>
      </c>
      <c r="F6000" t="s">
        <v>1737</v>
      </c>
      <c r="K6000" t="str">
        <f>IF(ISBLANK('Q 6'!E85),"",IF('Q 6'!E85="&lt;please select&gt;","",'Q 6'!E85))</f>
        <v/>
      </c>
    </row>
    <row r="6001" spans="1:11" x14ac:dyDescent="0.3">
      <c r="A6001" t="s">
        <v>1975</v>
      </c>
      <c r="B6001" t="s">
        <v>1976</v>
      </c>
      <c r="C6001">
        <v>9</v>
      </c>
      <c r="D6001" t="s">
        <v>1447</v>
      </c>
      <c r="E6001" t="s">
        <v>1978</v>
      </c>
      <c r="F6001" t="s">
        <v>1737</v>
      </c>
      <c r="K6001" t="str">
        <f>IF(ISBLANK('Q 6'!E86),"",IF('Q 6'!E86="&lt;please select&gt;","",'Q 6'!E86))</f>
        <v/>
      </c>
    </row>
    <row r="6002" spans="1:11" x14ac:dyDescent="0.3">
      <c r="A6002" t="s">
        <v>1975</v>
      </c>
      <c r="B6002" t="s">
        <v>1976</v>
      </c>
      <c r="C6002">
        <v>10</v>
      </c>
      <c r="D6002" t="s">
        <v>1447</v>
      </c>
      <c r="E6002" t="s">
        <v>1978</v>
      </c>
      <c r="F6002" t="s">
        <v>1737</v>
      </c>
      <c r="K6002" t="str">
        <f>IF(ISBLANK('Q 6'!E87),"",IF('Q 6'!E87="&lt;please select&gt;","",'Q 6'!E87))</f>
        <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
      </c>
    </row>
    <row r="6034" spans="1:9" x14ac:dyDescent="0.3">
      <c r="A6034" t="s">
        <v>1975</v>
      </c>
      <c r="B6034" t="s">
        <v>1976</v>
      </c>
      <c r="C6034">
        <v>2</v>
      </c>
      <c r="D6034" t="s">
        <v>1447</v>
      </c>
      <c r="E6034" t="s">
        <v>1979</v>
      </c>
      <c r="F6034" t="s">
        <v>1806</v>
      </c>
      <c r="I6034" s="166" t="str">
        <f>IF(ISBLANK('Q 6'!F79),"",IF('Q 6'!F79="&lt;please select&gt;","",'Q 6'!F79))</f>
        <v/>
      </c>
    </row>
    <row r="6035" spans="1:9" x14ac:dyDescent="0.3">
      <c r="A6035" t="s">
        <v>1975</v>
      </c>
      <c r="B6035" t="s">
        <v>1976</v>
      </c>
      <c r="C6035">
        <v>3</v>
      </c>
      <c r="D6035" t="s">
        <v>1447</v>
      </c>
      <c r="E6035" t="s">
        <v>1979</v>
      </c>
      <c r="F6035" t="s">
        <v>1806</v>
      </c>
      <c r="I6035" s="166" t="str">
        <f>IF(ISBLANK('Q 6'!F80),"",IF('Q 6'!F80="&lt;please select&gt;","",'Q 6'!F80))</f>
        <v/>
      </c>
    </row>
    <row r="6036" spans="1:9" x14ac:dyDescent="0.3">
      <c r="A6036" t="s">
        <v>1975</v>
      </c>
      <c r="B6036" t="s">
        <v>1976</v>
      </c>
      <c r="C6036">
        <v>4</v>
      </c>
      <c r="D6036" t="s">
        <v>1447</v>
      </c>
      <c r="E6036" t="s">
        <v>1979</v>
      </c>
      <c r="F6036" t="s">
        <v>1806</v>
      </c>
      <c r="I6036" s="166" t="str">
        <f>IF(ISBLANK('Q 6'!F81),"",IF('Q 6'!F81="&lt;please select&gt;","",'Q 6'!F81))</f>
        <v/>
      </c>
    </row>
    <row r="6037" spans="1:9" x14ac:dyDescent="0.3">
      <c r="A6037" t="s">
        <v>1975</v>
      </c>
      <c r="B6037" t="s">
        <v>1976</v>
      </c>
      <c r="C6037">
        <v>5</v>
      </c>
      <c r="D6037" t="s">
        <v>1447</v>
      </c>
      <c r="E6037" t="s">
        <v>1979</v>
      </c>
      <c r="F6037" t="s">
        <v>1806</v>
      </c>
      <c r="I6037" s="166" t="str">
        <f>IF(ISBLANK('Q 6'!F82),"",IF('Q 6'!F82="&lt;please select&gt;","",'Q 6'!F82))</f>
        <v/>
      </c>
    </row>
    <row r="6038" spans="1:9" x14ac:dyDescent="0.3">
      <c r="A6038" t="s">
        <v>1975</v>
      </c>
      <c r="B6038" t="s">
        <v>1976</v>
      </c>
      <c r="C6038">
        <v>6</v>
      </c>
      <c r="D6038" t="s">
        <v>1447</v>
      </c>
      <c r="E6038" t="s">
        <v>1979</v>
      </c>
      <c r="F6038" t="s">
        <v>1806</v>
      </c>
      <c r="I6038" s="166" t="str">
        <f>IF(ISBLANK('Q 6'!F83),"",IF('Q 6'!F83="&lt;please select&gt;","",'Q 6'!F83))</f>
        <v/>
      </c>
    </row>
    <row r="6039" spans="1:9" x14ac:dyDescent="0.3">
      <c r="A6039" t="s">
        <v>1975</v>
      </c>
      <c r="B6039" t="s">
        <v>1976</v>
      </c>
      <c r="C6039">
        <v>7</v>
      </c>
      <c r="D6039" t="s">
        <v>1447</v>
      </c>
      <c r="E6039" t="s">
        <v>1979</v>
      </c>
      <c r="F6039" t="s">
        <v>1806</v>
      </c>
      <c r="I6039" s="166" t="str">
        <f>IF(ISBLANK('Q 6'!F84),"",IF('Q 6'!F84="&lt;please select&gt;","",'Q 6'!F84))</f>
        <v/>
      </c>
    </row>
    <row r="6040" spans="1:9" x14ac:dyDescent="0.3">
      <c r="A6040" t="s">
        <v>1975</v>
      </c>
      <c r="B6040" t="s">
        <v>1976</v>
      </c>
      <c r="C6040">
        <v>8</v>
      </c>
      <c r="D6040" t="s">
        <v>1447</v>
      </c>
      <c r="E6040" t="s">
        <v>1979</v>
      </c>
      <c r="F6040" t="s">
        <v>1806</v>
      </c>
      <c r="I6040" s="166" t="str">
        <f>IF(ISBLANK('Q 6'!F85),"",IF('Q 6'!F85="&lt;please select&gt;","",'Q 6'!F85))</f>
        <v/>
      </c>
    </row>
    <row r="6041" spans="1:9" x14ac:dyDescent="0.3">
      <c r="A6041" t="s">
        <v>1975</v>
      </c>
      <c r="B6041" t="s">
        <v>1976</v>
      </c>
      <c r="C6041">
        <v>9</v>
      </c>
      <c r="D6041" t="s">
        <v>1447</v>
      </c>
      <c r="E6041" t="s">
        <v>1979</v>
      </c>
      <c r="F6041" t="s">
        <v>1806</v>
      </c>
      <c r="I6041" s="166" t="str">
        <f>IF(ISBLANK('Q 6'!F86),"",IF('Q 6'!F86="&lt;please select&gt;","",'Q 6'!F86))</f>
        <v/>
      </c>
    </row>
    <row r="6042" spans="1:9" x14ac:dyDescent="0.3">
      <c r="A6042" t="s">
        <v>1975</v>
      </c>
      <c r="B6042" t="s">
        <v>1976</v>
      </c>
      <c r="C6042">
        <v>10</v>
      </c>
      <c r="D6042" t="s">
        <v>1447</v>
      </c>
      <c r="E6042" t="s">
        <v>1979</v>
      </c>
      <c r="F6042" t="s">
        <v>1806</v>
      </c>
      <c r="I6042" s="166" t="str">
        <f>IF(ISBLANK('Q 6'!F87),"",IF('Q 6'!F87="&lt;please select&gt;","",'Q 6'!F87))</f>
        <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
      </c>
    </row>
    <row r="6074" spans="1:9" x14ac:dyDescent="0.3">
      <c r="A6074" t="s">
        <v>1975</v>
      </c>
      <c r="B6074" t="s">
        <v>1976</v>
      </c>
      <c r="C6074">
        <v>2</v>
      </c>
      <c r="D6074" t="s">
        <v>1447</v>
      </c>
      <c r="E6074" t="s">
        <v>1980</v>
      </c>
      <c r="F6074" t="s">
        <v>1741</v>
      </c>
      <c r="G6074" t="str">
        <f>IF(ISBLANK('Q 6'!G79),"",IF('Q 6'!G79="&lt;please select&gt;","",'Q 6'!G79))</f>
        <v/>
      </c>
    </row>
    <row r="6075" spans="1:9" x14ac:dyDescent="0.3">
      <c r="A6075" t="s">
        <v>1975</v>
      </c>
      <c r="B6075" t="s">
        <v>1976</v>
      </c>
      <c r="C6075">
        <v>3</v>
      </c>
      <c r="D6075" t="s">
        <v>1447</v>
      </c>
      <c r="E6075" t="s">
        <v>1980</v>
      </c>
      <c r="F6075" t="s">
        <v>1741</v>
      </c>
      <c r="G6075" t="str">
        <f>IF(ISBLANK('Q 6'!G80),"",IF('Q 6'!G80="&lt;please select&gt;","",'Q 6'!G80))</f>
        <v/>
      </c>
    </row>
    <row r="6076" spans="1:9" x14ac:dyDescent="0.3">
      <c r="A6076" t="s">
        <v>1975</v>
      </c>
      <c r="B6076" t="s">
        <v>1976</v>
      </c>
      <c r="C6076">
        <v>4</v>
      </c>
      <c r="D6076" t="s">
        <v>1447</v>
      </c>
      <c r="E6076" t="s">
        <v>1980</v>
      </c>
      <c r="F6076" t="s">
        <v>1741</v>
      </c>
      <c r="G6076" t="str">
        <f>IF(ISBLANK('Q 6'!G81),"",IF('Q 6'!G81="&lt;please select&gt;","",'Q 6'!G81))</f>
        <v/>
      </c>
    </row>
    <row r="6077" spans="1:9" x14ac:dyDescent="0.3">
      <c r="A6077" t="s">
        <v>1975</v>
      </c>
      <c r="B6077" t="s">
        <v>1976</v>
      </c>
      <c r="C6077">
        <v>5</v>
      </c>
      <c r="D6077" t="s">
        <v>1447</v>
      </c>
      <c r="E6077" t="s">
        <v>1980</v>
      </c>
      <c r="F6077" t="s">
        <v>1741</v>
      </c>
      <c r="G6077" t="str">
        <f>IF(ISBLANK('Q 6'!G82),"",IF('Q 6'!G82="&lt;please select&gt;","",'Q 6'!G82))</f>
        <v/>
      </c>
    </row>
    <row r="6078" spans="1:9" x14ac:dyDescent="0.3">
      <c r="A6078" t="s">
        <v>1975</v>
      </c>
      <c r="B6078" t="s">
        <v>1976</v>
      </c>
      <c r="C6078">
        <v>6</v>
      </c>
      <c r="D6078" t="s">
        <v>1447</v>
      </c>
      <c r="E6078" t="s">
        <v>1980</v>
      </c>
      <c r="F6078" t="s">
        <v>1741</v>
      </c>
      <c r="G6078" t="str">
        <f>IF(ISBLANK('Q 6'!G83),"",IF('Q 6'!G83="&lt;please select&gt;","",'Q 6'!G83))</f>
        <v/>
      </c>
    </row>
    <row r="6079" spans="1:9" x14ac:dyDescent="0.3">
      <c r="A6079" t="s">
        <v>1975</v>
      </c>
      <c r="B6079" t="s">
        <v>1976</v>
      </c>
      <c r="C6079">
        <v>7</v>
      </c>
      <c r="D6079" t="s">
        <v>1447</v>
      </c>
      <c r="E6079" t="s">
        <v>1980</v>
      </c>
      <c r="F6079" t="s">
        <v>1741</v>
      </c>
      <c r="G6079" t="str">
        <f>IF(ISBLANK('Q 6'!G84),"",IF('Q 6'!G84="&lt;please select&gt;","",'Q 6'!G84))</f>
        <v/>
      </c>
    </row>
    <row r="6080" spans="1:9" x14ac:dyDescent="0.3">
      <c r="A6080" t="s">
        <v>1975</v>
      </c>
      <c r="B6080" t="s">
        <v>1976</v>
      </c>
      <c r="C6080">
        <v>8</v>
      </c>
      <c r="D6080" t="s">
        <v>1447</v>
      </c>
      <c r="E6080" t="s">
        <v>1980</v>
      </c>
      <c r="F6080" t="s">
        <v>1741</v>
      </c>
      <c r="G6080" t="str">
        <f>IF(ISBLANK('Q 6'!G85),"",IF('Q 6'!G85="&lt;please select&gt;","",'Q 6'!G85))</f>
        <v/>
      </c>
    </row>
    <row r="6081" spans="1:7" x14ac:dyDescent="0.3">
      <c r="A6081" t="s">
        <v>1975</v>
      </c>
      <c r="B6081" t="s">
        <v>1976</v>
      </c>
      <c r="C6081">
        <v>9</v>
      </c>
      <c r="D6081" t="s">
        <v>1447</v>
      </c>
      <c r="E6081" t="s">
        <v>1980</v>
      </c>
      <c r="F6081" t="s">
        <v>1741</v>
      </c>
      <c r="G6081" t="str">
        <f>IF(ISBLANK('Q 6'!G86),"",IF('Q 6'!G86="&lt;please select&gt;","",'Q 6'!G86))</f>
        <v/>
      </c>
    </row>
    <row r="6082" spans="1:7" x14ac:dyDescent="0.3">
      <c r="A6082" t="s">
        <v>1975</v>
      </c>
      <c r="B6082" t="s">
        <v>1976</v>
      </c>
      <c r="C6082">
        <v>10</v>
      </c>
      <c r="D6082" t="s">
        <v>1447</v>
      </c>
      <c r="E6082" t="s">
        <v>1980</v>
      </c>
      <c r="F6082" t="s">
        <v>1741</v>
      </c>
      <c r="G6082" t="str">
        <f>IF(ISBLANK('Q 6'!G87),"",IF('Q 6'!G87="&lt;please select&gt;","",'Q 6'!G87))</f>
        <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
      </c>
    </row>
    <row r="6114" spans="1:11" x14ac:dyDescent="0.3">
      <c r="A6114" t="s">
        <v>1975</v>
      </c>
      <c r="B6114" t="s">
        <v>1976</v>
      </c>
      <c r="C6114">
        <v>2</v>
      </c>
      <c r="D6114" t="s">
        <v>1447</v>
      </c>
      <c r="E6114" t="s">
        <v>1981</v>
      </c>
      <c r="F6114" t="s">
        <v>1737</v>
      </c>
      <c r="K6114" t="str">
        <f>IF(ISBLANK('Q 6'!H79),"",IF('Q 6'!H79="&lt;please select&gt;","",'Q 6'!H79))</f>
        <v/>
      </c>
    </row>
    <row r="6115" spans="1:11" x14ac:dyDescent="0.3">
      <c r="A6115" t="s">
        <v>1975</v>
      </c>
      <c r="B6115" t="s">
        <v>1976</v>
      </c>
      <c r="C6115">
        <v>3</v>
      </c>
      <c r="D6115" t="s">
        <v>1447</v>
      </c>
      <c r="E6115" t="s">
        <v>1981</v>
      </c>
      <c r="F6115" t="s">
        <v>1737</v>
      </c>
      <c r="K6115" t="str">
        <f>IF(ISBLANK('Q 6'!H80),"",IF('Q 6'!H80="&lt;please select&gt;","",'Q 6'!H80))</f>
        <v/>
      </c>
    </row>
    <row r="6116" spans="1:11" x14ac:dyDescent="0.3">
      <c r="A6116" t="s">
        <v>1975</v>
      </c>
      <c r="B6116" t="s">
        <v>1976</v>
      </c>
      <c r="C6116">
        <v>4</v>
      </c>
      <c r="D6116" t="s">
        <v>1447</v>
      </c>
      <c r="E6116" t="s">
        <v>1981</v>
      </c>
      <c r="F6116" t="s">
        <v>1737</v>
      </c>
      <c r="K6116" t="str">
        <f>IF(ISBLANK('Q 6'!H81),"",IF('Q 6'!H81="&lt;please select&gt;","",'Q 6'!H81))</f>
        <v/>
      </c>
    </row>
    <row r="6117" spans="1:11" x14ac:dyDescent="0.3">
      <c r="A6117" t="s">
        <v>1975</v>
      </c>
      <c r="B6117" t="s">
        <v>1976</v>
      </c>
      <c r="C6117">
        <v>5</v>
      </c>
      <c r="D6117" t="s">
        <v>1447</v>
      </c>
      <c r="E6117" t="s">
        <v>1981</v>
      </c>
      <c r="F6117" t="s">
        <v>1737</v>
      </c>
      <c r="K6117" t="str">
        <f>IF(ISBLANK('Q 6'!H82),"",IF('Q 6'!H82="&lt;please select&gt;","",'Q 6'!H82))</f>
        <v/>
      </c>
    </row>
    <row r="6118" spans="1:11" x14ac:dyDescent="0.3">
      <c r="A6118" t="s">
        <v>1975</v>
      </c>
      <c r="B6118" t="s">
        <v>1976</v>
      </c>
      <c r="C6118">
        <v>6</v>
      </c>
      <c r="D6118" t="s">
        <v>1447</v>
      </c>
      <c r="E6118" t="s">
        <v>1981</v>
      </c>
      <c r="F6118" t="s">
        <v>1737</v>
      </c>
      <c r="K6118" t="str">
        <f>IF(ISBLANK('Q 6'!H83),"",IF('Q 6'!H83="&lt;please select&gt;","",'Q 6'!H83))</f>
        <v/>
      </c>
    </row>
    <row r="6119" spans="1:11" x14ac:dyDescent="0.3">
      <c r="A6119" t="s">
        <v>1975</v>
      </c>
      <c r="B6119" t="s">
        <v>1976</v>
      </c>
      <c r="C6119">
        <v>7</v>
      </c>
      <c r="D6119" t="s">
        <v>1447</v>
      </c>
      <c r="E6119" t="s">
        <v>1981</v>
      </c>
      <c r="F6119" t="s">
        <v>1737</v>
      </c>
      <c r="K6119" t="str">
        <f>IF(ISBLANK('Q 6'!H84),"",IF('Q 6'!H84="&lt;please select&gt;","",'Q 6'!H84))</f>
        <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
      </c>
    </row>
    <row r="6154" spans="1:11" x14ac:dyDescent="0.3">
      <c r="A6154" t="s">
        <v>1975</v>
      </c>
      <c r="B6154" t="s">
        <v>1976</v>
      </c>
      <c r="C6154">
        <v>2</v>
      </c>
      <c r="D6154" t="s">
        <v>1447</v>
      </c>
      <c r="E6154" t="s">
        <v>1982</v>
      </c>
      <c r="F6154" t="s">
        <v>1741</v>
      </c>
      <c r="G6154" t="str">
        <f>IF(ISBLANK('Q 6'!I79),"",IF('Q 6'!I79="&lt;please select&gt;","",'Q 6'!I79))</f>
        <v/>
      </c>
    </row>
    <row r="6155" spans="1:11" x14ac:dyDescent="0.3">
      <c r="A6155" t="s">
        <v>1975</v>
      </c>
      <c r="B6155" t="s">
        <v>1976</v>
      </c>
      <c r="C6155">
        <v>3</v>
      </c>
      <c r="D6155" t="s">
        <v>1447</v>
      </c>
      <c r="E6155" t="s">
        <v>1982</v>
      </c>
      <c r="F6155" t="s">
        <v>1741</v>
      </c>
      <c r="G6155" t="str">
        <f>IF(ISBLANK('Q 6'!I80),"",IF('Q 6'!I80="&lt;please select&gt;","",'Q 6'!I80))</f>
        <v/>
      </c>
    </row>
    <row r="6156" spans="1:11" x14ac:dyDescent="0.3">
      <c r="A6156" t="s">
        <v>1975</v>
      </c>
      <c r="B6156" t="s">
        <v>1976</v>
      </c>
      <c r="C6156">
        <v>4</v>
      </c>
      <c r="D6156" t="s">
        <v>1447</v>
      </c>
      <c r="E6156" t="s">
        <v>1982</v>
      </c>
      <c r="F6156" t="s">
        <v>1741</v>
      </c>
      <c r="G6156" t="str">
        <f>IF(ISBLANK('Q 6'!I81),"",IF('Q 6'!I81="&lt;please select&gt;","",'Q 6'!I81))</f>
        <v/>
      </c>
    </row>
    <row r="6157" spans="1:11" x14ac:dyDescent="0.3">
      <c r="A6157" t="s">
        <v>1975</v>
      </c>
      <c r="B6157" t="s">
        <v>1976</v>
      </c>
      <c r="C6157">
        <v>5</v>
      </c>
      <c r="D6157" t="s">
        <v>1447</v>
      </c>
      <c r="E6157" t="s">
        <v>1982</v>
      </c>
      <c r="F6157" t="s">
        <v>1741</v>
      </c>
      <c r="G6157" t="str">
        <f>IF(ISBLANK('Q 6'!I82),"",IF('Q 6'!I82="&lt;please select&gt;","",'Q 6'!I82))</f>
        <v/>
      </c>
    </row>
    <row r="6158" spans="1:11" x14ac:dyDescent="0.3">
      <c r="A6158" t="s">
        <v>1975</v>
      </c>
      <c r="B6158" t="s">
        <v>1976</v>
      </c>
      <c r="C6158">
        <v>6</v>
      </c>
      <c r="D6158" t="s">
        <v>1447</v>
      </c>
      <c r="E6158" t="s">
        <v>1982</v>
      </c>
      <c r="F6158" t="s">
        <v>1741</v>
      </c>
      <c r="G6158" t="str">
        <f>IF(ISBLANK('Q 6'!I83),"",IF('Q 6'!I83="&lt;please select&gt;","",'Q 6'!I83))</f>
        <v/>
      </c>
    </row>
    <row r="6159" spans="1:11" x14ac:dyDescent="0.3">
      <c r="A6159" t="s">
        <v>1975</v>
      </c>
      <c r="B6159" t="s">
        <v>1976</v>
      </c>
      <c r="C6159">
        <v>7</v>
      </c>
      <c r="D6159" t="s">
        <v>1447</v>
      </c>
      <c r="E6159" t="s">
        <v>1982</v>
      </c>
      <c r="F6159" t="s">
        <v>1741</v>
      </c>
      <c r="G6159" t="str">
        <f>IF(ISBLANK('Q 6'!I84),"",IF('Q 6'!I84="&lt;please select&gt;","",'Q 6'!I84))</f>
        <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
      </c>
    </row>
    <row r="6194" spans="1:11" x14ac:dyDescent="0.3">
      <c r="A6194" t="s">
        <v>1975</v>
      </c>
      <c r="B6194" t="s">
        <v>1983</v>
      </c>
      <c r="C6194">
        <v>2</v>
      </c>
      <c r="D6194" t="s">
        <v>1447</v>
      </c>
      <c r="E6194" t="s">
        <v>1984</v>
      </c>
      <c r="F6194" t="s">
        <v>1748</v>
      </c>
      <c r="H6194" s="165" t="str">
        <f>IF(ISBLANK('Q 6'!H126),"",IF('Q 6'!H126="&lt;please select&gt;","",'Q 6'!H126))</f>
        <v/>
      </c>
    </row>
    <row r="6195" spans="1:11" x14ac:dyDescent="0.3">
      <c r="A6195" t="s">
        <v>1975</v>
      </c>
      <c r="B6195" t="s">
        <v>1983</v>
      </c>
      <c r="C6195">
        <v>3</v>
      </c>
      <c r="D6195" t="s">
        <v>1447</v>
      </c>
      <c r="E6195" t="s">
        <v>1984</v>
      </c>
      <c r="F6195" t="s">
        <v>1748</v>
      </c>
      <c r="H6195" s="165" t="str">
        <f>IF(ISBLANK('Q 6'!H127),"",IF('Q 6'!H127="&lt;please select&gt;","",'Q 6'!H127))</f>
        <v/>
      </c>
    </row>
    <row r="6196" spans="1:11" x14ac:dyDescent="0.3">
      <c r="A6196" t="s">
        <v>1975</v>
      </c>
      <c r="B6196" t="s">
        <v>1983</v>
      </c>
      <c r="C6196">
        <v>4</v>
      </c>
      <c r="D6196" t="s">
        <v>1447</v>
      </c>
      <c r="E6196" t="s">
        <v>1984</v>
      </c>
      <c r="F6196" t="s">
        <v>1748</v>
      </c>
      <c r="H6196" s="165" t="str">
        <f>IF(ISBLANK('Q 6'!H128),"",IF('Q 6'!H128="&lt;please select&gt;","",'Q 6'!H128))</f>
        <v/>
      </c>
    </row>
    <row r="6197" spans="1:11" x14ac:dyDescent="0.3">
      <c r="A6197" t="s">
        <v>1985</v>
      </c>
      <c r="B6197" t="s">
        <v>1986</v>
      </c>
      <c r="C6197">
        <v>0</v>
      </c>
      <c r="D6197" t="s">
        <v>1447</v>
      </c>
      <c r="E6197" t="s">
        <v>1986</v>
      </c>
      <c r="F6197" t="s">
        <v>1759</v>
      </c>
      <c r="K6197" t="str">
        <f>IF(ISBLANK('Q 6'!$I$130),"",IF('Q 6'!$I$130="&lt;please select&gt;","",'Q 6'!$I$130))</f>
        <v>No</v>
      </c>
    </row>
    <row r="6198" spans="1:11" x14ac:dyDescent="0.3">
      <c r="A6198" t="s">
        <v>1985</v>
      </c>
      <c r="B6198" t="s">
        <v>1987</v>
      </c>
      <c r="C6198">
        <v>1</v>
      </c>
      <c r="D6198" t="s">
        <v>1447</v>
      </c>
      <c r="E6198" t="s">
        <v>1988</v>
      </c>
      <c r="F6198" t="s">
        <v>1737</v>
      </c>
      <c r="K6198" t="str">
        <f>IF(ISBLANK('Q 6'!C133),"",IF('Q 6'!C133="&lt;please select&gt;","",'Q 6'!C133))</f>
        <v/>
      </c>
    </row>
    <row r="6199" spans="1:11" x14ac:dyDescent="0.3">
      <c r="A6199" t="s">
        <v>1985</v>
      </c>
      <c r="B6199" t="s">
        <v>1987</v>
      </c>
      <c r="C6199">
        <v>2</v>
      </c>
      <c r="D6199" t="s">
        <v>1447</v>
      </c>
      <c r="E6199" t="s">
        <v>1988</v>
      </c>
      <c r="F6199" t="s">
        <v>1737</v>
      </c>
      <c r="K6199" t="str">
        <f>IF(ISBLANK('Q 6'!C134),"",IF('Q 6'!C134="&lt;please select&gt;","",'Q 6'!C134))</f>
        <v/>
      </c>
    </row>
    <row r="6200" spans="1:11" x14ac:dyDescent="0.3">
      <c r="A6200" t="s">
        <v>1985</v>
      </c>
      <c r="B6200" t="s">
        <v>1987</v>
      </c>
      <c r="C6200">
        <v>3</v>
      </c>
      <c r="D6200" t="s">
        <v>1447</v>
      </c>
      <c r="E6200" t="s">
        <v>1988</v>
      </c>
      <c r="F6200" t="s">
        <v>1737</v>
      </c>
      <c r="K6200" t="str">
        <f>IF(ISBLANK('Q 6'!C135),"",IF('Q 6'!C135="&lt;please select&gt;","",'Q 6'!C135))</f>
        <v/>
      </c>
    </row>
    <row r="6201" spans="1:11" x14ac:dyDescent="0.3">
      <c r="A6201" t="s">
        <v>1985</v>
      </c>
      <c r="B6201" t="s">
        <v>1987</v>
      </c>
      <c r="C6201">
        <v>4</v>
      </c>
      <c r="D6201" t="s">
        <v>1447</v>
      </c>
      <c r="E6201" t="s">
        <v>1988</v>
      </c>
      <c r="F6201" t="s">
        <v>1737</v>
      </c>
      <c r="K6201" t="str">
        <f>IF(ISBLANK('Q 6'!C136),"",IF('Q 6'!C136="&lt;please select&gt;","",'Q 6'!C136))</f>
        <v/>
      </c>
    </row>
    <row r="6202" spans="1:11" x14ac:dyDescent="0.3">
      <c r="A6202" t="s">
        <v>1985</v>
      </c>
      <c r="B6202" t="s">
        <v>1987</v>
      </c>
      <c r="C6202">
        <v>5</v>
      </c>
      <c r="D6202" t="s">
        <v>1447</v>
      </c>
      <c r="E6202" t="s">
        <v>1988</v>
      </c>
      <c r="F6202" t="s">
        <v>1737</v>
      </c>
      <c r="K6202" t="str">
        <f>IF(ISBLANK('Q 6'!C137),"",IF('Q 6'!C137="&lt;please select&gt;","",'Q 6'!C137))</f>
        <v/>
      </c>
    </row>
    <row r="6203" spans="1:11" x14ac:dyDescent="0.3">
      <c r="A6203" t="s">
        <v>1985</v>
      </c>
      <c r="B6203" t="s">
        <v>1987</v>
      </c>
      <c r="C6203">
        <v>6</v>
      </c>
      <c r="D6203" t="s">
        <v>1447</v>
      </c>
      <c r="E6203" t="s">
        <v>1988</v>
      </c>
      <c r="F6203" t="s">
        <v>1737</v>
      </c>
      <c r="K6203" t="str">
        <f>IF(ISBLANK('Q 6'!C138),"",IF('Q 6'!C138="&lt;please select&gt;","",'Q 6'!C138))</f>
        <v/>
      </c>
    </row>
    <row r="6204" spans="1:11" x14ac:dyDescent="0.3">
      <c r="A6204" t="s">
        <v>1985</v>
      </c>
      <c r="B6204" t="s">
        <v>1987</v>
      </c>
      <c r="C6204">
        <v>7</v>
      </c>
      <c r="D6204" t="s">
        <v>1447</v>
      </c>
      <c r="E6204" t="s">
        <v>1988</v>
      </c>
      <c r="F6204" t="s">
        <v>1737</v>
      </c>
      <c r="K6204" t="str">
        <f>IF(ISBLANK('Q 6'!C139),"",IF('Q 6'!C139="&lt;please select&gt;","",'Q 6'!C139))</f>
        <v/>
      </c>
    </row>
    <row r="6205" spans="1:11" x14ac:dyDescent="0.3">
      <c r="A6205" t="s">
        <v>1985</v>
      </c>
      <c r="B6205" t="s">
        <v>1987</v>
      </c>
      <c r="C6205">
        <v>8</v>
      </c>
      <c r="D6205" t="s">
        <v>1447</v>
      </c>
      <c r="E6205" t="s">
        <v>1988</v>
      </c>
      <c r="F6205" t="s">
        <v>1737</v>
      </c>
      <c r="K6205" t="str">
        <f>IF(ISBLANK('Q 6'!C140),"",IF('Q 6'!C140="&lt;please select&gt;","",'Q 6'!C140))</f>
        <v/>
      </c>
    </row>
    <row r="6206" spans="1:11" x14ac:dyDescent="0.3">
      <c r="A6206" t="s">
        <v>1985</v>
      </c>
      <c r="B6206" t="s">
        <v>1987</v>
      </c>
      <c r="C6206">
        <v>9</v>
      </c>
      <c r="D6206" t="s">
        <v>1447</v>
      </c>
      <c r="E6206" t="s">
        <v>1988</v>
      </c>
      <c r="F6206" t="s">
        <v>1737</v>
      </c>
      <c r="K6206" t="str">
        <f>IF(ISBLANK('Q 6'!C141),"",IF('Q 6'!C141="&lt;please select&gt;","",'Q 6'!C141))</f>
        <v/>
      </c>
    </row>
    <row r="6207" spans="1:11" x14ac:dyDescent="0.3">
      <c r="A6207" t="s">
        <v>1985</v>
      </c>
      <c r="B6207" t="s">
        <v>1987</v>
      </c>
      <c r="C6207">
        <v>10</v>
      </c>
      <c r="D6207" t="s">
        <v>1447</v>
      </c>
      <c r="E6207" t="s">
        <v>1988</v>
      </c>
      <c r="F6207" t="s">
        <v>1737</v>
      </c>
      <c r="K6207" t="str">
        <f>IF(ISBLANK('Q 6'!C142),"",IF('Q 6'!C142="&lt;please select&gt;","",'Q 6'!C142))</f>
        <v/>
      </c>
    </row>
    <row r="6208" spans="1:11" x14ac:dyDescent="0.3">
      <c r="A6208" t="s">
        <v>1985</v>
      </c>
      <c r="B6208" t="s">
        <v>1987</v>
      </c>
      <c r="C6208">
        <v>11</v>
      </c>
      <c r="D6208" t="s">
        <v>1447</v>
      </c>
      <c r="E6208" t="s">
        <v>1988</v>
      </c>
      <c r="F6208" t="s">
        <v>1737</v>
      </c>
      <c r="K6208" t="str">
        <f>IF(ISBLANK('Q 6'!C143),"",IF('Q 6'!C143="&lt;please select&gt;","",'Q 6'!C143))</f>
        <v/>
      </c>
    </row>
    <row r="6209" spans="1:11" x14ac:dyDescent="0.3">
      <c r="A6209" t="s">
        <v>1985</v>
      </c>
      <c r="B6209" t="s">
        <v>1987</v>
      </c>
      <c r="C6209">
        <v>12</v>
      </c>
      <c r="D6209" t="s">
        <v>1447</v>
      </c>
      <c r="E6209" t="s">
        <v>1988</v>
      </c>
      <c r="F6209" t="s">
        <v>1737</v>
      </c>
      <c r="K6209" t="str">
        <f>IF(ISBLANK('Q 6'!C144),"",IF('Q 6'!C144="&lt;please select&gt;","",'Q 6'!C144))</f>
        <v/>
      </c>
    </row>
    <row r="6210" spans="1:11" x14ac:dyDescent="0.3">
      <c r="A6210" t="s">
        <v>1985</v>
      </c>
      <c r="B6210" t="s">
        <v>1987</v>
      </c>
      <c r="C6210">
        <v>13</v>
      </c>
      <c r="D6210" t="s">
        <v>1447</v>
      </c>
      <c r="E6210" t="s">
        <v>1988</v>
      </c>
      <c r="F6210" t="s">
        <v>1737</v>
      </c>
      <c r="K6210" t="str">
        <f>IF(ISBLANK('Q 6'!C145),"",IF('Q 6'!C145="&lt;please select&gt;","",'Q 6'!C145))</f>
        <v/>
      </c>
    </row>
    <row r="6211" spans="1:11" x14ac:dyDescent="0.3">
      <c r="A6211" t="s">
        <v>1985</v>
      </c>
      <c r="B6211" t="s">
        <v>1987</v>
      </c>
      <c r="C6211">
        <v>14</v>
      </c>
      <c r="D6211" t="s">
        <v>1447</v>
      </c>
      <c r="E6211" t="s">
        <v>1988</v>
      </c>
      <c r="F6211" t="s">
        <v>1737</v>
      </c>
      <c r="K6211" t="str">
        <f>IF(ISBLANK('Q 6'!C146),"",IF('Q 6'!C146="&lt;please select&gt;","",'Q 6'!C146))</f>
        <v/>
      </c>
    </row>
    <row r="6212" spans="1:11" x14ac:dyDescent="0.3">
      <c r="A6212" t="s">
        <v>1985</v>
      </c>
      <c r="B6212" t="s">
        <v>1987</v>
      </c>
      <c r="C6212">
        <v>15</v>
      </c>
      <c r="D6212" t="s">
        <v>1447</v>
      </c>
      <c r="E6212" t="s">
        <v>1988</v>
      </c>
      <c r="F6212" t="s">
        <v>1737</v>
      </c>
      <c r="K6212" t="str">
        <f>IF(ISBLANK('Q 6'!C147),"",IF('Q 6'!C147="&lt;please select&gt;","",'Q 6'!C147))</f>
        <v/>
      </c>
    </row>
    <row r="6213" spans="1:11" x14ac:dyDescent="0.3">
      <c r="A6213" t="s">
        <v>1985</v>
      </c>
      <c r="B6213" t="s">
        <v>1987</v>
      </c>
      <c r="C6213">
        <v>16</v>
      </c>
      <c r="D6213" t="s">
        <v>1447</v>
      </c>
      <c r="E6213" t="s">
        <v>1988</v>
      </c>
      <c r="F6213" t="s">
        <v>1737</v>
      </c>
      <c r="K6213" t="str">
        <f>IF(ISBLANK('Q 6'!C148),"",IF('Q 6'!C148="&lt;please select&gt;","",'Q 6'!C148))</f>
        <v/>
      </c>
    </row>
    <row r="6214" spans="1:11" x14ac:dyDescent="0.3">
      <c r="A6214" t="s">
        <v>1985</v>
      </c>
      <c r="B6214" t="s">
        <v>1987</v>
      </c>
      <c r="C6214">
        <v>17</v>
      </c>
      <c r="D6214" t="s">
        <v>1447</v>
      </c>
      <c r="E6214" t="s">
        <v>1988</v>
      </c>
      <c r="F6214" t="s">
        <v>1737</v>
      </c>
      <c r="K6214" t="str">
        <f>IF(ISBLANK('Q 6'!C149),"",IF('Q 6'!C149="&lt;please select&gt;","",'Q 6'!C149))</f>
        <v/>
      </c>
    </row>
    <row r="6215" spans="1:11" x14ac:dyDescent="0.3">
      <c r="A6215" t="s">
        <v>1985</v>
      </c>
      <c r="B6215" t="s">
        <v>1987</v>
      </c>
      <c r="C6215">
        <v>18</v>
      </c>
      <c r="D6215" t="s">
        <v>1447</v>
      </c>
      <c r="E6215" t="s">
        <v>1988</v>
      </c>
      <c r="F6215" t="s">
        <v>1737</v>
      </c>
      <c r="K6215" t="str">
        <f>IF(ISBLANK('Q 6'!C150),"",IF('Q 6'!C150="&lt;please select&gt;","",'Q 6'!C150))</f>
        <v/>
      </c>
    </row>
    <row r="6216" spans="1:11" x14ac:dyDescent="0.3">
      <c r="A6216" t="s">
        <v>1985</v>
      </c>
      <c r="B6216" t="s">
        <v>1987</v>
      </c>
      <c r="C6216">
        <v>19</v>
      </c>
      <c r="D6216" t="s">
        <v>1447</v>
      </c>
      <c r="E6216" t="s">
        <v>1988</v>
      </c>
      <c r="F6216" t="s">
        <v>1737</v>
      </c>
      <c r="K6216" t="str">
        <f>IF(ISBLANK('Q 6'!C151),"",IF('Q 6'!C151="&lt;please select&gt;","",'Q 6'!C151))</f>
        <v/>
      </c>
    </row>
    <row r="6217" spans="1:11" x14ac:dyDescent="0.3">
      <c r="A6217" t="s">
        <v>1985</v>
      </c>
      <c r="B6217" t="s">
        <v>1987</v>
      </c>
      <c r="C6217">
        <v>20</v>
      </c>
      <c r="D6217" t="s">
        <v>1447</v>
      </c>
      <c r="E6217" t="s">
        <v>1988</v>
      </c>
      <c r="F6217" t="s">
        <v>1737</v>
      </c>
      <c r="K6217" t="str">
        <f>IF(ISBLANK('Q 6'!C152),"",IF('Q 6'!C152="&lt;please select&gt;","",'Q 6'!C152))</f>
        <v/>
      </c>
    </row>
    <row r="6218" spans="1:11" x14ac:dyDescent="0.3">
      <c r="A6218" t="s">
        <v>1985</v>
      </c>
      <c r="B6218" t="s">
        <v>1987</v>
      </c>
      <c r="C6218">
        <v>21</v>
      </c>
      <c r="D6218" t="s">
        <v>1447</v>
      </c>
      <c r="E6218" t="s">
        <v>1988</v>
      </c>
      <c r="F6218" t="s">
        <v>1737</v>
      </c>
      <c r="K6218" t="str">
        <f>IF(ISBLANK('Q 6'!C153),"",IF('Q 6'!C153="&lt;please select&gt;","",'Q 6'!C153))</f>
        <v/>
      </c>
    </row>
    <row r="6219" spans="1:11" x14ac:dyDescent="0.3">
      <c r="A6219" t="s">
        <v>1985</v>
      </c>
      <c r="B6219" t="s">
        <v>1987</v>
      </c>
      <c r="C6219">
        <v>22</v>
      </c>
      <c r="D6219" t="s">
        <v>1447</v>
      </c>
      <c r="E6219" t="s">
        <v>1988</v>
      </c>
      <c r="F6219" t="s">
        <v>1737</v>
      </c>
      <c r="K6219" t="str">
        <f>IF(ISBLANK('Q 6'!C154),"",IF('Q 6'!C154="&lt;please select&gt;","",'Q 6'!C154))</f>
        <v/>
      </c>
    </row>
    <row r="6220" spans="1:11" x14ac:dyDescent="0.3">
      <c r="A6220" t="s">
        <v>1985</v>
      </c>
      <c r="B6220" t="s">
        <v>1987</v>
      </c>
      <c r="C6220">
        <v>23</v>
      </c>
      <c r="D6220" t="s">
        <v>1447</v>
      </c>
      <c r="E6220" t="s">
        <v>1988</v>
      </c>
      <c r="F6220" t="s">
        <v>1737</v>
      </c>
      <c r="K6220" t="str">
        <f>IF(ISBLANK('Q 6'!C155),"",IF('Q 6'!C155="&lt;please select&gt;","",'Q 6'!C155))</f>
        <v/>
      </c>
    </row>
    <row r="6221" spans="1:11" x14ac:dyDescent="0.3">
      <c r="A6221" t="s">
        <v>1985</v>
      </c>
      <c r="B6221" t="s">
        <v>1987</v>
      </c>
      <c r="C6221">
        <v>24</v>
      </c>
      <c r="D6221" t="s">
        <v>1447</v>
      </c>
      <c r="E6221" t="s">
        <v>1988</v>
      </c>
      <c r="F6221" t="s">
        <v>1737</v>
      </c>
      <c r="K6221" t="str">
        <f>IF(ISBLANK('Q 6'!C156),"",IF('Q 6'!C156="&lt;please select&gt;","",'Q 6'!C156))</f>
        <v/>
      </c>
    </row>
    <row r="6222" spans="1:11" x14ac:dyDescent="0.3">
      <c r="A6222" t="s">
        <v>1985</v>
      </c>
      <c r="B6222" t="s">
        <v>1987</v>
      </c>
      <c r="C6222">
        <v>25</v>
      </c>
      <c r="D6222" t="s">
        <v>1447</v>
      </c>
      <c r="E6222" t="s">
        <v>1988</v>
      </c>
      <c r="F6222" t="s">
        <v>1737</v>
      </c>
      <c r="K6222" t="str">
        <f>IF(ISBLANK('Q 6'!C157),"",IF('Q 6'!C157="&lt;please select&gt;","",'Q 6'!C157))</f>
        <v/>
      </c>
    </row>
    <row r="6223" spans="1:11" x14ac:dyDescent="0.3">
      <c r="A6223" t="s">
        <v>1985</v>
      </c>
      <c r="B6223" t="s">
        <v>1987</v>
      </c>
      <c r="C6223">
        <v>26</v>
      </c>
      <c r="D6223" t="s">
        <v>1447</v>
      </c>
      <c r="E6223" t="s">
        <v>1988</v>
      </c>
      <c r="F6223" t="s">
        <v>1737</v>
      </c>
      <c r="K6223" t="str">
        <f>IF(ISBLANK('Q 6'!C158),"",IF('Q 6'!C158="&lt;please select&gt;","",'Q 6'!C158))</f>
        <v/>
      </c>
    </row>
    <row r="6224" spans="1:11" x14ac:dyDescent="0.3">
      <c r="A6224" t="s">
        <v>1985</v>
      </c>
      <c r="B6224" t="s">
        <v>1987</v>
      </c>
      <c r="C6224">
        <v>27</v>
      </c>
      <c r="D6224" t="s">
        <v>1447</v>
      </c>
      <c r="E6224" t="s">
        <v>1988</v>
      </c>
      <c r="F6224" t="s">
        <v>1737</v>
      </c>
      <c r="K6224" t="str">
        <f>IF(ISBLANK('Q 6'!C159),"",IF('Q 6'!C159="&lt;please select&gt;","",'Q 6'!C159))</f>
        <v/>
      </c>
    </row>
    <row r="6225" spans="1:11" x14ac:dyDescent="0.3">
      <c r="A6225" t="s">
        <v>1985</v>
      </c>
      <c r="B6225" t="s">
        <v>1987</v>
      </c>
      <c r="C6225">
        <v>28</v>
      </c>
      <c r="D6225" t="s">
        <v>1447</v>
      </c>
      <c r="E6225" t="s">
        <v>1988</v>
      </c>
      <c r="F6225" t="s">
        <v>1737</v>
      </c>
      <c r="K6225" t="str">
        <f>IF(ISBLANK('Q 6'!C160),"",IF('Q 6'!C160="&lt;please select&gt;","",'Q 6'!C160))</f>
        <v/>
      </c>
    </row>
    <row r="6226" spans="1:11" x14ac:dyDescent="0.3">
      <c r="A6226" t="s">
        <v>1985</v>
      </c>
      <c r="B6226" t="s">
        <v>1987</v>
      </c>
      <c r="C6226">
        <v>29</v>
      </c>
      <c r="D6226" t="s">
        <v>1447</v>
      </c>
      <c r="E6226" t="s">
        <v>1988</v>
      </c>
      <c r="F6226" t="s">
        <v>1737</v>
      </c>
      <c r="K6226" t="str">
        <f>IF(ISBLANK('Q 6'!C161),"",IF('Q 6'!C161="&lt;please select&gt;","",'Q 6'!C161))</f>
        <v/>
      </c>
    </row>
    <row r="6227" spans="1:11" x14ac:dyDescent="0.3">
      <c r="A6227" t="s">
        <v>1985</v>
      </c>
      <c r="B6227" t="s">
        <v>1987</v>
      </c>
      <c r="C6227">
        <v>30</v>
      </c>
      <c r="D6227" t="s">
        <v>1447</v>
      </c>
      <c r="E6227" t="s">
        <v>1988</v>
      </c>
      <c r="F6227" t="s">
        <v>1737</v>
      </c>
      <c r="K6227" t="str">
        <f>IF(ISBLANK('Q 6'!C162),"",IF('Q 6'!C162="&lt;please select&gt;","",'Q 6'!C162))</f>
        <v/>
      </c>
    </row>
    <row r="6228" spans="1:11" x14ac:dyDescent="0.3">
      <c r="A6228" t="s">
        <v>1985</v>
      </c>
      <c r="B6228" t="s">
        <v>1987</v>
      </c>
      <c r="C6228">
        <v>31</v>
      </c>
      <c r="D6228" t="s">
        <v>1447</v>
      </c>
      <c r="E6228" t="s">
        <v>1988</v>
      </c>
      <c r="F6228" t="s">
        <v>1737</v>
      </c>
      <c r="K6228" t="str">
        <f>IF(ISBLANK('Q 6'!C163),"",IF('Q 6'!C163="&lt;please select&gt;","",'Q 6'!C163))</f>
        <v/>
      </c>
    </row>
    <row r="6229" spans="1:11" x14ac:dyDescent="0.3">
      <c r="A6229" t="s">
        <v>1985</v>
      </c>
      <c r="B6229" t="s">
        <v>1987</v>
      </c>
      <c r="C6229">
        <v>32</v>
      </c>
      <c r="D6229" t="s">
        <v>1447</v>
      </c>
      <c r="E6229" t="s">
        <v>1988</v>
      </c>
      <c r="F6229" t="s">
        <v>1737</v>
      </c>
      <c r="K6229" t="str">
        <f>IF(ISBLANK('Q 6'!C164),"",IF('Q 6'!C164="&lt;please select&gt;","",'Q 6'!C164))</f>
        <v/>
      </c>
    </row>
    <row r="6230" spans="1:11" x14ac:dyDescent="0.3">
      <c r="A6230" t="s">
        <v>1985</v>
      </c>
      <c r="B6230" t="s">
        <v>1987</v>
      </c>
      <c r="C6230">
        <v>33</v>
      </c>
      <c r="D6230" t="s">
        <v>1447</v>
      </c>
      <c r="E6230" t="s">
        <v>1988</v>
      </c>
      <c r="F6230" t="s">
        <v>1737</v>
      </c>
      <c r="K6230" t="str">
        <f>IF(ISBLANK('Q 6'!C165),"",IF('Q 6'!C165="&lt;please select&gt;","",'Q 6'!C165))</f>
        <v/>
      </c>
    </row>
    <row r="6231" spans="1:11" x14ac:dyDescent="0.3">
      <c r="A6231" t="s">
        <v>1985</v>
      </c>
      <c r="B6231" t="s">
        <v>1987</v>
      </c>
      <c r="C6231">
        <v>34</v>
      </c>
      <c r="D6231" t="s">
        <v>1447</v>
      </c>
      <c r="E6231" t="s">
        <v>1988</v>
      </c>
      <c r="F6231" t="s">
        <v>1737</v>
      </c>
      <c r="K6231" t="str">
        <f>IF(ISBLANK('Q 6'!C166),"",IF('Q 6'!C166="&lt;please select&gt;","",'Q 6'!C166))</f>
        <v/>
      </c>
    </row>
    <row r="6232" spans="1:11" x14ac:dyDescent="0.3">
      <c r="A6232" t="s">
        <v>1985</v>
      </c>
      <c r="B6232" t="s">
        <v>1987</v>
      </c>
      <c r="C6232">
        <v>35</v>
      </c>
      <c r="D6232" t="s">
        <v>1447</v>
      </c>
      <c r="E6232" t="s">
        <v>1988</v>
      </c>
      <c r="F6232" t="s">
        <v>1737</v>
      </c>
      <c r="K6232" t="str">
        <f>IF(ISBLANK('Q 6'!C167),"",IF('Q 6'!C167="&lt;please select&gt;","",'Q 6'!C167))</f>
        <v/>
      </c>
    </row>
    <row r="6233" spans="1:11" x14ac:dyDescent="0.3">
      <c r="A6233" t="s">
        <v>1985</v>
      </c>
      <c r="B6233" t="s">
        <v>1987</v>
      </c>
      <c r="C6233">
        <v>36</v>
      </c>
      <c r="D6233" t="s">
        <v>1447</v>
      </c>
      <c r="E6233" t="s">
        <v>1988</v>
      </c>
      <c r="F6233" t="s">
        <v>1737</v>
      </c>
      <c r="K6233" t="str">
        <f>IF(ISBLANK('Q 6'!C168),"",IF('Q 6'!C168="&lt;please select&gt;","",'Q 6'!C168))</f>
        <v/>
      </c>
    </row>
    <row r="6234" spans="1:11" x14ac:dyDescent="0.3">
      <c r="A6234" t="s">
        <v>1985</v>
      </c>
      <c r="B6234" t="s">
        <v>1987</v>
      </c>
      <c r="C6234">
        <v>37</v>
      </c>
      <c r="D6234" t="s">
        <v>1447</v>
      </c>
      <c r="E6234" t="s">
        <v>1988</v>
      </c>
      <c r="F6234" t="s">
        <v>1737</v>
      </c>
      <c r="K6234" t="str">
        <f>IF(ISBLANK('Q 6'!C169),"",IF('Q 6'!C169="&lt;please select&gt;","",'Q 6'!C169))</f>
        <v/>
      </c>
    </row>
    <row r="6235" spans="1:11" x14ac:dyDescent="0.3">
      <c r="A6235" t="s">
        <v>1985</v>
      </c>
      <c r="B6235" t="s">
        <v>1987</v>
      </c>
      <c r="C6235">
        <v>38</v>
      </c>
      <c r="D6235" t="s">
        <v>1447</v>
      </c>
      <c r="E6235" t="s">
        <v>1988</v>
      </c>
      <c r="F6235" t="s">
        <v>1737</v>
      </c>
      <c r="K6235" t="str">
        <f>IF(ISBLANK('Q 6'!C170),"",IF('Q 6'!C170="&lt;please select&gt;","",'Q 6'!C170))</f>
        <v/>
      </c>
    </row>
    <row r="6236" spans="1:11" x14ac:dyDescent="0.3">
      <c r="A6236" t="s">
        <v>1985</v>
      </c>
      <c r="B6236" t="s">
        <v>1987</v>
      </c>
      <c r="C6236">
        <v>39</v>
      </c>
      <c r="D6236" t="s">
        <v>1447</v>
      </c>
      <c r="E6236" t="s">
        <v>1988</v>
      </c>
      <c r="F6236" t="s">
        <v>1737</v>
      </c>
      <c r="K6236" t="str">
        <f>IF(ISBLANK('Q 6'!C171),"",IF('Q 6'!C171="&lt;please select&gt;","",'Q 6'!C171))</f>
        <v/>
      </c>
    </row>
    <row r="6237" spans="1:11" x14ac:dyDescent="0.3">
      <c r="A6237" t="s">
        <v>1985</v>
      </c>
      <c r="B6237" t="s">
        <v>1987</v>
      </c>
      <c r="C6237">
        <v>40</v>
      </c>
      <c r="D6237" t="s">
        <v>1447</v>
      </c>
      <c r="E6237" t="s">
        <v>1988</v>
      </c>
      <c r="F6237" t="s">
        <v>1737</v>
      </c>
      <c r="K6237" t="str">
        <f>IF(ISBLANK('Q 6'!C172),"",IF('Q 6'!C172="&lt;please select&gt;","",'Q 6'!C172))</f>
        <v/>
      </c>
    </row>
    <row r="6238" spans="1:11" x14ac:dyDescent="0.3">
      <c r="A6238" t="s">
        <v>1985</v>
      </c>
      <c r="B6238" t="s">
        <v>1987</v>
      </c>
      <c r="C6238">
        <v>41</v>
      </c>
      <c r="D6238" t="s">
        <v>1447</v>
      </c>
      <c r="E6238" t="s">
        <v>1988</v>
      </c>
      <c r="F6238" t="s">
        <v>1737</v>
      </c>
      <c r="K6238" t="str">
        <f>IF(ISBLANK('Q 6'!C173),"",IF('Q 6'!C173="&lt;please select&gt;","",'Q 6'!C173))</f>
        <v/>
      </c>
    </row>
    <row r="6239" spans="1:11" x14ac:dyDescent="0.3">
      <c r="A6239" t="s">
        <v>1985</v>
      </c>
      <c r="B6239" t="s">
        <v>1987</v>
      </c>
      <c r="C6239">
        <v>42</v>
      </c>
      <c r="D6239" t="s">
        <v>1447</v>
      </c>
      <c r="E6239" t="s">
        <v>1988</v>
      </c>
      <c r="F6239" t="s">
        <v>1737</v>
      </c>
      <c r="K6239" t="str">
        <f>IF(ISBLANK('Q 6'!C174),"",IF('Q 6'!C174="&lt;please select&gt;","",'Q 6'!C174))</f>
        <v/>
      </c>
    </row>
    <row r="6240" spans="1:11" x14ac:dyDescent="0.3">
      <c r="A6240" t="s">
        <v>1985</v>
      </c>
      <c r="B6240" t="s">
        <v>1987</v>
      </c>
      <c r="C6240">
        <v>43</v>
      </c>
      <c r="D6240" t="s">
        <v>1447</v>
      </c>
      <c r="E6240" t="s">
        <v>1988</v>
      </c>
      <c r="F6240" t="s">
        <v>1737</v>
      </c>
      <c r="K6240" t="str">
        <f>IF(ISBLANK('Q 6'!C175),"",IF('Q 6'!C175="&lt;please select&gt;","",'Q 6'!C175))</f>
        <v/>
      </c>
    </row>
    <row r="6241" spans="1:11" x14ac:dyDescent="0.3">
      <c r="A6241" t="s">
        <v>1985</v>
      </c>
      <c r="B6241" t="s">
        <v>1987</v>
      </c>
      <c r="C6241">
        <v>44</v>
      </c>
      <c r="D6241" t="s">
        <v>1447</v>
      </c>
      <c r="E6241" t="s">
        <v>1988</v>
      </c>
      <c r="F6241" t="s">
        <v>1737</v>
      </c>
      <c r="K6241" t="str">
        <f>IF(ISBLANK('Q 6'!C176),"",IF('Q 6'!C176="&lt;please select&gt;","",'Q 6'!C176))</f>
        <v/>
      </c>
    </row>
    <row r="6242" spans="1:11" x14ac:dyDescent="0.3">
      <c r="A6242" t="s">
        <v>1985</v>
      </c>
      <c r="B6242" t="s">
        <v>1987</v>
      </c>
      <c r="C6242">
        <v>45</v>
      </c>
      <c r="D6242" t="s">
        <v>1447</v>
      </c>
      <c r="E6242" t="s">
        <v>1988</v>
      </c>
      <c r="F6242" t="s">
        <v>1737</v>
      </c>
      <c r="K6242" t="str">
        <f>IF(ISBLANK('Q 6'!C177),"",IF('Q 6'!C177="&lt;please select&gt;","",'Q 6'!C177))</f>
        <v/>
      </c>
    </row>
    <row r="6243" spans="1:11" x14ac:dyDescent="0.3">
      <c r="A6243" t="s">
        <v>1985</v>
      </c>
      <c r="B6243" t="s">
        <v>1987</v>
      </c>
      <c r="C6243">
        <v>46</v>
      </c>
      <c r="D6243" t="s">
        <v>1447</v>
      </c>
      <c r="E6243" t="s">
        <v>1988</v>
      </c>
      <c r="F6243" t="s">
        <v>1737</v>
      </c>
      <c r="K6243" t="str">
        <f>IF(ISBLANK('Q 6'!C178),"",IF('Q 6'!C178="&lt;please select&gt;","",'Q 6'!C178))</f>
        <v/>
      </c>
    </row>
    <row r="6244" spans="1:11" x14ac:dyDescent="0.3">
      <c r="A6244" t="s">
        <v>1985</v>
      </c>
      <c r="B6244" t="s">
        <v>1987</v>
      </c>
      <c r="C6244">
        <v>47</v>
      </c>
      <c r="D6244" t="s">
        <v>1447</v>
      </c>
      <c r="E6244" t="s">
        <v>1988</v>
      </c>
      <c r="F6244" t="s">
        <v>1737</v>
      </c>
      <c r="K6244" t="str">
        <f>IF(ISBLANK('Q 6'!C179),"",IF('Q 6'!C179="&lt;please select&gt;","",'Q 6'!C179))</f>
        <v/>
      </c>
    </row>
    <row r="6245" spans="1:11" x14ac:dyDescent="0.3">
      <c r="A6245" t="s">
        <v>1985</v>
      </c>
      <c r="B6245" t="s">
        <v>1987</v>
      </c>
      <c r="C6245">
        <v>48</v>
      </c>
      <c r="D6245" t="s">
        <v>1447</v>
      </c>
      <c r="E6245" t="s">
        <v>1988</v>
      </c>
      <c r="F6245" t="s">
        <v>1737</v>
      </c>
      <c r="K6245" t="str">
        <f>IF(ISBLANK('Q 6'!C180),"",IF('Q 6'!C180="&lt;please select&gt;","",'Q 6'!C180))</f>
        <v/>
      </c>
    </row>
    <row r="6246" spans="1:11" x14ac:dyDescent="0.3">
      <c r="A6246" t="s">
        <v>1985</v>
      </c>
      <c r="B6246" t="s">
        <v>1987</v>
      </c>
      <c r="C6246">
        <v>49</v>
      </c>
      <c r="D6246" t="s">
        <v>1447</v>
      </c>
      <c r="E6246" t="s">
        <v>1988</v>
      </c>
      <c r="F6246" t="s">
        <v>1737</v>
      </c>
      <c r="K6246" t="str">
        <f>IF(ISBLANK('Q 6'!C181),"",IF('Q 6'!C181="&lt;please select&gt;","",'Q 6'!C181))</f>
        <v/>
      </c>
    </row>
    <row r="6247" spans="1:11" x14ac:dyDescent="0.3">
      <c r="A6247" t="s">
        <v>1985</v>
      </c>
      <c r="B6247" t="s">
        <v>1987</v>
      </c>
      <c r="C6247">
        <v>50</v>
      </c>
      <c r="D6247" t="s">
        <v>1447</v>
      </c>
      <c r="E6247" t="s">
        <v>1988</v>
      </c>
      <c r="F6247" t="s">
        <v>1737</v>
      </c>
      <c r="K6247" t="str">
        <f>IF(ISBLANK('Q 6'!C182),"",IF('Q 6'!C182="&lt;please select&gt;","",'Q 6'!C182))</f>
        <v/>
      </c>
    </row>
    <row r="6248" spans="1:11" x14ac:dyDescent="0.3">
      <c r="A6248" t="s">
        <v>1985</v>
      </c>
      <c r="B6248" t="s">
        <v>1987</v>
      </c>
      <c r="C6248">
        <v>51</v>
      </c>
      <c r="D6248" t="s">
        <v>1447</v>
      </c>
      <c r="E6248" t="s">
        <v>1988</v>
      </c>
      <c r="F6248" t="s">
        <v>1737</v>
      </c>
      <c r="K6248" t="str">
        <f>IF(ISBLANK('Q 6'!C183),"",IF('Q 6'!C183="&lt;please select&gt;","",'Q 6'!C183))</f>
        <v/>
      </c>
    </row>
    <row r="6249" spans="1:11" x14ac:dyDescent="0.3">
      <c r="A6249" t="s">
        <v>1985</v>
      </c>
      <c r="B6249" t="s">
        <v>1987</v>
      </c>
      <c r="C6249">
        <v>52</v>
      </c>
      <c r="D6249" t="s">
        <v>1447</v>
      </c>
      <c r="E6249" t="s">
        <v>1988</v>
      </c>
      <c r="F6249" t="s">
        <v>1737</v>
      </c>
      <c r="K6249" t="str">
        <f>IF(ISBLANK('Q 6'!C184),"",IF('Q 6'!C184="&lt;please select&gt;","",'Q 6'!C184))</f>
        <v/>
      </c>
    </row>
    <row r="6250" spans="1:11" x14ac:dyDescent="0.3">
      <c r="A6250" t="s">
        <v>1985</v>
      </c>
      <c r="B6250" t="s">
        <v>1987</v>
      </c>
      <c r="C6250">
        <v>53</v>
      </c>
      <c r="D6250" t="s">
        <v>1447</v>
      </c>
      <c r="E6250" t="s">
        <v>1988</v>
      </c>
      <c r="F6250" t="s">
        <v>1737</v>
      </c>
      <c r="K6250" t="str">
        <f>IF(ISBLANK('Q 6'!C185),"",IF('Q 6'!C185="&lt;please select&gt;","",'Q 6'!C185))</f>
        <v/>
      </c>
    </row>
    <row r="6251" spans="1:11" x14ac:dyDescent="0.3">
      <c r="A6251" t="s">
        <v>1985</v>
      </c>
      <c r="B6251" t="s">
        <v>1987</v>
      </c>
      <c r="C6251">
        <v>54</v>
      </c>
      <c r="D6251" t="s">
        <v>1447</v>
      </c>
      <c r="E6251" t="s">
        <v>1988</v>
      </c>
      <c r="F6251" t="s">
        <v>1737</v>
      </c>
      <c r="K6251" t="str">
        <f>IF(ISBLANK('Q 6'!C186),"",IF('Q 6'!C186="&lt;please select&gt;","",'Q 6'!C186))</f>
        <v/>
      </c>
    </row>
    <row r="6252" spans="1:11" x14ac:dyDescent="0.3">
      <c r="A6252" t="s">
        <v>1985</v>
      </c>
      <c r="B6252" t="s">
        <v>1987</v>
      </c>
      <c r="C6252">
        <v>55</v>
      </c>
      <c r="D6252" t="s">
        <v>1447</v>
      </c>
      <c r="E6252" t="s">
        <v>1988</v>
      </c>
      <c r="F6252" t="s">
        <v>1737</v>
      </c>
      <c r="K6252" t="str">
        <f>IF(ISBLANK('Q 6'!C187),"",IF('Q 6'!C187="&lt;please select&gt;","",'Q 6'!C187))</f>
        <v/>
      </c>
    </row>
    <row r="6253" spans="1:11" x14ac:dyDescent="0.3">
      <c r="A6253" t="s">
        <v>1985</v>
      </c>
      <c r="B6253" t="s">
        <v>1987</v>
      </c>
      <c r="C6253">
        <v>56</v>
      </c>
      <c r="D6253" t="s">
        <v>1447</v>
      </c>
      <c r="E6253" t="s">
        <v>1988</v>
      </c>
      <c r="F6253" t="s">
        <v>1737</v>
      </c>
      <c r="K6253" t="str">
        <f>IF(ISBLANK('Q 6'!C188),"",IF('Q 6'!C188="&lt;please select&gt;","",'Q 6'!C188))</f>
        <v/>
      </c>
    </row>
    <row r="6254" spans="1:11" x14ac:dyDescent="0.3">
      <c r="A6254" t="s">
        <v>1985</v>
      </c>
      <c r="B6254" t="s">
        <v>1987</v>
      </c>
      <c r="C6254">
        <v>57</v>
      </c>
      <c r="D6254" t="s">
        <v>1447</v>
      </c>
      <c r="E6254" t="s">
        <v>1988</v>
      </c>
      <c r="F6254" t="s">
        <v>1737</v>
      </c>
      <c r="K6254" t="str">
        <f>IF(ISBLANK('Q 6'!C189),"",IF('Q 6'!C189="&lt;please select&gt;","",'Q 6'!C189))</f>
        <v/>
      </c>
    </row>
    <row r="6255" spans="1:11" x14ac:dyDescent="0.3">
      <c r="A6255" t="s">
        <v>1985</v>
      </c>
      <c r="B6255" t="s">
        <v>1987</v>
      </c>
      <c r="C6255">
        <v>58</v>
      </c>
      <c r="D6255" t="s">
        <v>1447</v>
      </c>
      <c r="E6255" t="s">
        <v>1988</v>
      </c>
      <c r="F6255" t="s">
        <v>1737</v>
      </c>
      <c r="K6255" t="str">
        <f>IF(ISBLANK('Q 6'!C190),"",IF('Q 6'!C190="&lt;please select&gt;","",'Q 6'!C190))</f>
        <v/>
      </c>
    </row>
    <row r="6256" spans="1:11" x14ac:dyDescent="0.3">
      <c r="A6256" t="s">
        <v>1985</v>
      </c>
      <c r="B6256" t="s">
        <v>1987</v>
      </c>
      <c r="C6256">
        <v>59</v>
      </c>
      <c r="D6256" t="s">
        <v>1447</v>
      </c>
      <c r="E6256" t="s">
        <v>1988</v>
      </c>
      <c r="F6256" t="s">
        <v>1737</v>
      </c>
      <c r="K6256" t="str">
        <f>IF(ISBLANK('Q 6'!C191),"",IF('Q 6'!C191="&lt;please select&gt;","",'Q 6'!C191))</f>
        <v/>
      </c>
    </row>
    <row r="6257" spans="1:11" x14ac:dyDescent="0.3">
      <c r="A6257" t="s">
        <v>1985</v>
      </c>
      <c r="B6257" t="s">
        <v>1987</v>
      </c>
      <c r="C6257">
        <v>60</v>
      </c>
      <c r="D6257" t="s">
        <v>1447</v>
      </c>
      <c r="E6257" t="s">
        <v>1988</v>
      </c>
      <c r="F6257" t="s">
        <v>1737</v>
      </c>
      <c r="K6257" t="str">
        <f>IF(ISBLANK('Q 6'!C192),"",IF('Q 6'!C192="&lt;please select&gt;","",'Q 6'!C192))</f>
        <v/>
      </c>
    </row>
    <row r="6258" spans="1:11" x14ac:dyDescent="0.3">
      <c r="A6258" t="s">
        <v>1985</v>
      </c>
      <c r="B6258" t="s">
        <v>1987</v>
      </c>
      <c r="C6258">
        <v>61</v>
      </c>
      <c r="D6258" t="s">
        <v>1447</v>
      </c>
      <c r="E6258" t="s">
        <v>1988</v>
      </c>
      <c r="F6258" t="s">
        <v>1737</v>
      </c>
      <c r="K6258" t="str">
        <f>IF(ISBLANK('Q 6'!C193),"",IF('Q 6'!C193="&lt;please select&gt;","",'Q 6'!C193))</f>
        <v/>
      </c>
    </row>
    <row r="6259" spans="1:11" x14ac:dyDescent="0.3">
      <c r="A6259" t="s">
        <v>1985</v>
      </c>
      <c r="B6259" t="s">
        <v>1987</v>
      </c>
      <c r="C6259">
        <v>62</v>
      </c>
      <c r="D6259" t="s">
        <v>1447</v>
      </c>
      <c r="E6259" t="s">
        <v>1988</v>
      </c>
      <c r="F6259" t="s">
        <v>1737</v>
      </c>
      <c r="K6259" t="str">
        <f>IF(ISBLANK('Q 6'!C194),"",IF('Q 6'!C194="&lt;please select&gt;","",'Q 6'!C194))</f>
        <v/>
      </c>
    </row>
    <row r="6260" spans="1:11" x14ac:dyDescent="0.3">
      <c r="A6260" t="s">
        <v>1985</v>
      </c>
      <c r="B6260" t="s">
        <v>1987</v>
      </c>
      <c r="C6260">
        <v>63</v>
      </c>
      <c r="D6260" t="s">
        <v>1447</v>
      </c>
      <c r="E6260" t="s">
        <v>1988</v>
      </c>
      <c r="F6260" t="s">
        <v>1737</v>
      </c>
      <c r="K6260" t="str">
        <f>IF(ISBLANK('Q 6'!C195),"",IF('Q 6'!C195="&lt;please select&gt;","",'Q 6'!C195))</f>
        <v/>
      </c>
    </row>
    <row r="6261" spans="1:11" x14ac:dyDescent="0.3">
      <c r="A6261" t="s">
        <v>1985</v>
      </c>
      <c r="B6261" t="s">
        <v>1987</v>
      </c>
      <c r="C6261">
        <v>64</v>
      </c>
      <c r="D6261" t="s">
        <v>1447</v>
      </c>
      <c r="E6261" t="s">
        <v>1988</v>
      </c>
      <c r="F6261" t="s">
        <v>1737</v>
      </c>
      <c r="K6261" t="str">
        <f>IF(ISBLANK('Q 6'!C196),"",IF('Q 6'!C196="&lt;please select&gt;","",'Q 6'!C196))</f>
        <v/>
      </c>
    </row>
    <row r="6262" spans="1:11" x14ac:dyDescent="0.3">
      <c r="A6262" t="s">
        <v>1985</v>
      </c>
      <c r="B6262" t="s">
        <v>1987</v>
      </c>
      <c r="C6262">
        <v>65</v>
      </c>
      <c r="D6262" t="s">
        <v>1447</v>
      </c>
      <c r="E6262" t="s">
        <v>1988</v>
      </c>
      <c r="F6262" t="s">
        <v>1737</v>
      </c>
      <c r="K6262" t="str">
        <f>IF(ISBLANK('Q 6'!C197),"",IF('Q 6'!C197="&lt;please select&gt;","",'Q 6'!C197))</f>
        <v/>
      </c>
    </row>
    <row r="6263" spans="1:11" x14ac:dyDescent="0.3">
      <c r="A6263" t="s">
        <v>1985</v>
      </c>
      <c r="B6263" t="s">
        <v>1987</v>
      </c>
      <c r="C6263">
        <v>66</v>
      </c>
      <c r="D6263" t="s">
        <v>1447</v>
      </c>
      <c r="E6263" t="s">
        <v>1988</v>
      </c>
      <c r="F6263" t="s">
        <v>1737</v>
      </c>
      <c r="K6263" t="str">
        <f>IF(ISBLANK('Q 6'!C198),"",IF('Q 6'!C198="&lt;please select&gt;","",'Q 6'!C198))</f>
        <v/>
      </c>
    </row>
    <row r="6264" spans="1:11" x14ac:dyDescent="0.3">
      <c r="A6264" t="s">
        <v>1985</v>
      </c>
      <c r="B6264" t="s">
        <v>1987</v>
      </c>
      <c r="C6264">
        <v>67</v>
      </c>
      <c r="D6264" t="s">
        <v>1447</v>
      </c>
      <c r="E6264" t="s">
        <v>1988</v>
      </c>
      <c r="F6264" t="s">
        <v>1737</v>
      </c>
      <c r="K6264" t="str">
        <f>IF(ISBLANK('Q 6'!C199),"",IF('Q 6'!C199="&lt;please select&gt;","",'Q 6'!C199))</f>
        <v/>
      </c>
    </row>
    <row r="6265" spans="1:11" x14ac:dyDescent="0.3">
      <c r="A6265" t="s">
        <v>1985</v>
      </c>
      <c r="B6265" t="s">
        <v>1987</v>
      </c>
      <c r="C6265">
        <v>68</v>
      </c>
      <c r="D6265" t="s">
        <v>1447</v>
      </c>
      <c r="E6265" t="s">
        <v>1988</v>
      </c>
      <c r="F6265" t="s">
        <v>1737</v>
      </c>
      <c r="K6265" t="str">
        <f>IF(ISBLANK('Q 6'!C200),"",IF('Q 6'!C200="&lt;please select&gt;","",'Q 6'!C200))</f>
        <v/>
      </c>
    </row>
    <row r="6266" spans="1:11" x14ac:dyDescent="0.3">
      <c r="A6266" t="s">
        <v>1985</v>
      </c>
      <c r="B6266" t="s">
        <v>1987</v>
      </c>
      <c r="C6266">
        <v>69</v>
      </c>
      <c r="D6266" t="s">
        <v>1447</v>
      </c>
      <c r="E6266" t="s">
        <v>1988</v>
      </c>
      <c r="F6266" t="s">
        <v>1737</v>
      </c>
      <c r="K6266" t="str">
        <f>IF(ISBLANK('Q 6'!C201),"",IF('Q 6'!C201="&lt;please select&gt;","",'Q 6'!C201))</f>
        <v/>
      </c>
    </row>
    <row r="6267" spans="1:11" x14ac:dyDescent="0.3">
      <c r="A6267" t="s">
        <v>1985</v>
      </c>
      <c r="B6267" t="s">
        <v>1987</v>
      </c>
      <c r="C6267">
        <v>70</v>
      </c>
      <c r="D6267" t="s">
        <v>1447</v>
      </c>
      <c r="E6267" t="s">
        <v>1988</v>
      </c>
      <c r="F6267" t="s">
        <v>1737</v>
      </c>
      <c r="K6267" t="str">
        <f>IF(ISBLANK('Q 6'!C202),"",IF('Q 6'!C202="&lt;please select&gt;","",'Q 6'!C202))</f>
        <v/>
      </c>
    </row>
    <row r="6268" spans="1:11" x14ac:dyDescent="0.3">
      <c r="A6268" t="s">
        <v>1985</v>
      </c>
      <c r="B6268" t="s">
        <v>1987</v>
      </c>
      <c r="C6268">
        <v>71</v>
      </c>
      <c r="D6268" t="s">
        <v>1447</v>
      </c>
      <c r="E6268" t="s">
        <v>1988</v>
      </c>
      <c r="F6268" t="s">
        <v>1737</v>
      </c>
      <c r="K6268" t="str">
        <f>IF(ISBLANK('Q 6'!C203),"",IF('Q 6'!C203="&lt;please select&gt;","",'Q 6'!C203))</f>
        <v/>
      </c>
    </row>
    <row r="6269" spans="1:11" x14ac:dyDescent="0.3">
      <c r="A6269" t="s">
        <v>1985</v>
      </c>
      <c r="B6269" t="s">
        <v>1987</v>
      </c>
      <c r="C6269">
        <v>72</v>
      </c>
      <c r="D6269" t="s">
        <v>1447</v>
      </c>
      <c r="E6269" t="s">
        <v>1988</v>
      </c>
      <c r="F6269" t="s">
        <v>1737</v>
      </c>
      <c r="K6269" t="str">
        <f>IF(ISBLANK('Q 6'!C204),"",IF('Q 6'!C204="&lt;please select&gt;","",'Q 6'!C204))</f>
        <v/>
      </c>
    </row>
    <row r="6270" spans="1:11" x14ac:dyDescent="0.3">
      <c r="A6270" t="s">
        <v>1985</v>
      </c>
      <c r="B6270" t="s">
        <v>1987</v>
      </c>
      <c r="C6270">
        <v>73</v>
      </c>
      <c r="D6270" t="s">
        <v>1447</v>
      </c>
      <c r="E6270" t="s">
        <v>1988</v>
      </c>
      <c r="F6270" t="s">
        <v>1737</v>
      </c>
      <c r="K6270" t="str">
        <f>IF(ISBLANK('Q 6'!C205),"",IF('Q 6'!C205="&lt;please select&gt;","",'Q 6'!C205))</f>
        <v/>
      </c>
    </row>
    <row r="6271" spans="1:11" x14ac:dyDescent="0.3">
      <c r="A6271" t="s">
        <v>1985</v>
      </c>
      <c r="B6271" t="s">
        <v>1987</v>
      </c>
      <c r="C6271">
        <v>74</v>
      </c>
      <c r="D6271" t="s">
        <v>1447</v>
      </c>
      <c r="E6271" t="s">
        <v>1988</v>
      </c>
      <c r="F6271" t="s">
        <v>1737</v>
      </c>
      <c r="K6271" t="str">
        <f>IF(ISBLANK('Q 6'!C206),"",IF('Q 6'!C206="&lt;please select&gt;","",'Q 6'!C206))</f>
        <v/>
      </c>
    </row>
    <row r="6272" spans="1:11" x14ac:dyDescent="0.3">
      <c r="A6272" t="s">
        <v>1985</v>
      </c>
      <c r="B6272" t="s">
        <v>1987</v>
      </c>
      <c r="C6272">
        <v>75</v>
      </c>
      <c r="D6272" t="s">
        <v>1447</v>
      </c>
      <c r="E6272" t="s">
        <v>1988</v>
      </c>
      <c r="F6272" t="s">
        <v>1737</v>
      </c>
      <c r="K6272" t="str">
        <f>IF(ISBLANK('Q 6'!C207),"",IF('Q 6'!C207="&lt;please select&gt;","",'Q 6'!C207))</f>
        <v/>
      </c>
    </row>
    <row r="6273" spans="1:11" x14ac:dyDescent="0.3">
      <c r="A6273" t="s">
        <v>1985</v>
      </c>
      <c r="B6273" t="s">
        <v>1987</v>
      </c>
      <c r="C6273">
        <v>76</v>
      </c>
      <c r="D6273" t="s">
        <v>1447</v>
      </c>
      <c r="E6273" t="s">
        <v>1988</v>
      </c>
      <c r="F6273" t="s">
        <v>1737</v>
      </c>
      <c r="K6273" t="str">
        <f>IF(ISBLANK('Q 6'!C208),"",IF('Q 6'!C208="&lt;please select&gt;","",'Q 6'!C208))</f>
        <v/>
      </c>
    </row>
    <row r="6274" spans="1:11" x14ac:dyDescent="0.3">
      <c r="A6274" t="s">
        <v>1985</v>
      </c>
      <c r="B6274" t="s">
        <v>1987</v>
      </c>
      <c r="C6274">
        <v>77</v>
      </c>
      <c r="D6274" t="s">
        <v>1447</v>
      </c>
      <c r="E6274" t="s">
        <v>1988</v>
      </c>
      <c r="F6274" t="s">
        <v>1737</v>
      </c>
      <c r="K6274" t="str">
        <f>IF(ISBLANK('Q 6'!C209),"",IF('Q 6'!C209="&lt;please select&gt;","",'Q 6'!C209))</f>
        <v/>
      </c>
    </row>
    <row r="6275" spans="1:11" x14ac:dyDescent="0.3">
      <c r="A6275" t="s">
        <v>1985</v>
      </c>
      <c r="B6275" t="s">
        <v>1987</v>
      </c>
      <c r="C6275">
        <v>78</v>
      </c>
      <c r="D6275" t="s">
        <v>1447</v>
      </c>
      <c r="E6275" t="s">
        <v>1988</v>
      </c>
      <c r="F6275" t="s">
        <v>1737</v>
      </c>
      <c r="K6275" t="str">
        <f>IF(ISBLANK('Q 6'!C210),"",IF('Q 6'!C210="&lt;please select&gt;","",'Q 6'!C210))</f>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
      </c>
    </row>
    <row r="6289" spans="1:11" x14ac:dyDescent="0.3">
      <c r="A6289" t="s">
        <v>1985</v>
      </c>
      <c r="B6289" t="s">
        <v>1987</v>
      </c>
      <c r="C6289">
        <v>2</v>
      </c>
      <c r="D6289" t="s">
        <v>1447</v>
      </c>
      <c r="E6289" t="s">
        <v>1989</v>
      </c>
      <c r="F6289" t="s">
        <v>1737</v>
      </c>
      <c r="K6289" t="str">
        <f>IF(ISBLANK('Q 6'!E134),"",IF('Q 6'!E134="&lt;please select&gt;","",'Q 6'!E134))</f>
        <v/>
      </c>
    </row>
    <row r="6290" spans="1:11" x14ac:dyDescent="0.3">
      <c r="A6290" t="s">
        <v>1985</v>
      </c>
      <c r="B6290" t="s">
        <v>1987</v>
      </c>
      <c r="C6290">
        <v>3</v>
      </c>
      <c r="D6290" t="s">
        <v>1447</v>
      </c>
      <c r="E6290" t="s">
        <v>1989</v>
      </c>
      <c r="F6290" t="s">
        <v>1737</v>
      </c>
      <c r="K6290" t="str">
        <f>IF(ISBLANK('Q 6'!E135),"",IF('Q 6'!E135="&lt;please select&gt;","",'Q 6'!E135))</f>
        <v/>
      </c>
    </row>
    <row r="6291" spans="1:11" x14ac:dyDescent="0.3">
      <c r="A6291" t="s">
        <v>1985</v>
      </c>
      <c r="B6291" t="s">
        <v>1987</v>
      </c>
      <c r="C6291">
        <v>4</v>
      </c>
      <c r="D6291" t="s">
        <v>1447</v>
      </c>
      <c r="E6291" t="s">
        <v>1989</v>
      </c>
      <c r="F6291" t="s">
        <v>1737</v>
      </c>
      <c r="K6291" t="str">
        <f>IF(ISBLANK('Q 6'!E136),"",IF('Q 6'!E136="&lt;please select&gt;","",'Q 6'!E136))</f>
        <v/>
      </c>
    </row>
    <row r="6292" spans="1:11" x14ac:dyDescent="0.3">
      <c r="A6292" t="s">
        <v>1985</v>
      </c>
      <c r="B6292" t="s">
        <v>1987</v>
      </c>
      <c r="C6292">
        <v>5</v>
      </c>
      <c r="D6292" t="s">
        <v>1447</v>
      </c>
      <c r="E6292" t="s">
        <v>1989</v>
      </c>
      <c r="F6292" t="s">
        <v>1737</v>
      </c>
      <c r="K6292" t="str">
        <f>IF(ISBLANK('Q 6'!E137),"",IF('Q 6'!E137="&lt;please select&gt;","",'Q 6'!E137))</f>
        <v/>
      </c>
    </row>
    <row r="6293" spans="1:11" x14ac:dyDescent="0.3">
      <c r="A6293" t="s">
        <v>1985</v>
      </c>
      <c r="B6293" t="s">
        <v>1987</v>
      </c>
      <c r="C6293">
        <v>6</v>
      </c>
      <c r="D6293" t="s">
        <v>1447</v>
      </c>
      <c r="E6293" t="s">
        <v>1989</v>
      </c>
      <c r="F6293" t="s">
        <v>1737</v>
      </c>
      <c r="K6293" t="str">
        <f>IF(ISBLANK('Q 6'!E138),"",IF('Q 6'!E138="&lt;please select&gt;","",'Q 6'!E138))</f>
        <v/>
      </c>
    </row>
    <row r="6294" spans="1:11" x14ac:dyDescent="0.3">
      <c r="A6294" t="s">
        <v>1985</v>
      </c>
      <c r="B6294" t="s">
        <v>1987</v>
      </c>
      <c r="C6294">
        <v>7</v>
      </c>
      <c r="D6294" t="s">
        <v>1447</v>
      </c>
      <c r="E6294" t="s">
        <v>1989</v>
      </c>
      <c r="F6294" t="s">
        <v>1737</v>
      </c>
      <c r="K6294" t="str">
        <f>IF(ISBLANK('Q 6'!E139),"",IF('Q 6'!E139="&lt;please select&gt;","",'Q 6'!E139))</f>
        <v/>
      </c>
    </row>
    <row r="6295" spans="1:11" x14ac:dyDescent="0.3">
      <c r="A6295" t="s">
        <v>1985</v>
      </c>
      <c r="B6295" t="s">
        <v>1987</v>
      </c>
      <c r="C6295">
        <v>8</v>
      </c>
      <c r="D6295" t="s">
        <v>1447</v>
      </c>
      <c r="E6295" t="s">
        <v>1989</v>
      </c>
      <c r="F6295" t="s">
        <v>1737</v>
      </c>
      <c r="K6295" t="str">
        <f>IF(ISBLANK('Q 6'!E140),"",IF('Q 6'!E140="&lt;please select&gt;","",'Q 6'!E140))</f>
        <v/>
      </c>
    </row>
    <row r="6296" spans="1:11" x14ac:dyDescent="0.3">
      <c r="A6296" t="s">
        <v>1985</v>
      </c>
      <c r="B6296" t="s">
        <v>1987</v>
      </c>
      <c r="C6296">
        <v>9</v>
      </c>
      <c r="D6296" t="s">
        <v>1447</v>
      </c>
      <c r="E6296" t="s">
        <v>1989</v>
      </c>
      <c r="F6296" t="s">
        <v>1737</v>
      </c>
      <c r="K6296" t="str">
        <f>IF(ISBLANK('Q 6'!E141),"",IF('Q 6'!E141="&lt;please select&gt;","",'Q 6'!E141))</f>
        <v/>
      </c>
    </row>
    <row r="6297" spans="1:11" x14ac:dyDescent="0.3">
      <c r="A6297" t="s">
        <v>1985</v>
      </c>
      <c r="B6297" t="s">
        <v>1987</v>
      </c>
      <c r="C6297">
        <v>10</v>
      </c>
      <c r="D6297" t="s">
        <v>1447</v>
      </c>
      <c r="E6297" t="s">
        <v>1989</v>
      </c>
      <c r="F6297" t="s">
        <v>1737</v>
      </c>
      <c r="K6297" t="str">
        <f>IF(ISBLANK('Q 6'!E142),"",IF('Q 6'!E142="&lt;please select&gt;","",'Q 6'!E142))</f>
        <v/>
      </c>
    </row>
    <row r="6298" spans="1:11" x14ac:dyDescent="0.3">
      <c r="A6298" t="s">
        <v>1985</v>
      </c>
      <c r="B6298" t="s">
        <v>1987</v>
      </c>
      <c r="C6298">
        <v>11</v>
      </c>
      <c r="D6298" t="s">
        <v>1447</v>
      </c>
      <c r="E6298" t="s">
        <v>1989</v>
      </c>
      <c r="F6298" t="s">
        <v>1737</v>
      </c>
      <c r="K6298" t="str">
        <f>IF(ISBLANK('Q 6'!E143),"",IF('Q 6'!E143="&lt;please select&gt;","",'Q 6'!E143))</f>
        <v/>
      </c>
    </row>
    <row r="6299" spans="1:11" x14ac:dyDescent="0.3">
      <c r="A6299" t="s">
        <v>1985</v>
      </c>
      <c r="B6299" t="s">
        <v>1987</v>
      </c>
      <c r="C6299">
        <v>12</v>
      </c>
      <c r="D6299" t="s">
        <v>1447</v>
      </c>
      <c r="E6299" t="s">
        <v>1989</v>
      </c>
      <c r="F6299" t="s">
        <v>1737</v>
      </c>
      <c r="K6299" t="str">
        <f>IF(ISBLANK('Q 6'!E144),"",IF('Q 6'!E144="&lt;please select&gt;","",'Q 6'!E144))</f>
        <v/>
      </c>
    </row>
    <row r="6300" spans="1:11" x14ac:dyDescent="0.3">
      <c r="A6300" t="s">
        <v>1985</v>
      </c>
      <c r="B6300" t="s">
        <v>1987</v>
      </c>
      <c r="C6300">
        <v>13</v>
      </c>
      <c r="D6300" t="s">
        <v>1447</v>
      </c>
      <c r="E6300" t="s">
        <v>1989</v>
      </c>
      <c r="F6300" t="s">
        <v>1737</v>
      </c>
      <c r="K6300" t="str">
        <f>IF(ISBLANK('Q 6'!E145),"",IF('Q 6'!E145="&lt;please select&gt;","",'Q 6'!E145))</f>
        <v/>
      </c>
    </row>
    <row r="6301" spans="1:11" x14ac:dyDescent="0.3">
      <c r="A6301" t="s">
        <v>1985</v>
      </c>
      <c r="B6301" t="s">
        <v>1987</v>
      </c>
      <c r="C6301">
        <v>14</v>
      </c>
      <c r="D6301" t="s">
        <v>1447</v>
      </c>
      <c r="E6301" t="s">
        <v>1989</v>
      </c>
      <c r="F6301" t="s">
        <v>1737</v>
      </c>
      <c r="K6301" t="str">
        <f>IF(ISBLANK('Q 6'!E146),"",IF('Q 6'!E146="&lt;please select&gt;","",'Q 6'!E146))</f>
        <v/>
      </c>
    </row>
    <row r="6302" spans="1:11" x14ac:dyDescent="0.3">
      <c r="A6302" t="s">
        <v>1985</v>
      </c>
      <c r="B6302" t="s">
        <v>1987</v>
      </c>
      <c r="C6302">
        <v>15</v>
      </c>
      <c r="D6302" t="s">
        <v>1447</v>
      </c>
      <c r="E6302" t="s">
        <v>1989</v>
      </c>
      <c r="F6302" t="s">
        <v>1737</v>
      </c>
      <c r="K6302" t="str">
        <f>IF(ISBLANK('Q 6'!E147),"",IF('Q 6'!E147="&lt;please select&gt;","",'Q 6'!E147))</f>
        <v/>
      </c>
    </row>
    <row r="6303" spans="1:11" x14ac:dyDescent="0.3">
      <c r="A6303" t="s">
        <v>1985</v>
      </c>
      <c r="B6303" t="s">
        <v>1987</v>
      </c>
      <c r="C6303">
        <v>16</v>
      </c>
      <c r="D6303" t="s">
        <v>1447</v>
      </c>
      <c r="E6303" t="s">
        <v>1989</v>
      </c>
      <c r="F6303" t="s">
        <v>1737</v>
      </c>
      <c r="K6303" t="str">
        <f>IF(ISBLANK('Q 6'!E148),"",IF('Q 6'!E148="&lt;please select&gt;","",'Q 6'!E148))</f>
        <v/>
      </c>
    </row>
    <row r="6304" spans="1:11" x14ac:dyDescent="0.3">
      <c r="A6304" t="s">
        <v>1985</v>
      </c>
      <c r="B6304" t="s">
        <v>1987</v>
      </c>
      <c r="C6304">
        <v>17</v>
      </c>
      <c r="D6304" t="s">
        <v>1447</v>
      </c>
      <c r="E6304" t="s">
        <v>1989</v>
      </c>
      <c r="F6304" t="s">
        <v>1737</v>
      </c>
      <c r="K6304" t="str">
        <f>IF(ISBLANK('Q 6'!E149),"",IF('Q 6'!E149="&lt;please select&gt;","",'Q 6'!E149))</f>
        <v/>
      </c>
    </row>
    <row r="6305" spans="1:11" x14ac:dyDescent="0.3">
      <c r="A6305" t="s">
        <v>1985</v>
      </c>
      <c r="B6305" t="s">
        <v>1987</v>
      </c>
      <c r="C6305">
        <v>18</v>
      </c>
      <c r="D6305" t="s">
        <v>1447</v>
      </c>
      <c r="E6305" t="s">
        <v>1989</v>
      </c>
      <c r="F6305" t="s">
        <v>1737</v>
      </c>
      <c r="K6305" t="str">
        <f>IF(ISBLANK('Q 6'!E150),"",IF('Q 6'!E150="&lt;please select&gt;","",'Q 6'!E150))</f>
        <v/>
      </c>
    </row>
    <row r="6306" spans="1:11" x14ac:dyDescent="0.3">
      <c r="A6306" t="s">
        <v>1985</v>
      </c>
      <c r="B6306" t="s">
        <v>1987</v>
      </c>
      <c r="C6306">
        <v>19</v>
      </c>
      <c r="D6306" t="s">
        <v>1447</v>
      </c>
      <c r="E6306" t="s">
        <v>1989</v>
      </c>
      <c r="F6306" t="s">
        <v>1737</v>
      </c>
      <c r="K6306" t="str">
        <f>IF(ISBLANK('Q 6'!E151),"",IF('Q 6'!E151="&lt;please select&gt;","",'Q 6'!E151))</f>
        <v/>
      </c>
    </row>
    <row r="6307" spans="1:11" x14ac:dyDescent="0.3">
      <c r="A6307" t="s">
        <v>1985</v>
      </c>
      <c r="B6307" t="s">
        <v>1987</v>
      </c>
      <c r="C6307">
        <v>20</v>
      </c>
      <c r="D6307" t="s">
        <v>1447</v>
      </c>
      <c r="E6307" t="s">
        <v>1989</v>
      </c>
      <c r="F6307" t="s">
        <v>1737</v>
      </c>
      <c r="K6307" t="str">
        <f>IF(ISBLANK('Q 6'!E152),"",IF('Q 6'!E152="&lt;please select&gt;","",'Q 6'!E152))</f>
        <v/>
      </c>
    </row>
    <row r="6308" spans="1:11" x14ac:dyDescent="0.3">
      <c r="A6308" t="s">
        <v>1985</v>
      </c>
      <c r="B6308" t="s">
        <v>1987</v>
      </c>
      <c r="C6308">
        <v>21</v>
      </c>
      <c r="D6308" t="s">
        <v>1447</v>
      </c>
      <c r="E6308" t="s">
        <v>1989</v>
      </c>
      <c r="F6308" t="s">
        <v>1737</v>
      </c>
      <c r="K6308" t="str">
        <f>IF(ISBLANK('Q 6'!E153),"",IF('Q 6'!E153="&lt;please select&gt;","",'Q 6'!E153))</f>
        <v/>
      </c>
    </row>
    <row r="6309" spans="1:11" x14ac:dyDescent="0.3">
      <c r="A6309" t="s">
        <v>1985</v>
      </c>
      <c r="B6309" t="s">
        <v>1987</v>
      </c>
      <c r="C6309">
        <v>22</v>
      </c>
      <c r="D6309" t="s">
        <v>1447</v>
      </c>
      <c r="E6309" t="s">
        <v>1989</v>
      </c>
      <c r="F6309" t="s">
        <v>1737</v>
      </c>
      <c r="K6309" t="str">
        <f>IF(ISBLANK('Q 6'!E154),"",IF('Q 6'!E154="&lt;please select&gt;","",'Q 6'!E154))</f>
        <v/>
      </c>
    </row>
    <row r="6310" spans="1:11" x14ac:dyDescent="0.3">
      <c r="A6310" t="s">
        <v>1985</v>
      </c>
      <c r="B6310" t="s">
        <v>1987</v>
      </c>
      <c r="C6310">
        <v>23</v>
      </c>
      <c r="D6310" t="s">
        <v>1447</v>
      </c>
      <c r="E6310" t="s">
        <v>1989</v>
      </c>
      <c r="F6310" t="s">
        <v>1737</v>
      </c>
      <c r="K6310" t="str">
        <f>IF(ISBLANK('Q 6'!E155),"",IF('Q 6'!E155="&lt;please select&gt;","",'Q 6'!E155))</f>
        <v/>
      </c>
    </row>
    <row r="6311" spans="1:11" x14ac:dyDescent="0.3">
      <c r="A6311" t="s">
        <v>1985</v>
      </c>
      <c r="B6311" t="s">
        <v>1987</v>
      </c>
      <c r="C6311">
        <v>24</v>
      </c>
      <c r="D6311" t="s">
        <v>1447</v>
      </c>
      <c r="E6311" t="s">
        <v>1989</v>
      </c>
      <c r="F6311" t="s">
        <v>1737</v>
      </c>
      <c r="K6311" t="str">
        <f>IF(ISBLANK('Q 6'!E156),"",IF('Q 6'!E156="&lt;please select&gt;","",'Q 6'!E156))</f>
        <v/>
      </c>
    </row>
    <row r="6312" spans="1:11" x14ac:dyDescent="0.3">
      <c r="A6312" t="s">
        <v>1985</v>
      </c>
      <c r="B6312" t="s">
        <v>1987</v>
      </c>
      <c r="C6312">
        <v>25</v>
      </c>
      <c r="D6312" t="s">
        <v>1447</v>
      </c>
      <c r="E6312" t="s">
        <v>1989</v>
      </c>
      <c r="F6312" t="s">
        <v>1737</v>
      </c>
      <c r="K6312" t="str">
        <f>IF(ISBLANK('Q 6'!E157),"",IF('Q 6'!E157="&lt;please select&gt;","",'Q 6'!E157))</f>
        <v/>
      </c>
    </row>
    <row r="6313" spans="1:11" x14ac:dyDescent="0.3">
      <c r="A6313" t="s">
        <v>1985</v>
      </c>
      <c r="B6313" t="s">
        <v>1987</v>
      </c>
      <c r="C6313">
        <v>26</v>
      </c>
      <c r="D6313" t="s">
        <v>1447</v>
      </c>
      <c r="E6313" t="s">
        <v>1989</v>
      </c>
      <c r="F6313" t="s">
        <v>1737</v>
      </c>
      <c r="K6313" t="str">
        <f>IF(ISBLANK('Q 6'!E158),"",IF('Q 6'!E158="&lt;please select&gt;","",'Q 6'!E158))</f>
        <v/>
      </c>
    </row>
    <row r="6314" spans="1:11" x14ac:dyDescent="0.3">
      <c r="A6314" t="s">
        <v>1985</v>
      </c>
      <c r="B6314" t="s">
        <v>1987</v>
      </c>
      <c r="C6314">
        <v>27</v>
      </c>
      <c r="D6314" t="s">
        <v>1447</v>
      </c>
      <c r="E6314" t="s">
        <v>1989</v>
      </c>
      <c r="F6314" t="s">
        <v>1737</v>
      </c>
      <c r="K6314" t="str">
        <f>IF(ISBLANK('Q 6'!E159),"",IF('Q 6'!E159="&lt;please select&gt;","",'Q 6'!E159))</f>
        <v/>
      </c>
    </row>
    <row r="6315" spans="1:11" x14ac:dyDescent="0.3">
      <c r="A6315" t="s">
        <v>1985</v>
      </c>
      <c r="B6315" t="s">
        <v>1987</v>
      </c>
      <c r="C6315">
        <v>28</v>
      </c>
      <c r="D6315" t="s">
        <v>1447</v>
      </c>
      <c r="E6315" t="s">
        <v>1989</v>
      </c>
      <c r="F6315" t="s">
        <v>1737</v>
      </c>
      <c r="K6315" t="str">
        <f>IF(ISBLANK('Q 6'!E160),"",IF('Q 6'!E160="&lt;please select&gt;","",'Q 6'!E160))</f>
        <v/>
      </c>
    </row>
    <row r="6316" spans="1:11" x14ac:dyDescent="0.3">
      <c r="A6316" t="s">
        <v>1985</v>
      </c>
      <c r="B6316" t="s">
        <v>1987</v>
      </c>
      <c r="C6316">
        <v>29</v>
      </c>
      <c r="D6316" t="s">
        <v>1447</v>
      </c>
      <c r="E6316" t="s">
        <v>1989</v>
      </c>
      <c r="F6316" t="s">
        <v>1737</v>
      </c>
      <c r="K6316" t="str">
        <f>IF(ISBLANK('Q 6'!E161),"",IF('Q 6'!E161="&lt;please select&gt;","",'Q 6'!E161))</f>
        <v/>
      </c>
    </row>
    <row r="6317" spans="1:11" x14ac:dyDescent="0.3">
      <c r="A6317" t="s">
        <v>1985</v>
      </c>
      <c r="B6317" t="s">
        <v>1987</v>
      </c>
      <c r="C6317">
        <v>30</v>
      </c>
      <c r="D6317" t="s">
        <v>1447</v>
      </c>
      <c r="E6317" t="s">
        <v>1989</v>
      </c>
      <c r="F6317" t="s">
        <v>1737</v>
      </c>
      <c r="K6317" t="str">
        <f>IF(ISBLANK('Q 6'!E162),"",IF('Q 6'!E162="&lt;please select&gt;","",'Q 6'!E162))</f>
        <v/>
      </c>
    </row>
    <row r="6318" spans="1:11" x14ac:dyDescent="0.3">
      <c r="A6318" t="s">
        <v>1985</v>
      </c>
      <c r="B6318" t="s">
        <v>1987</v>
      </c>
      <c r="C6318">
        <v>31</v>
      </c>
      <c r="D6318" t="s">
        <v>1447</v>
      </c>
      <c r="E6318" t="s">
        <v>1989</v>
      </c>
      <c r="F6318" t="s">
        <v>1737</v>
      </c>
      <c r="K6318" t="str">
        <f>IF(ISBLANK('Q 6'!E163),"",IF('Q 6'!E163="&lt;please select&gt;","",'Q 6'!E163))</f>
        <v/>
      </c>
    </row>
    <row r="6319" spans="1:11" x14ac:dyDescent="0.3">
      <c r="A6319" t="s">
        <v>1985</v>
      </c>
      <c r="B6319" t="s">
        <v>1987</v>
      </c>
      <c r="C6319">
        <v>32</v>
      </c>
      <c r="D6319" t="s">
        <v>1447</v>
      </c>
      <c r="E6319" t="s">
        <v>1989</v>
      </c>
      <c r="F6319" t="s">
        <v>1737</v>
      </c>
      <c r="K6319" t="str">
        <f>IF(ISBLANK('Q 6'!E164),"",IF('Q 6'!E164="&lt;please select&gt;","",'Q 6'!E164))</f>
        <v/>
      </c>
    </row>
    <row r="6320" spans="1:11" x14ac:dyDescent="0.3">
      <c r="A6320" t="s">
        <v>1985</v>
      </c>
      <c r="B6320" t="s">
        <v>1987</v>
      </c>
      <c r="C6320">
        <v>33</v>
      </c>
      <c r="D6320" t="s">
        <v>1447</v>
      </c>
      <c r="E6320" t="s">
        <v>1989</v>
      </c>
      <c r="F6320" t="s">
        <v>1737</v>
      </c>
      <c r="K6320" t="str">
        <f>IF(ISBLANK('Q 6'!E165),"",IF('Q 6'!E165="&lt;please select&gt;","",'Q 6'!E165))</f>
        <v/>
      </c>
    </row>
    <row r="6321" spans="1:11" x14ac:dyDescent="0.3">
      <c r="A6321" t="s">
        <v>1985</v>
      </c>
      <c r="B6321" t="s">
        <v>1987</v>
      </c>
      <c r="C6321">
        <v>34</v>
      </c>
      <c r="D6321" t="s">
        <v>1447</v>
      </c>
      <c r="E6321" t="s">
        <v>1989</v>
      </c>
      <c r="F6321" t="s">
        <v>1737</v>
      </c>
      <c r="K6321" t="str">
        <f>IF(ISBLANK('Q 6'!E166),"",IF('Q 6'!E166="&lt;please select&gt;","",'Q 6'!E166))</f>
        <v/>
      </c>
    </row>
    <row r="6322" spans="1:11" x14ac:dyDescent="0.3">
      <c r="A6322" t="s">
        <v>1985</v>
      </c>
      <c r="B6322" t="s">
        <v>1987</v>
      </c>
      <c r="C6322">
        <v>35</v>
      </c>
      <c r="D6322" t="s">
        <v>1447</v>
      </c>
      <c r="E6322" t="s">
        <v>1989</v>
      </c>
      <c r="F6322" t="s">
        <v>1737</v>
      </c>
      <c r="K6322" t="str">
        <f>IF(ISBLANK('Q 6'!E167),"",IF('Q 6'!E167="&lt;please select&gt;","",'Q 6'!E167))</f>
        <v/>
      </c>
    </row>
    <row r="6323" spans="1:11" x14ac:dyDescent="0.3">
      <c r="A6323" t="s">
        <v>1985</v>
      </c>
      <c r="B6323" t="s">
        <v>1987</v>
      </c>
      <c r="C6323">
        <v>36</v>
      </c>
      <c r="D6323" t="s">
        <v>1447</v>
      </c>
      <c r="E6323" t="s">
        <v>1989</v>
      </c>
      <c r="F6323" t="s">
        <v>1737</v>
      </c>
      <c r="K6323" t="str">
        <f>IF(ISBLANK('Q 6'!E168),"",IF('Q 6'!E168="&lt;please select&gt;","",'Q 6'!E168))</f>
        <v/>
      </c>
    </row>
    <row r="6324" spans="1:11" x14ac:dyDescent="0.3">
      <c r="A6324" t="s">
        <v>1985</v>
      </c>
      <c r="B6324" t="s">
        <v>1987</v>
      </c>
      <c r="C6324">
        <v>37</v>
      </c>
      <c r="D6324" t="s">
        <v>1447</v>
      </c>
      <c r="E6324" t="s">
        <v>1989</v>
      </c>
      <c r="F6324" t="s">
        <v>1737</v>
      </c>
      <c r="K6324" t="str">
        <f>IF(ISBLANK('Q 6'!E169),"",IF('Q 6'!E169="&lt;please select&gt;","",'Q 6'!E169))</f>
        <v/>
      </c>
    </row>
    <row r="6325" spans="1:11" x14ac:dyDescent="0.3">
      <c r="A6325" t="s">
        <v>1985</v>
      </c>
      <c r="B6325" t="s">
        <v>1987</v>
      </c>
      <c r="C6325">
        <v>38</v>
      </c>
      <c r="D6325" t="s">
        <v>1447</v>
      </c>
      <c r="E6325" t="s">
        <v>1989</v>
      </c>
      <c r="F6325" t="s">
        <v>1737</v>
      </c>
      <c r="K6325" t="str">
        <f>IF(ISBLANK('Q 6'!E170),"",IF('Q 6'!E170="&lt;please select&gt;","",'Q 6'!E170))</f>
        <v/>
      </c>
    </row>
    <row r="6326" spans="1:11" x14ac:dyDescent="0.3">
      <c r="A6326" t="s">
        <v>1985</v>
      </c>
      <c r="B6326" t="s">
        <v>1987</v>
      </c>
      <c r="C6326">
        <v>39</v>
      </c>
      <c r="D6326" t="s">
        <v>1447</v>
      </c>
      <c r="E6326" t="s">
        <v>1989</v>
      </c>
      <c r="F6326" t="s">
        <v>1737</v>
      </c>
      <c r="K6326" t="str">
        <f>IF(ISBLANK('Q 6'!E171),"",IF('Q 6'!E171="&lt;please select&gt;","",'Q 6'!E171))</f>
        <v/>
      </c>
    </row>
    <row r="6327" spans="1:11" x14ac:dyDescent="0.3">
      <c r="A6327" t="s">
        <v>1985</v>
      </c>
      <c r="B6327" t="s">
        <v>1987</v>
      </c>
      <c r="C6327">
        <v>40</v>
      </c>
      <c r="D6327" t="s">
        <v>1447</v>
      </c>
      <c r="E6327" t="s">
        <v>1989</v>
      </c>
      <c r="F6327" t="s">
        <v>1737</v>
      </c>
      <c r="K6327" t="str">
        <f>IF(ISBLANK('Q 6'!E172),"",IF('Q 6'!E172="&lt;please select&gt;","",'Q 6'!E172))</f>
        <v/>
      </c>
    </row>
    <row r="6328" spans="1:11" x14ac:dyDescent="0.3">
      <c r="A6328" t="s">
        <v>1985</v>
      </c>
      <c r="B6328" t="s">
        <v>1987</v>
      </c>
      <c r="C6328">
        <v>41</v>
      </c>
      <c r="D6328" t="s">
        <v>1447</v>
      </c>
      <c r="E6328" t="s">
        <v>1989</v>
      </c>
      <c r="F6328" t="s">
        <v>1737</v>
      </c>
      <c r="K6328" t="str">
        <f>IF(ISBLANK('Q 6'!E173),"",IF('Q 6'!E173="&lt;please select&gt;","",'Q 6'!E173))</f>
        <v/>
      </c>
    </row>
    <row r="6329" spans="1:11" x14ac:dyDescent="0.3">
      <c r="A6329" t="s">
        <v>1985</v>
      </c>
      <c r="B6329" t="s">
        <v>1987</v>
      </c>
      <c r="C6329">
        <v>42</v>
      </c>
      <c r="D6329" t="s">
        <v>1447</v>
      </c>
      <c r="E6329" t="s">
        <v>1989</v>
      </c>
      <c r="F6329" t="s">
        <v>1737</v>
      </c>
      <c r="K6329" t="str">
        <f>IF(ISBLANK('Q 6'!E174),"",IF('Q 6'!E174="&lt;please select&gt;","",'Q 6'!E174))</f>
        <v/>
      </c>
    </row>
    <row r="6330" spans="1:11" x14ac:dyDescent="0.3">
      <c r="A6330" t="s">
        <v>1985</v>
      </c>
      <c r="B6330" t="s">
        <v>1987</v>
      </c>
      <c r="C6330">
        <v>43</v>
      </c>
      <c r="D6330" t="s">
        <v>1447</v>
      </c>
      <c r="E6330" t="s">
        <v>1989</v>
      </c>
      <c r="F6330" t="s">
        <v>1737</v>
      </c>
      <c r="K6330" t="str">
        <f>IF(ISBLANK('Q 6'!E175),"",IF('Q 6'!E175="&lt;please select&gt;","",'Q 6'!E175))</f>
        <v/>
      </c>
    </row>
    <row r="6331" spans="1:11" x14ac:dyDescent="0.3">
      <c r="A6331" t="s">
        <v>1985</v>
      </c>
      <c r="B6331" t="s">
        <v>1987</v>
      </c>
      <c r="C6331">
        <v>44</v>
      </c>
      <c r="D6331" t="s">
        <v>1447</v>
      </c>
      <c r="E6331" t="s">
        <v>1989</v>
      </c>
      <c r="F6331" t="s">
        <v>1737</v>
      </c>
      <c r="K6331" t="str">
        <f>IF(ISBLANK('Q 6'!E176),"",IF('Q 6'!E176="&lt;please select&gt;","",'Q 6'!E176))</f>
        <v/>
      </c>
    </row>
    <row r="6332" spans="1:11" x14ac:dyDescent="0.3">
      <c r="A6332" t="s">
        <v>1985</v>
      </c>
      <c r="B6332" t="s">
        <v>1987</v>
      </c>
      <c r="C6332">
        <v>45</v>
      </c>
      <c r="D6332" t="s">
        <v>1447</v>
      </c>
      <c r="E6332" t="s">
        <v>1989</v>
      </c>
      <c r="F6332" t="s">
        <v>1737</v>
      </c>
      <c r="K6332" t="str">
        <f>IF(ISBLANK('Q 6'!E177),"",IF('Q 6'!E177="&lt;please select&gt;","",'Q 6'!E177))</f>
        <v/>
      </c>
    </row>
    <row r="6333" spans="1:11" x14ac:dyDescent="0.3">
      <c r="A6333" t="s">
        <v>1985</v>
      </c>
      <c r="B6333" t="s">
        <v>1987</v>
      </c>
      <c r="C6333">
        <v>46</v>
      </c>
      <c r="D6333" t="s">
        <v>1447</v>
      </c>
      <c r="E6333" t="s">
        <v>1989</v>
      </c>
      <c r="F6333" t="s">
        <v>1737</v>
      </c>
      <c r="K6333" t="str">
        <f>IF(ISBLANK('Q 6'!E178),"",IF('Q 6'!E178="&lt;please select&gt;","",'Q 6'!E178))</f>
        <v/>
      </c>
    </row>
    <row r="6334" spans="1:11" x14ac:dyDescent="0.3">
      <c r="A6334" t="s">
        <v>1985</v>
      </c>
      <c r="B6334" t="s">
        <v>1987</v>
      </c>
      <c r="C6334">
        <v>47</v>
      </c>
      <c r="D6334" t="s">
        <v>1447</v>
      </c>
      <c r="E6334" t="s">
        <v>1989</v>
      </c>
      <c r="F6334" t="s">
        <v>1737</v>
      </c>
      <c r="K6334" t="str">
        <f>IF(ISBLANK('Q 6'!E179),"",IF('Q 6'!E179="&lt;please select&gt;","",'Q 6'!E179))</f>
        <v/>
      </c>
    </row>
    <row r="6335" spans="1:11" x14ac:dyDescent="0.3">
      <c r="A6335" t="s">
        <v>1985</v>
      </c>
      <c r="B6335" t="s">
        <v>1987</v>
      </c>
      <c r="C6335">
        <v>48</v>
      </c>
      <c r="D6335" t="s">
        <v>1447</v>
      </c>
      <c r="E6335" t="s">
        <v>1989</v>
      </c>
      <c r="F6335" t="s">
        <v>1737</v>
      </c>
      <c r="K6335" t="str">
        <f>IF(ISBLANK('Q 6'!E180),"",IF('Q 6'!E180="&lt;please select&gt;","",'Q 6'!E180))</f>
        <v/>
      </c>
    </row>
    <row r="6336" spans="1:11" x14ac:dyDescent="0.3">
      <c r="A6336" t="s">
        <v>1985</v>
      </c>
      <c r="B6336" t="s">
        <v>1987</v>
      </c>
      <c r="C6336">
        <v>49</v>
      </c>
      <c r="D6336" t="s">
        <v>1447</v>
      </c>
      <c r="E6336" t="s">
        <v>1989</v>
      </c>
      <c r="F6336" t="s">
        <v>1737</v>
      </c>
      <c r="K6336" t="str">
        <f>IF(ISBLANK('Q 6'!E181),"",IF('Q 6'!E181="&lt;please select&gt;","",'Q 6'!E181))</f>
        <v/>
      </c>
    </row>
    <row r="6337" spans="1:11" x14ac:dyDescent="0.3">
      <c r="A6337" t="s">
        <v>1985</v>
      </c>
      <c r="B6337" t="s">
        <v>1987</v>
      </c>
      <c r="C6337">
        <v>50</v>
      </c>
      <c r="D6337" t="s">
        <v>1447</v>
      </c>
      <c r="E6337" t="s">
        <v>1989</v>
      </c>
      <c r="F6337" t="s">
        <v>1737</v>
      </c>
      <c r="K6337" t="str">
        <f>IF(ISBLANK('Q 6'!E182),"",IF('Q 6'!E182="&lt;please select&gt;","",'Q 6'!E182))</f>
        <v/>
      </c>
    </row>
    <row r="6338" spans="1:11" x14ac:dyDescent="0.3">
      <c r="A6338" t="s">
        <v>1985</v>
      </c>
      <c r="B6338" t="s">
        <v>1987</v>
      </c>
      <c r="C6338">
        <v>51</v>
      </c>
      <c r="D6338" t="s">
        <v>1447</v>
      </c>
      <c r="E6338" t="s">
        <v>1989</v>
      </c>
      <c r="F6338" t="s">
        <v>1737</v>
      </c>
      <c r="K6338" t="str">
        <f>IF(ISBLANK('Q 6'!E183),"",IF('Q 6'!E183="&lt;please select&gt;","",'Q 6'!E183))</f>
        <v/>
      </c>
    </row>
    <row r="6339" spans="1:11" x14ac:dyDescent="0.3">
      <c r="A6339" t="s">
        <v>1985</v>
      </c>
      <c r="B6339" t="s">
        <v>1987</v>
      </c>
      <c r="C6339">
        <v>52</v>
      </c>
      <c r="D6339" t="s">
        <v>1447</v>
      </c>
      <c r="E6339" t="s">
        <v>1989</v>
      </c>
      <c r="F6339" t="s">
        <v>1737</v>
      </c>
      <c r="K6339" t="str">
        <f>IF(ISBLANK('Q 6'!E184),"",IF('Q 6'!E184="&lt;please select&gt;","",'Q 6'!E184))</f>
        <v/>
      </c>
    </row>
    <row r="6340" spans="1:11" x14ac:dyDescent="0.3">
      <c r="A6340" t="s">
        <v>1985</v>
      </c>
      <c r="B6340" t="s">
        <v>1987</v>
      </c>
      <c r="C6340">
        <v>53</v>
      </c>
      <c r="D6340" t="s">
        <v>1447</v>
      </c>
      <c r="E6340" t="s">
        <v>1989</v>
      </c>
      <c r="F6340" t="s">
        <v>1737</v>
      </c>
      <c r="K6340" t="str">
        <f>IF(ISBLANK('Q 6'!E185),"",IF('Q 6'!E185="&lt;please select&gt;","",'Q 6'!E185))</f>
        <v/>
      </c>
    </row>
    <row r="6341" spans="1:11" x14ac:dyDescent="0.3">
      <c r="A6341" t="s">
        <v>1985</v>
      </c>
      <c r="B6341" t="s">
        <v>1987</v>
      </c>
      <c r="C6341">
        <v>54</v>
      </c>
      <c r="D6341" t="s">
        <v>1447</v>
      </c>
      <c r="E6341" t="s">
        <v>1989</v>
      </c>
      <c r="F6341" t="s">
        <v>1737</v>
      </c>
      <c r="K6341" t="str">
        <f>IF(ISBLANK('Q 6'!E186),"",IF('Q 6'!E186="&lt;please select&gt;","",'Q 6'!E186))</f>
        <v/>
      </c>
    </row>
    <row r="6342" spans="1:11" x14ac:dyDescent="0.3">
      <c r="A6342" t="s">
        <v>1985</v>
      </c>
      <c r="B6342" t="s">
        <v>1987</v>
      </c>
      <c r="C6342">
        <v>55</v>
      </c>
      <c r="D6342" t="s">
        <v>1447</v>
      </c>
      <c r="E6342" t="s">
        <v>1989</v>
      </c>
      <c r="F6342" t="s">
        <v>1737</v>
      </c>
      <c r="K6342" t="str">
        <f>IF(ISBLANK('Q 6'!E187),"",IF('Q 6'!E187="&lt;please select&gt;","",'Q 6'!E187))</f>
        <v/>
      </c>
    </row>
    <row r="6343" spans="1:11" x14ac:dyDescent="0.3">
      <c r="A6343" t="s">
        <v>1985</v>
      </c>
      <c r="B6343" t="s">
        <v>1987</v>
      </c>
      <c r="C6343">
        <v>56</v>
      </c>
      <c r="D6343" t="s">
        <v>1447</v>
      </c>
      <c r="E6343" t="s">
        <v>1989</v>
      </c>
      <c r="F6343" t="s">
        <v>1737</v>
      </c>
      <c r="K6343" t="str">
        <f>IF(ISBLANK('Q 6'!E188),"",IF('Q 6'!E188="&lt;please select&gt;","",'Q 6'!E188))</f>
        <v/>
      </c>
    </row>
    <row r="6344" spans="1:11" x14ac:dyDescent="0.3">
      <c r="A6344" t="s">
        <v>1985</v>
      </c>
      <c r="B6344" t="s">
        <v>1987</v>
      </c>
      <c r="C6344">
        <v>57</v>
      </c>
      <c r="D6344" t="s">
        <v>1447</v>
      </c>
      <c r="E6344" t="s">
        <v>1989</v>
      </c>
      <c r="F6344" t="s">
        <v>1737</v>
      </c>
      <c r="K6344" t="str">
        <f>IF(ISBLANK('Q 6'!E189),"",IF('Q 6'!E189="&lt;please select&gt;","",'Q 6'!E189))</f>
        <v/>
      </c>
    </row>
    <row r="6345" spans="1:11" x14ac:dyDescent="0.3">
      <c r="A6345" t="s">
        <v>1985</v>
      </c>
      <c r="B6345" t="s">
        <v>1987</v>
      </c>
      <c r="C6345">
        <v>58</v>
      </c>
      <c r="D6345" t="s">
        <v>1447</v>
      </c>
      <c r="E6345" t="s">
        <v>1989</v>
      </c>
      <c r="F6345" t="s">
        <v>1737</v>
      </c>
      <c r="K6345" t="str">
        <f>IF(ISBLANK('Q 6'!E190),"",IF('Q 6'!E190="&lt;please select&gt;","",'Q 6'!E190))</f>
        <v/>
      </c>
    </row>
    <row r="6346" spans="1:11" x14ac:dyDescent="0.3">
      <c r="A6346" t="s">
        <v>1985</v>
      </c>
      <c r="B6346" t="s">
        <v>1987</v>
      </c>
      <c r="C6346">
        <v>59</v>
      </c>
      <c r="D6346" t="s">
        <v>1447</v>
      </c>
      <c r="E6346" t="s">
        <v>1989</v>
      </c>
      <c r="F6346" t="s">
        <v>1737</v>
      </c>
      <c r="K6346" t="str">
        <f>IF(ISBLANK('Q 6'!E191),"",IF('Q 6'!E191="&lt;please select&gt;","",'Q 6'!E191))</f>
        <v/>
      </c>
    </row>
    <row r="6347" spans="1:11" x14ac:dyDescent="0.3">
      <c r="A6347" t="s">
        <v>1985</v>
      </c>
      <c r="B6347" t="s">
        <v>1987</v>
      </c>
      <c r="C6347">
        <v>60</v>
      </c>
      <c r="D6347" t="s">
        <v>1447</v>
      </c>
      <c r="E6347" t="s">
        <v>1989</v>
      </c>
      <c r="F6347" t="s">
        <v>1737</v>
      </c>
      <c r="K6347" t="str">
        <f>IF(ISBLANK('Q 6'!E192),"",IF('Q 6'!E192="&lt;please select&gt;","",'Q 6'!E192))</f>
        <v/>
      </c>
    </row>
    <row r="6348" spans="1:11" x14ac:dyDescent="0.3">
      <c r="A6348" t="s">
        <v>1991</v>
      </c>
      <c r="B6348" t="s">
        <v>1987</v>
      </c>
      <c r="C6348">
        <v>61</v>
      </c>
      <c r="D6348" t="s">
        <v>1447</v>
      </c>
      <c r="E6348" t="s">
        <v>1989</v>
      </c>
      <c r="F6348" t="s">
        <v>1737</v>
      </c>
      <c r="K6348" t="str">
        <f>IF(ISBLANK('Q 6'!E193),"",IF('Q 6'!E193="&lt;please select&gt;","",'Q 6'!E193))</f>
        <v/>
      </c>
    </row>
    <row r="6349" spans="1:11" x14ac:dyDescent="0.3">
      <c r="A6349" t="s">
        <v>2001</v>
      </c>
      <c r="B6349" t="s">
        <v>1987</v>
      </c>
      <c r="C6349">
        <v>62</v>
      </c>
      <c r="D6349" t="s">
        <v>1447</v>
      </c>
      <c r="E6349" t="s">
        <v>1989</v>
      </c>
      <c r="F6349" t="s">
        <v>1737</v>
      </c>
      <c r="K6349" t="str">
        <f>IF(ISBLANK('Q 6'!E194),"",IF('Q 6'!E194="&lt;please select&gt;","",'Q 6'!E194))</f>
        <v/>
      </c>
    </row>
    <row r="6350" spans="1:11" x14ac:dyDescent="0.3">
      <c r="A6350" t="s">
        <v>2007</v>
      </c>
      <c r="B6350" t="s">
        <v>1987</v>
      </c>
      <c r="C6350">
        <v>63</v>
      </c>
      <c r="D6350" t="s">
        <v>1447</v>
      </c>
      <c r="E6350" t="s">
        <v>1989</v>
      </c>
      <c r="F6350" t="s">
        <v>1737</v>
      </c>
      <c r="K6350" t="str">
        <f>IF(ISBLANK('Q 6'!E195),"",IF('Q 6'!E195="&lt;please select&gt;","",'Q 6'!E195))</f>
        <v/>
      </c>
    </row>
    <row r="6351" spans="1:11" x14ac:dyDescent="0.3">
      <c r="A6351" t="s">
        <v>2014</v>
      </c>
      <c r="B6351" t="s">
        <v>1987</v>
      </c>
      <c r="C6351">
        <v>64</v>
      </c>
      <c r="D6351" t="s">
        <v>1447</v>
      </c>
      <c r="E6351" t="s">
        <v>1989</v>
      </c>
      <c r="F6351" t="s">
        <v>1737</v>
      </c>
      <c r="K6351" t="str">
        <f>IF(ISBLANK('Q 6'!E196),"",IF('Q 6'!E196="&lt;please select&gt;","",'Q 6'!E196))</f>
        <v/>
      </c>
    </row>
    <row r="6352" spans="1:11" x14ac:dyDescent="0.3">
      <c r="A6352" t="s">
        <v>2021</v>
      </c>
      <c r="B6352" t="s">
        <v>1987</v>
      </c>
      <c r="C6352">
        <v>65</v>
      </c>
      <c r="D6352" t="s">
        <v>1447</v>
      </c>
      <c r="E6352" t="s">
        <v>1989</v>
      </c>
      <c r="F6352" t="s">
        <v>1737</v>
      </c>
      <c r="K6352" t="str">
        <f>IF(ISBLANK('Q 6'!E197),"",IF('Q 6'!E197="&lt;please select&gt;","",'Q 6'!E197))</f>
        <v/>
      </c>
    </row>
    <row r="6353" spans="1:11" x14ac:dyDescent="0.3">
      <c r="A6353" t="s">
        <v>2026</v>
      </c>
      <c r="B6353" t="s">
        <v>1987</v>
      </c>
      <c r="C6353">
        <v>66</v>
      </c>
      <c r="D6353" t="s">
        <v>1447</v>
      </c>
      <c r="E6353" t="s">
        <v>1989</v>
      </c>
      <c r="F6353" t="s">
        <v>1737</v>
      </c>
      <c r="K6353" t="str">
        <f>IF(ISBLANK('Q 6'!E198),"",IF('Q 6'!E198="&lt;please select&gt;","",'Q 6'!E198))</f>
        <v/>
      </c>
    </row>
    <row r="6354" spans="1:11" x14ac:dyDescent="0.3">
      <c r="A6354" t="s">
        <v>2034</v>
      </c>
      <c r="B6354" t="s">
        <v>1987</v>
      </c>
      <c r="C6354">
        <v>67</v>
      </c>
      <c r="D6354" t="s">
        <v>1447</v>
      </c>
      <c r="E6354" t="s">
        <v>1989</v>
      </c>
      <c r="F6354" t="s">
        <v>1737</v>
      </c>
      <c r="K6354" t="str">
        <f>IF(ISBLANK('Q 6'!E199),"",IF('Q 6'!E199="&lt;please select&gt;","",'Q 6'!E199))</f>
        <v/>
      </c>
    </row>
    <row r="6355" spans="1:11" x14ac:dyDescent="0.3">
      <c r="A6355" t="s">
        <v>2037</v>
      </c>
      <c r="B6355" t="s">
        <v>1987</v>
      </c>
      <c r="C6355">
        <v>68</v>
      </c>
      <c r="D6355" t="s">
        <v>1447</v>
      </c>
      <c r="E6355" t="s">
        <v>1989</v>
      </c>
      <c r="F6355" t="s">
        <v>1737</v>
      </c>
      <c r="K6355" t="str">
        <f>IF(ISBLANK('Q 6'!E200),"",IF('Q 6'!E200="&lt;please select&gt;","",'Q 6'!E200))</f>
        <v/>
      </c>
    </row>
    <row r="6356" spans="1:11" x14ac:dyDescent="0.3">
      <c r="A6356" t="s">
        <v>2230</v>
      </c>
      <c r="B6356" t="s">
        <v>1987</v>
      </c>
      <c r="C6356">
        <v>69</v>
      </c>
      <c r="D6356" t="s">
        <v>1447</v>
      </c>
      <c r="E6356" t="s">
        <v>1989</v>
      </c>
      <c r="F6356" t="s">
        <v>1737</v>
      </c>
      <c r="K6356" t="str">
        <f>IF(ISBLANK('Q 6'!E201),"",IF('Q 6'!E201="&lt;please select&gt;","",'Q 6'!E201))</f>
        <v/>
      </c>
    </row>
    <row r="6357" spans="1:11" x14ac:dyDescent="0.3">
      <c r="A6357" t="s">
        <v>2231</v>
      </c>
      <c r="B6357" t="s">
        <v>1987</v>
      </c>
      <c r="C6357">
        <v>70</v>
      </c>
      <c r="D6357" t="s">
        <v>1447</v>
      </c>
      <c r="E6357" t="s">
        <v>1989</v>
      </c>
      <c r="F6357" t="s">
        <v>1737</v>
      </c>
      <c r="K6357" t="str">
        <f>IF(ISBLANK('Q 6'!E202),"",IF('Q 6'!E202="&lt;please select&gt;","",'Q 6'!E202))</f>
        <v/>
      </c>
    </row>
    <row r="6358" spans="1:11" x14ac:dyDescent="0.3">
      <c r="A6358" t="s">
        <v>2232</v>
      </c>
      <c r="B6358" t="s">
        <v>1987</v>
      </c>
      <c r="C6358">
        <v>71</v>
      </c>
      <c r="D6358" t="s">
        <v>1447</v>
      </c>
      <c r="E6358" t="s">
        <v>1989</v>
      </c>
      <c r="F6358" t="s">
        <v>1737</v>
      </c>
      <c r="K6358" t="str">
        <f>IF(ISBLANK('Q 6'!E203),"",IF('Q 6'!E203="&lt;please select&gt;","",'Q 6'!E203))</f>
        <v/>
      </c>
    </row>
    <row r="6359" spans="1:11" x14ac:dyDescent="0.3">
      <c r="A6359" t="s">
        <v>2233</v>
      </c>
      <c r="B6359" t="s">
        <v>1987</v>
      </c>
      <c r="C6359">
        <v>72</v>
      </c>
      <c r="D6359" t="s">
        <v>1447</v>
      </c>
      <c r="E6359" t="s">
        <v>1989</v>
      </c>
      <c r="F6359" t="s">
        <v>1737</v>
      </c>
      <c r="K6359" t="str">
        <f>IF(ISBLANK('Q 6'!E204),"",IF('Q 6'!E204="&lt;please select&gt;","",'Q 6'!E204))</f>
        <v/>
      </c>
    </row>
    <row r="6360" spans="1:11" x14ac:dyDescent="0.3">
      <c r="A6360" t="s">
        <v>2234</v>
      </c>
      <c r="B6360" t="s">
        <v>1987</v>
      </c>
      <c r="C6360">
        <v>73</v>
      </c>
      <c r="D6360" t="s">
        <v>1447</v>
      </c>
      <c r="E6360" t="s">
        <v>1989</v>
      </c>
      <c r="F6360" t="s">
        <v>1737</v>
      </c>
      <c r="K6360" t="str">
        <f>IF(ISBLANK('Q 6'!E205),"",IF('Q 6'!E205="&lt;please select&gt;","",'Q 6'!E205))</f>
        <v/>
      </c>
    </row>
    <row r="6361" spans="1:11" x14ac:dyDescent="0.3">
      <c r="A6361" t="s">
        <v>2235</v>
      </c>
      <c r="B6361" t="s">
        <v>1987</v>
      </c>
      <c r="C6361">
        <v>74</v>
      </c>
      <c r="D6361" t="s">
        <v>1447</v>
      </c>
      <c r="E6361" t="s">
        <v>1989</v>
      </c>
      <c r="F6361" t="s">
        <v>1737</v>
      </c>
      <c r="K6361" t="str">
        <f>IF(ISBLANK('Q 6'!E206),"",IF('Q 6'!E206="&lt;please select&gt;","",'Q 6'!E206))</f>
        <v/>
      </c>
    </row>
    <row r="6362" spans="1:11" x14ac:dyDescent="0.3">
      <c r="A6362" t="s">
        <v>2236</v>
      </c>
      <c r="B6362" t="s">
        <v>1987</v>
      </c>
      <c r="C6362">
        <v>75</v>
      </c>
      <c r="D6362" t="s">
        <v>1447</v>
      </c>
      <c r="E6362" t="s">
        <v>1989</v>
      </c>
      <c r="F6362" t="s">
        <v>1737</v>
      </c>
      <c r="K6362" t="str">
        <f>IF(ISBLANK('Q 6'!E207),"",IF('Q 6'!E207="&lt;please select&gt;","",'Q 6'!E207))</f>
        <v/>
      </c>
    </row>
    <row r="6363" spans="1:11" x14ac:dyDescent="0.3">
      <c r="A6363" t="s">
        <v>2237</v>
      </c>
      <c r="B6363" t="s">
        <v>1987</v>
      </c>
      <c r="C6363">
        <v>76</v>
      </c>
      <c r="D6363" t="s">
        <v>1447</v>
      </c>
      <c r="E6363" t="s">
        <v>1989</v>
      </c>
      <c r="F6363" t="s">
        <v>1737</v>
      </c>
      <c r="K6363" t="str">
        <f>IF(ISBLANK('Q 6'!E208),"",IF('Q 6'!E208="&lt;please select&gt;","",'Q 6'!E208))</f>
        <v/>
      </c>
    </row>
    <row r="6364" spans="1:11" x14ac:dyDescent="0.3">
      <c r="A6364" t="s">
        <v>2238</v>
      </c>
      <c r="B6364" t="s">
        <v>1987</v>
      </c>
      <c r="C6364">
        <v>77</v>
      </c>
      <c r="D6364" t="s">
        <v>1447</v>
      </c>
      <c r="E6364" t="s">
        <v>1989</v>
      </c>
      <c r="F6364" t="s">
        <v>1737</v>
      </c>
      <c r="K6364" t="str">
        <f>IF(ISBLANK('Q 6'!E209),"",IF('Q 6'!E209="&lt;please select&gt;","",'Q 6'!E209))</f>
        <v/>
      </c>
    </row>
    <row r="6365" spans="1:11" x14ac:dyDescent="0.3">
      <c r="A6365" t="s">
        <v>2239</v>
      </c>
      <c r="B6365" t="s">
        <v>1987</v>
      </c>
      <c r="C6365">
        <v>78</v>
      </c>
      <c r="D6365" t="s">
        <v>1447</v>
      </c>
      <c r="E6365" t="s">
        <v>1989</v>
      </c>
      <c r="F6365" t="s">
        <v>1737</v>
      </c>
      <c r="K6365" t="str">
        <f>IF(ISBLANK('Q 6'!E210),"",IF('Q 6'!E210="&lt;please select&gt;","",'Q 6'!E210))</f>
        <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
      </c>
    </row>
    <row r="6379" spans="1:11" x14ac:dyDescent="0.3">
      <c r="A6379" t="s">
        <v>1985</v>
      </c>
      <c r="B6379" t="s">
        <v>1987</v>
      </c>
      <c r="C6379">
        <v>2</v>
      </c>
      <c r="D6379" t="s">
        <v>1447</v>
      </c>
      <c r="E6379" t="s">
        <v>1798</v>
      </c>
      <c r="F6379" t="s">
        <v>1748</v>
      </c>
      <c r="H6379" s="165" t="str">
        <f>IF(ISBLANK('Q 6'!G134),"",IF('Q 6'!G134="&lt;please select&gt;","",'Q 6'!G134))</f>
        <v/>
      </c>
    </row>
    <row r="6380" spans="1:11" x14ac:dyDescent="0.3">
      <c r="A6380" t="s">
        <v>1985</v>
      </c>
      <c r="B6380" t="s">
        <v>1987</v>
      </c>
      <c r="C6380">
        <v>3</v>
      </c>
      <c r="D6380" t="s">
        <v>1447</v>
      </c>
      <c r="E6380" t="s">
        <v>1798</v>
      </c>
      <c r="F6380" t="s">
        <v>1748</v>
      </c>
      <c r="H6380" s="165" t="str">
        <f>IF(ISBLANK('Q 6'!G135),"",IF('Q 6'!G135="&lt;please select&gt;","",'Q 6'!G135))</f>
        <v/>
      </c>
    </row>
    <row r="6381" spans="1:11" x14ac:dyDescent="0.3">
      <c r="A6381" t="s">
        <v>1985</v>
      </c>
      <c r="B6381" t="s">
        <v>1987</v>
      </c>
      <c r="C6381">
        <v>4</v>
      </c>
      <c r="D6381" t="s">
        <v>1447</v>
      </c>
      <c r="E6381" t="s">
        <v>1798</v>
      </c>
      <c r="F6381" t="s">
        <v>1748</v>
      </c>
      <c r="H6381" s="165" t="str">
        <f>IF(ISBLANK('Q 6'!G136),"",IF('Q 6'!G136="&lt;please select&gt;","",'Q 6'!G136))</f>
        <v/>
      </c>
    </row>
    <row r="6382" spans="1:11" x14ac:dyDescent="0.3">
      <c r="A6382" t="s">
        <v>1985</v>
      </c>
      <c r="B6382" t="s">
        <v>1987</v>
      </c>
      <c r="C6382">
        <v>5</v>
      </c>
      <c r="D6382" t="s">
        <v>1447</v>
      </c>
      <c r="E6382" t="s">
        <v>1798</v>
      </c>
      <c r="F6382" t="s">
        <v>1748</v>
      </c>
      <c r="H6382" s="165" t="str">
        <f>IF(ISBLANK('Q 6'!G137),"",IF('Q 6'!G137="&lt;please select&gt;","",'Q 6'!G137))</f>
        <v/>
      </c>
    </row>
    <row r="6383" spans="1:11" x14ac:dyDescent="0.3">
      <c r="A6383" t="s">
        <v>1985</v>
      </c>
      <c r="B6383" t="s">
        <v>1987</v>
      </c>
      <c r="C6383">
        <v>6</v>
      </c>
      <c r="D6383" t="s">
        <v>1447</v>
      </c>
      <c r="E6383" t="s">
        <v>1798</v>
      </c>
      <c r="F6383" t="s">
        <v>1748</v>
      </c>
      <c r="H6383" s="165" t="str">
        <f>IF(ISBLANK('Q 6'!G138),"",IF('Q 6'!G138="&lt;please select&gt;","",'Q 6'!G138))</f>
        <v/>
      </c>
    </row>
    <row r="6384" spans="1:11" x14ac:dyDescent="0.3">
      <c r="A6384" t="s">
        <v>1985</v>
      </c>
      <c r="B6384" t="s">
        <v>1987</v>
      </c>
      <c r="C6384">
        <v>7</v>
      </c>
      <c r="D6384" t="s">
        <v>1447</v>
      </c>
      <c r="E6384" t="s">
        <v>1798</v>
      </c>
      <c r="F6384" t="s">
        <v>1748</v>
      </c>
      <c r="H6384" s="165" t="str">
        <f>IF(ISBLANK('Q 6'!G139),"",IF('Q 6'!G139="&lt;please select&gt;","",'Q 6'!G139))</f>
        <v/>
      </c>
    </row>
    <row r="6385" spans="1:8" x14ac:dyDescent="0.3">
      <c r="A6385" t="s">
        <v>1985</v>
      </c>
      <c r="B6385" t="s">
        <v>1987</v>
      </c>
      <c r="C6385">
        <v>8</v>
      </c>
      <c r="D6385" t="s">
        <v>1447</v>
      </c>
      <c r="E6385" t="s">
        <v>1798</v>
      </c>
      <c r="F6385" t="s">
        <v>1748</v>
      </c>
      <c r="H6385" s="165" t="str">
        <f>IF(ISBLANK('Q 6'!G140),"",IF('Q 6'!G140="&lt;please select&gt;","",'Q 6'!G140))</f>
        <v/>
      </c>
    </row>
    <row r="6386" spans="1:8" x14ac:dyDescent="0.3">
      <c r="A6386" t="s">
        <v>1985</v>
      </c>
      <c r="B6386" t="s">
        <v>1987</v>
      </c>
      <c r="C6386">
        <v>9</v>
      </c>
      <c r="D6386" t="s">
        <v>1447</v>
      </c>
      <c r="E6386" t="s">
        <v>1798</v>
      </c>
      <c r="F6386" t="s">
        <v>1748</v>
      </c>
      <c r="H6386" s="165" t="str">
        <f>IF(ISBLANK('Q 6'!G141),"",IF('Q 6'!G141="&lt;please select&gt;","",'Q 6'!G141))</f>
        <v/>
      </c>
    </row>
    <row r="6387" spans="1:8" x14ac:dyDescent="0.3">
      <c r="A6387" t="s">
        <v>1985</v>
      </c>
      <c r="B6387" t="s">
        <v>1987</v>
      </c>
      <c r="C6387">
        <v>10</v>
      </c>
      <c r="D6387" t="s">
        <v>1447</v>
      </c>
      <c r="E6387" t="s">
        <v>1798</v>
      </c>
      <c r="F6387" t="s">
        <v>1748</v>
      </c>
      <c r="H6387" s="165" t="str">
        <f>IF(ISBLANK('Q 6'!G142),"",IF('Q 6'!G142="&lt;please select&gt;","",'Q 6'!G142))</f>
        <v/>
      </c>
    </row>
    <row r="6388" spans="1:8" x14ac:dyDescent="0.3">
      <c r="A6388" t="s">
        <v>1985</v>
      </c>
      <c r="B6388" t="s">
        <v>1987</v>
      </c>
      <c r="C6388">
        <v>11</v>
      </c>
      <c r="D6388" t="s">
        <v>1447</v>
      </c>
      <c r="E6388" t="s">
        <v>1798</v>
      </c>
      <c r="F6388" t="s">
        <v>1748</v>
      </c>
      <c r="H6388" s="165" t="str">
        <f>IF(ISBLANK('Q 6'!G143),"",IF('Q 6'!G143="&lt;please select&gt;","",'Q 6'!G143))</f>
        <v/>
      </c>
    </row>
    <row r="6389" spans="1:8" x14ac:dyDescent="0.3">
      <c r="A6389" t="s">
        <v>1985</v>
      </c>
      <c r="B6389" t="s">
        <v>1987</v>
      </c>
      <c r="C6389">
        <v>12</v>
      </c>
      <c r="D6389" t="s">
        <v>1447</v>
      </c>
      <c r="E6389" t="s">
        <v>1798</v>
      </c>
      <c r="F6389" t="s">
        <v>1748</v>
      </c>
      <c r="H6389" s="165" t="str">
        <f>IF(ISBLANK('Q 6'!G144),"",IF('Q 6'!G144="&lt;please select&gt;","",'Q 6'!G144))</f>
        <v/>
      </c>
    </row>
    <row r="6390" spans="1:8" x14ac:dyDescent="0.3">
      <c r="A6390" t="s">
        <v>1985</v>
      </c>
      <c r="B6390" t="s">
        <v>1987</v>
      </c>
      <c r="C6390">
        <v>13</v>
      </c>
      <c r="D6390" t="s">
        <v>1447</v>
      </c>
      <c r="E6390" t="s">
        <v>1798</v>
      </c>
      <c r="F6390" t="s">
        <v>1748</v>
      </c>
      <c r="H6390" s="165" t="str">
        <f>IF(ISBLANK('Q 6'!G145),"",IF('Q 6'!G145="&lt;please select&gt;","",'Q 6'!G145))</f>
        <v/>
      </c>
    </row>
    <row r="6391" spans="1:8" x14ac:dyDescent="0.3">
      <c r="A6391" t="s">
        <v>1985</v>
      </c>
      <c r="B6391" t="s">
        <v>1987</v>
      </c>
      <c r="C6391">
        <v>14</v>
      </c>
      <c r="D6391" t="s">
        <v>1447</v>
      </c>
      <c r="E6391" t="s">
        <v>1798</v>
      </c>
      <c r="F6391" t="s">
        <v>1748</v>
      </c>
      <c r="H6391" s="165" t="str">
        <f>IF(ISBLANK('Q 6'!G146),"",IF('Q 6'!G146="&lt;please select&gt;","",'Q 6'!G146))</f>
        <v/>
      </c>
    </row>
    <row r="6392" spans="1:8" x14ac:dyDescent="0.3">
      <c r="A6392" t="s">
        <v>1985</v>
      </c>
      <c r="B6392" t="s">
        <v>1987</v>
      </c>
      <c r="C6392">
        <v>15</v>
      </c>
      <c r="D6392" t="s">
        <v>1447</v>
      </c>
      <c r="E6392" t="s">
        <v>1798</v>
      </c>
      <c r="F6392" t="s">
        <v>1748</v>
      </c>
      <c r="H6392" s="165" t="str">
        <f>IF(ISBLANK('Q 6'!G147),"",IF('Q 6'!G147="&lt;please select&gt;","",'Q 6'!G147))</f>
        <v/>
      </c>
    </row>
    <row r="6393" spans="1:8" x14ac:dyDescent="0.3">
      <c r="A6393" t="s">
        <v>1985</v>
      </c>
      <c r="B6393" t="s">
        <v>1987</v>
      </c>
      <c r="C6393">
        <v>16</v>
      </c>
      <c r="D6393" t="s">
        <v>1447</v>
      </c>
      <c r="E6393" t="s">
        <v>1798</v>
      </c>
      <c r="F6393" t="s">
        <v>1748</v>
      </c>
      <c r="H6393" s="165" t="str">
        <f>IF(ISBLANK('Q 6'!G148),"",IF('Q 6'!G148="&lt;please select&gt;","",'Q 6'!G148))</f>
        <v/>
      </c>
    </row>
    <row r="6394" spans="1:8" x14ac:dyDescent="0.3">
      <c r="A6394" t="s">
        <v>1985</v>
      </c>
      <c r="B6394" t="s">
        <v>1987</v>
      </c>
      <c r="C6394">
        <v>17</v>
      </c>
      <c r="D6394" t="s">
        <v>1447</v>
      </c>
      <c r="E6394" t="s">
        <v>1798</v>
      </c>
      <c r="F6394" t="s">
        <v>1748</v>
      </c>
      <c r="H6394" s="165" t="str">
        <f>IF(ISBLANK('Q 6'!G149),"",IF('Q 6'!G149="&lt;please select&gt;","",'Q 6'!G149))</f>
        <v/>
      </c>
    </row>
    <row r="6395" spans="1:8" x14ac:dyDescent="0.3">
      <c r="A6395" t="s">
        <v>1985</v>
      </c>
      <c r="B6395" t="s">
        <v>1987</v>
      </c>
      <c r="C6395">
        <v>18</v>
      </c>
      <c r="D6395" t="s">
        <v>1447</v>
      </c>
      <c r="E6395" t="s">
        <v>1798</v>
      </c>
      <c r="F6395" t="s">
        <v>1748</v>
      </c>
      <c r="H6395" s="165" t="str">
        <f>IF(ISBLANK('Q 6'!G150),"",IF('Q 6'!G150="&lt;please select&gt;","",'Q 6'!G150))</f>
        <v/>
      </c>
    </row>
    <row r="6396" spans="1:8" x14ac:dyDescent="0.3">
      <c r="A6396" t="s">
        <v>1985</v>
      </c>
      <c r="B6396" t="s">
        <v>1987</v>
      </c>
      <c r="C6396">
        <v>19</v>
      </c>
      <c r="D6396" t="s">
        <v>1447</v>
      </c>
      <c r="E6396" t="s">
        <v>1798</v>
      </c>
      <c r="F6396" t="s">
        <v>1748</v>
      </c>
      <c r="H6396" s="165" t="str">
        <f>IF(ISBLANK('Q 6'!G151),"",IF('Q 6'!G151="&lt;please select&gt;","",'Q 6'!G151))</f>
        <v/>
      </c>
    </row>
    <row r="6397" spans="1:8" x14ac:dyDescent="0.3">
      <c r="A6397" t="s">
        <v>1985</v>
      </c>
      <c r="B6397" t="s">
        <v>1987</v>
      </c>
      <c r="C6397">
        <v>20</v>
      </c>
      <c r="D6397" t="s">
        <v>1447</v>
      </c>
      <c r="E6397" t="s">
        <v>1798</v>
      </c>
      <c r="F6397" t="s">
        <v>1748</v>
      </c>
      <c r="H6397" s="165" t="str">
        <f>IF(ISBLANK('Q 6'!G152),"",IF('Q 6'!G152="&lt;please select&gt;","",'Q 6'!G152))</f>
        <v/>
      </c>
    </row>
    <row r="6398" spans="1:8" x14ac:dyDescent="0.3">
      <c r="A6398" t="s">
        <v>1985</v>
      </c>
      <c r="B6398" t="s">
        <v>1987</v>
      </c>
      <c r="C6398">
        <v>21</v>
      </c>
      <c r="D6398" t="s">
        <v>1447</v>
      </c>
      <c r="E6398" t="s">
        <v>1798</v>
      </c>
      <c r="F6398" t="s">
        <v>1748</v>
      </c>
      <c r="H6398" s="165" t="str">
        <f>IF(ISBLANK('Q 6'!G153),"",IF('Q 6'!G153="&lt;please select&gt;","",'Q 6'!G153))</f>
        <v/>
      </c>
    </row>
    <row r="6399" spans="1:8" x14ac:dyDescent="0.3">
      <c r="A6399" t="s">
        <v>1985</v>
      </c>
      <c r="B6399" t="s">
        <v>1987</v>
      </c>
      <c r="C6399">
        <v>22</v>
      </c>
      <c r="D6399" t="s">
        <v>1447</v>
      </c>
      <c r="E6399" t="s">
        <v>1798</v>
      </c>
      <c r="F6399" t="s">
        <v>1748</v>
      </c>
      <c r="H6399" s="165" t="str">
        <f>IF(ISBLANK('Q 6'!G154),"",IF('Q 6'!G154="&lt;please select&gt;","",'Q 6'!G154))</f>
        <v/>
      </c>
    </row>
    <row r="6400" spans="1:8" x14ac:dyDescent="0.3">
      <c r="A6400" t="s">
        <v>1985</v>
      </c>
      <c r="B6400" t="s">
        <v>1987</v>
      </c>
      <c r="C6400">
        <v>23</v>
      </c>
      <c r="D6400" t="s">
        <v>1447</v>
      </c>
      <c r="E6400" t="s">
        <v>1798</v>
      </c>
      <c r="F6400" t="s">
        <v>1748</v>
      </c>
      <c r="H6400" s="165" t="str">
        <f>IF(ISBLANK('Q 6'!G155),"",IF('Q 6'!G155="&lt;please select&gt;","",'Q 6'!G155))</f>
        <v/>
      </c>
    </row>
    <row r="6401" spans="1:8" x14ac:dyDescent="0.3">
      <c r="A6401" t="s">
        <v>1985</v>
      </c>
      <c r="B6401" t="s">
        <v>1987</v>
      </c>
      <c r="C6401">
        <v>24</v>
      </c>
      <c r="D6401" t="s">
        <v>1447</v>
      </c>
      <c r="E6401" t="s">
        <v>1798</v>
      </c>
      <c r="F6401" t="s">
        <v>1748</v>
      </c>
      <c r="H6401" s="165" t="str">
        <f>IF(ISBLANK('Q 6'!G156),"",IF('Q 6'!G156="&lt;please select&gt;","",'Q 6'!G156))</f>
        <v/>
      </c>
    </row>
    <row r="6402" spans="1:8" x14ac:dyDescent="0.3">
      <c r="A6402" t="s">
        <v>1985</v>
      </c>
      <c r="B6402" t="s">
        <v>1987</v>
      </c>
      <c r="C6402">
        <v>25</v>
      </c>
      <c r="D6402" t="s">
        <v>1447</v>
      </c>
      <c r="E6402" t="s">
        <v>1798</v>
      </c>
      <c r="F6402" t="s">
        <v>1748</v>
      </c>
      <c r="H6402" s="165" t="str">
        <f>IF(ISBLANK('Q 6'!G157),"",IF('Q 6'!G157="&lt;please select&gt;","",'Q 6'!G157))</f>
        <v/>
      </c>
    </row>
    <row r="6403" spans="1:8" x14ac:dyDescent="0.3">
      <c r="A6403" t="s">
        <v>1985</v>
      </c>
      <c r="B6403" t="s">
        <v>1987</v>
      </c>
      <c r="C6403">
        <v>26</v>
      </c>
      <c r="D6403" t="s">
        <v>1447</v>
      </c>
      <c r="E6403" t="s">
        <v>1798</v>
      </c>
      <c r="F6403" t="s">
        <v>1748</v>
      </c>
      <c r="H6403" s="165" t="str">
        <f>IF(ISBLANK('Q 6'!G158),"",IF('Q 6'!G158="&lt;please select&gt;","",'Q 6'!G158))</f>
        <v/>
      </c>
    </row>
    <row r="6404" spans="1:8" x14ac:dyDescent="0.3">
      <c r="A6404" t="s">
        <v>1985</v>
      </c>
      <c r="B6404" t="s">
        <v>1987</v>
      </c>
      <c r="C6404">
        <v>27</v>
      </c>
      <c r="D6404" t="s">
        <v>1447</v>
      </c>
      <c r="E6404" t="s">
        <v>1798</v>
      </c>
      <c r="F6404" t="s">
        <v>1748</v>
      </c>
      <c r="H6404" s="165" t="str">
        <f>IF(ISBLANK('Q 6'!G159),"",IF('Q 6'!G159="&lt;please select&gt;","",'Q 6'!G159))</f>
        <v/>
      </c>
    </row>
    <row r="6405" spans="1:8" x14ac:dyDescent="0.3">
      <c r="A6405" t="s">
        <v>1985</v>
      </c>
      <c r="B6405" t="s">
        <v>1987</v>
      </c>
      <c r="C6405">
        <v>28</v>
      </c>
      <c r="D6405" t="s">
        <v>1447</v>
      </c>
      <c r="E6405" t="s">
        <v>1798</v>
      </c>
      <c r="F6405" t="s">
        <v>1748</v>
      </c>
      <c r="H6405" s="165" t="str">
        <f>IF(ISBLANK('Q 6'!G160),"",IF('Q 6'!G160="&lt;please select&gt;","",'Q 6'!G160))</f>
        <v/>
      </c>
    </row>
    <row r="6406" spans="1:8" x14ac:dyDescent="0.3">
      <c r="A6406" t="s">
        <v>1985</v>
      </c>
      <c r="B6406" t="s">
        <v>1987</v>
      </c>
      <c r="C6406">
        <v>29</v>
      </c>
      <c r="D6406" t="s">
        <v>1447</v>
      </c>
      <c r="E6406" t="s">
        <v>1798</v>
      </c>
      <c r="F6406" t="s">
        <v>1748</v>
      </c>
      <c r="H6406" s="165" t="str">
        <f>IF(ISBLANK('Q 6'!G161),"",IF('Q 6'!G161="&lt;please select&gt;","",'Q 6'!G161))</f>
        <v/>
      </c>
    </row>
    <row r="6407" spans="1:8" x14ac:dyDescent="0.3">
      <c r="A6407" t="s">
        <v>1985</v>
      </c>
      <c r="B6407" t="s">
        <v>1987</v>
      </c>
      <c r="C6407">
        <v>30</v>
      </c>
      <c r="D6407" t="s">
        <v>1447</v>
      </c>
      <c r="E6407" t="s">
        <v>1798</v>
      </c>
      <c r="F6407" t="s">
        <v>1748</v>
      </c>
      <c r="H6407" s="165" t="str">
        <f>IF(ISBLANK('Q 6'!G162),"",IF('Q 6'!G162="&lt;please select&gt;","",'Q 6'!G162))</f>
        <v/>
      </c>
    </row>
    <row r="6408" spans="1:8" x14ac:dyDescent="0.3">
      <c r="A6408" t="s">
        <v>1985</v>
      </c>
      <c r="B6408" t="s">
        <v>1987</v>
      </c>
      <c r="C6408">
        <v>31</v>
      </c>
      <c r="D6408" t="s">
        <v>1447</v>
      </c>
      <c r="E6408" t="s">
        <v>1798</v>
      </c>
      <c r="F6408" t="s">
        <v>1748</v>
      </c>
      <c r="H6408" s="165" t="str">
        <f>IF(ISBLANK('Q 6'!G163),"",IF('Q 6'!G163="&lt;please select&gt;","",'Q 6'!G163))</f>
        <v/>
      </c>
    </row>
    <row r="6409" spans="1:8" x14ac:dyDescent="0.3">
      <c r="A6409" t="s">
        <v>1985</v>
      </c>
      <c r="B6409" t="s">
        <v>1987</v>
      </c>
      <c r="C6409">
        <v>32</v>
      </c>
      <c r="D6409" t="s">
        <v>1447</v>
      </c>
      <c r="E6409" t="s">
        <v>1798</v>
      </c>
      <c r="F6409" t="s">
        <v>1748</v>
      </c>
      <c r="H6409" s="165" t="str">
        <f>IF(ISBLANK('Q 6'!G164),"",IF('Q 6'!G164="&lt;please select&gt;","",'Q 6'!G164))</f>
        <v/>
      </c>
    </row>
    <row r="6410" spans="1:8" x14ac:dyDescent="0.3">
      <c r="A6410" t="s">
        <v>1985</v>
      </c>
      <c r="B6410" t="s">
        <v>1987</v>
      </c>
      <c r="C6410">
        <v>33</v>
      </c>
      <c r="D6410" t="s">
        <v>1447</v>
      </c>
      <c r="E6410" t="s">
        <v>1798</v>
      </c>
      <c r="F6410" t="s">
        <v>1748</v>
      </c>
      <c r="H6410" s="165" t="str">
        <f>IF(ISBLANK('Q 6'!G165),"",IF('Q 6'!G165="&lt;please select&gt;","",'Q 6'!G165))</f>
        <v/>
      </c>
    </row>
    <row r="6411" spans="1:8" x14ac:dyDescent="0.3">
      <c r="A6411" t="s">
        <v>1985</v>
      </c>
      <c r="B6411" t="s">
        <v>1987</v>
      </c>
      <c r="C6411">
        <v>34</v>
      </c>
      <c r="D6411" t="s">
        <v>1447</v>
      </c>
      <c r="E6411" t="s">
        <v>1798</v>
      </c>
      <c r="F6411" t="s">
        <v>1748</v>
      </c>
      <c r="H6411" s="165" t="str">
        <f>IF(ISBLANK('Q 6'!G166),"",IF('Q 6'!G166="&lt;please select&gt;","",'Q 6'!G166))</f>
        <v/>
      </c>
    </row>
    <row r="6412" spans="1:8" x14ac:dyDescent="0.3">
      <c r="A6412" t="s">
        <v>1985</v>
      </c>
      <c r="B6412" t="s">
        <v>1987</v>
      </c>
      <c r="C6412">
        <v>35</v>
      </c>
      <c r="D6412" t="s">
        <v>1447</v>
      </c>
      <c r="E6412" t="s">
        <v>1798</v>
      </c>
      <c r="F6412" t="s">
        <v>1748</v>
      </c>
      <c r="H6412" s="165" t="str">
        <f>IF(ISBLANK('Q 6'!G167),"",IF('Q 6'!G167="&lt;please select&gt;","",'Q 6'!G167))</f>
        <v/>
      </c>
    </row>
    <row r="6413" spans="1:8" x14ac:dyDescent="0.3">
      <c r="A6413" t="s">
        <v>1985</v>
      </c>
      <c r="B6413" t="s">
        <v>1987</v>
      </c>
      <c r="C6413">
        <v>36</v>
      </c>
      <c r="D6413" t="s">
        <v>1447</v>
      </c>
      <c r="E6413" t="s">
        <v>1798</v>
      </c>
      <c r="F6413" t="s">
        <v>1748</v>
      </c>
      <c r="H6413" s="165" t="str">
        <f>IF(ISBLANK('Q 6'!G168),"",IF('Q 6'!G168="&lt;please select&gt;","",'Q 6'!G168))</f>
        <v/>
      </c>
    </row>
    <row r="6414" spans="1:8" x14ac:dyDescent="0.3">
      <c r="A6414" t="s">
        <v>1985</v>
      </c>
      <c r="B6414" t="s">
        <v>1987</v>
      </c>
      <c r="C6414">
        <v>37</v>
      </c>
      <c r="D6414" t="s">
        <v>1447</v>
      </c>
      <c r="E6414" t="s">
        <v>1798</v>
      </c>
      <c r="F6414" t="s">
        <v>1748</v>
      </c>
      <c r="H6414" s="165" t="str">
        <f>IF(ISBLANK('Q 6'!G169),"",IF('Q 6'!G169="&lt;please select&gt;","",'Q 6'!G169))</f>
        <v/>
      </c>
    </row>
    <row r="6415" spans="1:8" x14ac:dyDescent="0.3">
      <c r="A6415" t="s">
        <v>1985</v>
      </c>
      <c r="B6415" t="s">
        <v>1987</v>
      </c>
      <c r="C6415">
        <v>38</v>
      </c>
      <c r="D6415" t="s">
        <v>1447</v>
      </c>
      <c r="E6415" t="s">
        <v>1798</v>
      </c>
      <c r="F6415" t="s">
        <v>1748</v>
      </c>
      <c r="H6415" s="165" t="str">
        <f>IF(ISBLANK('Q 6'!G170),"",IF('Q 6'!G170="&lt;please select&gt;","",'Q 6'!G170))</f>
        <v/>
      </c>
    </row>
    <row r="6416" spans="1:8" x14ac:dyDescent="0.3">
      <c r="A6416" t="s">
        <v>1985</v>
      </c>
      <c r="B6416" t="s">
        <v>1987</v>
      </c>
      <c r="C6416">
        <v>39</v>
      </c>
      <c r="D6416" t="s">
        <v>1447</v>
      </c>
      <c r="E6416" t="s">
        <v>1798</v>
      </c>
      <c r="F6416" t="s">
        <v>1748</v>
      </c>
      <c r="H6416" s="165" t="str">
        <f>IF(ISBLANK('Q 6'!G171),"",IF('Q 6'!G171="&lt;please select&gt;","",'Q 6'!G171))</f>
        <v/>
      </c>
    </row>
    <row r="6417" spans="1:8" x14ac:dyDescent="0.3">
      <c r="A6417" t="s">
        <v>1985</v>
      </c>
      <c r="B6417" t="s">
        <v>1987</v>
      </c>
      <c r="C6417">
        <v>40</v>
      </c>
      <c r="D6417" t="s">
        <v>1447</v>
      </c>
      <c r="E6417" t="s">
        <v>1798</v>
      </c>
      <c r="F6417" t="s">
        <v>1748</v>
      </c>
      <c r="H6417" s="165" t="str">
        <f>IF(ISBLANK('Q 6'!G172),"",IF('Q 6'!G172="&lt;please select&gt;","",'Q 6'!G172))</f>
        <v/>
      </c>
    </row>
    <row r="6418" spans="1:8" x14ac:dyDescent="0.3">
      <c r="A6418" t="s">
        <v>1985</v>
      </c>
      <c r="B6418" t="s">
        <v>1987</v>
      </c>
      <c r="C6418">
        <v>41</v>
      </c>
      <c r="D6418" t="s">
        <v>1447</v>
      </c>
      <c r="E6418" t="s">
        <v>1798</v>
      </c>
      <c r="F6418" t="s">
        <v>1748</v>
      </c>
      <c r="H6418" s="165" t="str">
        <f>IF(ISBLANK('Q 6'!G173),"",IF('Q 6'!G173="&lt;please select&gt;","",'Q 6'!G173))</f>
        <v/>
      </c>
    </row>
    <row r="6419" spans="1:8" x14ac:dyDescent="0.3">
      <c r="A6419" t="s">
        <v>1985</v>
      </c>
      <c r="B6419" t="s">
        <v>1987</v>
      </c>
      <c r="C6419">
        <v>42</v>
      </c>
      <c r="D6419" t="s">
        <v>1447</v>
      </c>
      <c r="E6419" t="s">
        <v>1798</v>
      </c>
      <c r="F6419" t="s">
        <v>1748</v>
      </c>
      <c r="H6419" s="165" t="str">
        <f>IF(ISBLANK('Q 6'!G174),"",IF('Q 6'!G174="&lt;please select&gt;","",'Q 6'!G174))</f>
        <v/>
      </c>
    </row>
    <row r="6420" spans="1:8" x14ac:dyDescent="0.3">
      <c r="A6420" t="s">
        <v>1985</v>
      </c>
      <c r="B6420" t="s">
        <v>1987</v>
      </c>
      <c r="C6420">
        <v>43</v>
      </c>
      <c r="D6420" t="s">
        <v>1447</v>
      </c>
      <c r="E6420" t="s">
        <v>1798</v>
      </c>
      <c r="F6420" t="s">
        <v>1748</v>
      </c>
      <c r="H6420" s="165" t="str">
        <f>IF(ISBLANK('Q 6'!G175),"",IF('Q 6'!G175="&lt;please select&gt;","",'Q 6'!G175))</f>
        <v/>
      </c>
    </row>
    <row r="6421" spans="1:8" x14ac:dyDescent="0.3">
      <c r="A6421" t="s">
        <v>1985</v>
      </c>
      <c r="B6421" t="s">
        <v>1987</v>
      </c>
      <c r="C6421">
        <v>44</v>
      </c>
      <c r="D6421" t="s">
        <v>1447</v>
      </c>
      <c r="E6421" t="s">
        <v>1798</v>
      </c>
      <c r="F6421" t="s">
        <v>1748</v>
      </c>
      <c r="H6421" s="165" t="str">
        <f>IF(ISBLANK('Q 6'!G176),"",IF('Q 6'!G176="&lt;please select&gt;","",'Q 6'!G176))</f>
        <v/>
      </c>
    </row>
    <row r="6422" spans="1:8" x14ac:dyDescent="0.3">
      <c r="A6422" t="s">
        <v>1985</v>
      </c>
      <c r="B6422" t="s">
        <v>1987</v>
      </c>
      <c r="C6422">
        <v>45</v>
      </c>
      <c r="D6422" t="s">
        <v>1447</v>
      </c>
      <c r="E6422" t="s">
        <v>1798</v>
      </c>
      <c r="F6422" t="s">
        <v>1748</v>
      </c>
      <c r="H6422" s="165" t="str">
        <f>IF(ISBLANK('Q 6'!G177),"",IF('Q 6'!G177="&lt;please select&gt;","",'Q 6'!G177))</f>
        <v/>
      </c>
    </row>
    <row r="6423" spans="1:8" x14ac:dyDescent="0.3">
      <c r="A6423" t="s">
        <v>1985</v>
      </c>
      <c r="B6423" t="s">
        <v>1987</v>
      </c>
      <c r="C6423">
        <v>46</v>
      </c>
      <c r="D6423" t="s">
        <v>1447</v>
      </c>
      <c r="E6423" t="s">
        <v>1798</v>
      </c>
      <c r="F6423" t="s">
        <v>1748</v>
      </c>
      <c r="H6423" s="165" t="str">
        <f>IF(ISBLANK('Q 6'!G178),"",IF('Q 6'!G178="&lt;please select&gt;","",'Q 6'!G178))</f>
        <v/>
      </c>
    </row>
    <row r="6424" spans="1:8" x14ac:dyDescent="0.3">
      <c r="A6424" t="s">
        <v>1985</v>
      </c>
      <c r="B6424" t="s">
        <v>1987</v>
      </c>
      <c r="C6424">
        <v>47</v>
      </c>
      <c r="D6424" t="s">
        <v>1447</v>
      </c>
      <c r="E6424" t="s">
        <v>1798</v>
      </c>
      <c r="F6424" t="s">
        <v>1748</v>
      </c>
      <c r="H6424" s="165" t="str">
        <f>IF(ISBLANK('Q 6'!G179),"",IF('Q 6'!G179="&lt;please select&gt;","",'Q 6'!G179))</f>
        <v/>
      </c>
    </row>
    <row r="6425" spans="1:8" x14ac:dyDescent="0.3">
      <c r="A6425" t="s">
        <v>1985</v>
      </c>
      <c r="B6425" t="s">
        <v>1987</v>
      </c>
      <c r="C6425">
        <v>48</v>
      </c>
      <c r="D6425" t="s">
        <v>1447</v>
      </c>
      <c r="E6425" t="s">
        <v>1798</v>
      </c>
      <c r="F6425" t="s">
        <v>1748</v>
      </c>
      <c r="H6425" s="165" t="str">
        <f>IF(ISBLANK('Q 6'!G180),"",IF('Q 6'!G180="&lt;please select&gt;","",'Q 6'!G180))</f>
        <v/>
      </c>
    </row>
    <row r="6426" spans="1:8" x14ac:dyDescent="0.3">
      <c r="A6426" t="s">
        <v>1985</v>
      </c>
      <c r="B6426" t="s">
        <v>1987</v>
      </c>
      <c r="C6426">
        <v>49</v>
      </c>
      <c r="D6426" t="s">
        <v>1447</v>
      </c>
      <c r="E6426" t="s">
        <v>1798</v>
      </c>
      <c r="F6426" t="s">
        <v>1748</v>
      </c>
      <c r="H6426" s="165" t="str">
        <f>IF(ISBLANK('Q 6'!G181),"",IF('Q 6'!G181="&lt;please select&gt;","",'Q 6'!G181))</f>
        <v/>
      </c>
    </row>
    <row r="6427" spans="1:8" x14ac:dyDescent="0.3">
      <c r="A6427" t="s">
        <v>1985</v>
      </c>
      <c r="B6427" t="s">
        <v>1987</v>
      </c>
      <c r="C6427">
        <v>50</v>
      </c>
      <c r="D6427" t="s">
        <v>1447</v>
      </c>
      <c r="E6427" t="s">
        <v>1798</v>
      </c>
      <c r="F6427" t="s">
        <v>1748</v>
      </c>
      <c r="H6427" s="165" t="str">
        <f>IF(ISBLANK('Q 6'!G182),"",IF('Q 6'!G182="&lt;please select&gt;","",'Q 6'!G182))</f>
        <v/>
      </c>
    </row>
    <row r="6428" spans="1:8" x14ac:dyDescent="0.3">
      <c r="A6428" t="s">
        <v>1985</v>
      </c>
      <c r="B6428" t="s">
        <v>1987</v>
      </c>
      <c r="C6428">
        <v>51</v>
      </c>
      <c r="D6428" t="s">
        <v>1447</v>
      </c>
      <c r="E6428" t="s">
        <v>1798</v>
      </c>
      <c r="F6428" t="s">
        <v>1748</v>
      </c>
      <c r="H6428" s="165" t="str">
        <f>IF(ISBLANK('Q 6'!G183),"",IF('Q 6'!G183="&lt;please select&gt;","",'Q 6'!G183))</f>
        <v/>
      </c>
    </row>
    <row r="6429" spans="1:8" x14ac:dyDescent="0.3">
      <c r="A6429" t="s">
        <v>1985</v>
      </c>
      <c r="B6429" t="s">
        <v>1987</v>
      </c>
      <c r="C6429">
        <v>52</v>
      </c>
      <c r="D6429" t="s">
        <v>1447</v>
      </c>
      <c r="E6429" t="s">
        <v>1798</v>
      </c>
      <c r="F6429" t="s">
        <v>1748</v>
      </c>
      <c r="H6429" s="165" t="str">
        <f>IF(ISBLANK('Q 6'!G184),"",IF('Q 6'!G184="&lt;please select&gt;","",'Q 6'!G184))</f>
        <v/>
      </c>
    </row>
    <row r="6430" spans="1:8" x14ac:dyDescent="0.3">
      <c r="A6430" t="s">
        <v>1985</v>
      </c>
      <c r="B6430" t="s">
        <v>1987</v>
      </c>
      <c r="C6430">
        <v>53</v>
      </c>
      <c r="D6430" t="s">
        <v>1447</v>
      </c>
      <c r="E6430" t="s">
        <v>1798</v>
      </c>
      <c r="F6430" t="s">
        <v>1748</v>
      </c>
      <c r="H6430" s="165" t="str">
        <f>IF(ISBLANK('Q 6'!G185),"",IF('Q 6'!G185="&lt;please select&gt;","",'Q 6'!G185))</f>
        <v/>
      </c>
    </row>
    <row r="6431" spans="1:8" x14ac:dyDescent="0.3">
      <c r="A6431" t="s">
        <v>1985</v>
      </c>
      <c r="B6431" t="s">
        <v>1987</v>
      </c>
      <c r="C6431">
        <v>54</v>
      </c>
      <c r="D6431" t="s">
        <v>1447</v>
      </c>
      <c r="E6431" t="s">
        <v>1798</v>
      </c>
      <c r="F6431" t="s">
        <v>1748</v>
      </c>
      <c r="H6431" s="165" t="str">
        <f>IF(ISBLANK('Q 6'!G186),"",IF('Q 6'!G186="&lt;please select&gt;","",'Q 6'!G186))</f>
        <v/>
      </c>
    </row>
    <row r="6432" spans="1:8" x14ac:dyDescent="0.3">
      <c r="A6432" t="s">
        <v>1985</v>
      </c>
      <c r="B6432" t="s">
        <v>1987</v>
      </c>
      <c r="C6432">
        <v>55</v>
      </c>
      <c r="D6432" t="s">
        <v>1447</v>
      </c>
      <c r="E6432" t="s">
        <v>1798</v>
      </c>
      <c r="F6432" t="s">
        <v>1748</v>
      </c>
      <c r="H6432" s="165" t="str">
        <f>IF(ISBLANK('Q 6'!G187),"",IF('Q 6'!G187="&lt;please select&gt;","",'Q 6'!G187))</f>
        <v/>
      </c>
    </row>
    <row r="6433" spans="1:8" x14ac:dyDescent="0.3">
      <c r="A6433" t="s">
        <v>1985</v>
      </c>
      <c r="B6433" t="s">
        <v>1987</v>
      </c>
      <c r="C6433">
        <v>56</v>
      </c>
      <c r="D6433" t="s">
        <v>1447</v>
      </c>
      <c r="E6433" t="s">
        <v>1798</v>
      </c>
      <c r="F6433" t="s">
        <v>1748</v>
      </c>
      <c r="H6433" s="165" t="str">
        <f>IF(ISBLANK('Q 6'!G188),"",IF('Q 6'!G188="&lt;please select&gt;","",'Q 6'!G188))</f>
        <v/>
      </c>
    </row>
    <row r="6434" spans="1:8" x14ac:dyDescent="0.3">
      <c r="A6434" t="s">
        <v>1985</v>
      </c>
      <c r="B6434" t="s">
        <v>1987</v>
      </c>
      <c r="C6434">
        <v>57</v>
      </c>
      <c r="D6434" t="s">
        <v>1447</v>
      </c>
      <c r="E6434" t="s">
        <v>1798</v>
      </c>
      <c r="F6434" t="s">
        <v>1748</v>
      </c>
      <c r="H6434" s="165" t="str">
        <f>IF(ISBLANK('Q 6'!G189),"",IF('Q 6'!G189="&lt;please select&gt;","",'Q 6'!G189))</f>
        <v/>
      </c>
    </row>
    <row r="6435" spans="1:8" x14ac:dyDescent="0.3">
      <c r="A6435" t="s">
        <v>1985</v>
      </c>
      <c r="B6435" t="s">
        <v>1987</v>
      </c>
      <c r="C6435">
        <v>58</v>
      </c>
      <c r="D6435" t="s">
        <v>1447</v>
      </c>
      <c r="E6435" t="s">
        <v>1798</v>
      </c>
      <c r="F6435" t="s">
        <v>1748</v>
      </c>
      <c r="H6435" s="165" t="str">
        <f>IF(ISBLANK('Q 6'!G190),"",IF('Q 6'!G190="&lt;please select&gt;","",'Q 6'!G190))</f>
        <v/>
      </c>
    </row>
    <row r="6436" spans="1:8" x14ac:dyDescent="0.3">
      <c r="A6436" t="s">
        <v>1985</v>
      </c>
      <c r="B6436" t="s">
        <v>1987</v>
      </c>
      <c r="C6436">
        <v>59</v>
      </c>
      <c r="D6436" t="s">
        <v>1447</v>
      </c>
      <c r="E6436" t="s">
        <v>1798</v>
      </c>
      <c r="F6436" t="s">
        <v>1748</v>
      </c>
      <c r="H6436" s="165" t="str">
        <f>IF(ISBLANK('Q 6'!G191),"",IF('Q 6'!G191="&lt;please select&gt;","",'Q 6'!G191))</f>
        <v/>
      </c>
    </row>
    <row r="6437" spans="1:8" x14ac:dyDescent="0.3">
      <c r="A6437" t="s">
        <v>1985</v>
      </c>
      <c r="B6437" t="s">
        <v>1987</v>
      </c>
      <c r="C6437">
        <v>60</v>
      </c>
      <c r="D6437" t="s">
        <v>1447</v>
      </c>
      <c r="E6437" t="s">
        <v>1798</v>
      </c>
      <c r="F6437" t="s">
        <v>1748</v>
      </c>
      <c r="H6437" s="165" t="str">
        <f>IF(ISBLANK('Q 6'!G192),"",IF('Q 6'!G192="&lt;please select&gt;","",'Q 6'!G192))</f>
        <v/>
      </c>
    </row>
    <row r="6438" spans="1:8" x14ac:dyDescent="0.3">
      <c r="A6438" t="s">
        <v>1985</v>
      </c>
      <c r="B6438" t="s">
        <v>1987</v>
      </c>
      <c r="C6438">
        <v>61</v>
      </c>
      <c r="D6438" t="s">
        <v>1447</v>
      </c>
      <c r="E6438" t="s">
        <v>1798</v>
      </c>
      <c r="F6438" t="s">
        <v>1748</v>
      </c>
      <c r="H6438" s="165" t="str">
        <f>IF(ISBLANK('Q 6'!G193),"",IF('Q 6'!G193="&lt;please select&gt;","",'Q 6'!G193))</f>
        <v/>
      </c>
    </row>
    <row r="6439" spans="1:8" x14ac:dyDescent="0.3">
      <c r="A6439" t="s">
        <v>1985</v>
      </c>
      <c r="B6439" t="s">
        <v>1987</v>
      </c>
      <c r="C6439">
        <v>62</v>
      </c>
      <c r="D6439" t="s">
        <v>1447</v>
      </c>
      <c r="E6439" t="s">
        <v>1798</v>
      </c>
      <c r="F6439" t="s">
        <v>1748</v>
      </c>
      <c r="H6439" s="165" t="str">
        <f>IF(ISBLANK('Q 6'!G194),"",IF('Q 6'!G194="&lt;please select&gt;","",'Q 6'!G194))</f>
        <v/>
      </c>
    </row>
    <row r="6440" spans="1:8" x14ac:dyDescent="0.3">
      <c r="A6440" t="s">
        <v>1985</v>
      </c>
      <c r="B6440" t="s">
        <v>1987</v>
      </c>
      <c r="C6440">
        <v>63</v>
      </c>
      <c r="D6440" t="s">
        <v>1447</v>
      </c>
      <c r="E6440" t="s">
        <v>1798</v>
      </c>
      <c r="F6440" t="s">
        <v>1748</v>
      </c>
      <c r="H6440" s="165" t="str">
        <f>IF(ISBLANK('Q 6'!G195),"",IF('Q 6'!G195="&lt;please select&gt;","",'Q 6'!G195))</f>
        <v/>
      </c>
    </row>
    <row r="6441" spans="1:8" x14ac:dyDescent="0.3">
      <c r="A6441" t="s">
        <v>1985</v>
      </c>
      <c r="B6441" t="s">
        <v>1987</v>
      </c>
      <c r="C6441">
        <v>64</v>
      </c>
      <c r="D6441" t="s">
        <v>1447</v>
      </c>
      <c r="E6441" t="s">
        <v>1798</v>
      </c>
      <c r="F6441" t="s">
        <v>1748</v>
      </c>
      <c r="H6441" s="165" t="str">
        <f>IF(ISBLANK('Q 6'!G196),"",IF('Q 6'!G196="&lt;please select&gt;","",'Q 6'!G196))</f>
        <v/>
      </c>
    </row>
    <row r="6442" spans="1:8" x14ac:dyDescent="0.3">
      <c r="A6442" t="s">
        <v>1985</v>
      </c>
      <c r="B6442" t="s">
        <v>1987</v>
      </c>
      <c r="C6442">
        <v>65</v>
      </c>
      <c r="D6442" t="s">
        <v>1447</v>
      </c>
      <c r="E6442" t="s">
        <v>1798</v>
      </c>
      <c r="F6442" t="s">
        <v>1748</v>
      </c>
      <c r="H6442" s="165" t="str">
        <f>IF(ISBLANK('Q 6'!G197),"",IF('Q 6'!G197="&lt;please select&gt;","",'Q 6'!G197))</f>
        <v/>
      </c>
    </row>
    <row r="6443" spans="1:8" x14ac:dyDescent="0.3">
      <c r="A6443" t="s">
        <v>1985</v>
      </c>
      <c r="B6443" t="s">
        <v>1987</v>
      </c>
      <c r="C6443">
        <v>66</v>
      </c>
      <c r="D6443" t="s">
        <v>1447</v>
      </c>
      <c r="E6443" t="s">
        <v>1798</v>
      </c>
      <c r="F6443" t="s">
        <v>1748</v>
      </c>
      <c r="H6443" s="165" t="str">
        <f>IF(ISBLANK('Q 6'!G198),"",IF('Q 6'!G198="&lt;please select&gt;","",'Q 6'!G198))</f>
        <v/>
      </c>
    </row>
    <row r="6444" spans="1:8" x14ac:dyDescent="0.3">
      <c r="A6444" t="s">
        <v>1985</v>
      </c>
      <c r="B6444" t="s">
        <v>1987</v>
      </c>
      <c r="C6444">
        <v>67</v>
      </c>
      <c r="D6444" t="s">
        <v>1447</v>
      </c>
      <c r="E6444" t="s">
        <v>1798</v>
      </c>
      <c r="F6444" t="s">
        <v>1748</v>
      </c>
      <c r="H6444" s="165" t="str">
        <f>IF(ISBLANK('Q 6'!G199),"",IF('Q 6'!G199="&lt;please select&gt;","",'Q 6'!G199))</f>
        <v/>
      </c>
    </row>
    <row r="6445" spans="1:8" x14ac:dyDescent="0.3">
      <c r="A6445" t="s">
        <v>1985</v>
      </c>
      <c r="B6445" t="s">
        <v>1987</v>
      </c>
      <c r="C6445">
        <v>68</v>
      </c>
      <c r="D6445" t="s">
        <v>1447</v>
      </c>
      <c r="E6445" t="s">
        <v>1798</v>
      </c>
      <c r="F6445" t="s">
        <v>1748</v>
      </c>
      <c r="H6445" s="165" t="str">
        <f>IF(ISBLANK('Q 6'!G200),"",IF('Q 6'!G200="&lt;please select&gt;","",'Q 6'!G200))</f>
        <v/>
      </c>
    </row>
    <row r="6446" spans="1:8" x14ac:dyDescent="0.3">
      <c r="A6446" t="s">
        <v>1985</v>
      </c>
      <c r="B6446" t="s">
        <v>1987</v>
      </c>
      <c r="C6446">
        <v>69</v>
      </c>
      <c r="D6446" t="s">
        <v>1447</v>
      </c>
      <c r="E6446" t="s">
        <v>1798</v>
      </c>
      <c r="F6446" t="s">
        <v>1748</v>
      </c>
      <c r="H6446" s="165" t="str">
        <f>IF(ISBLANK('Q 6'!G201),"",IF('Q 6'!G201="&lt;please select&gt;","",'Q 6'!G201))</f>
        <v/>
      </c>
    </row>
    <row r="6447" spans="1:8" x14ac:dyDescent="0.3">
      <c r="A6447" t="s">
        <v>1985</v>
      </c>
      <c r="B6447" t="s">
        <v>1987</v>
      </c>
      <c r="C6447">
        <v>70</v>
      </c>
      <c r="D6447" t="s">
        <v>1447</v>
      </c>
      <c r="E6447" t="s">
        <v>1798</v>
      </c>
      <c r="F6447" t="s">
        <v>1748</v>
      </c>
      <c r="H6447" s="165" t="str">
        <f>IF(ISBLANK('Q 6'!G202),"",IF('Q 6'!G202="&lt;please select&gt;","",'Q 6'!G202))</f>
        <v/>
      </c>
    </row>
    <row r="6448" spans="1:8" x14ac:dyDescent="0.3">
      <c r="A6448" t="s">
        <v>1985</v>
      </c>
      <c r="B6448" t="s">
        <v>1987</v>
      </c>
      <c r="C6448">
        <v>71</v>
      </c>
      <c r="D6448" t="s">
        <v>1447</v>
      </c>
      <c r="E6448" t="s">
        <v>1798</v>
      </c>
      <c r="F6448" t="s">
        <v>1748</v>
      </c>
      <c r="H6448" s="165" t="str">
        <f>IF(ISBLANK('Q 6'!G203),"",IF('Q 6'!G203="&lt;please select&gt;","",'Q 6'!G203))</f>
        <v/>
      </c>
    </row>
    <row r="6449" spans="1:8" x14ac:dyDescent="0.3">
      <c r="A6449" t="s">
        <v>1985</v>
      </c>
      <c r="B6449" t="s">
        <v>1987</v>
      </c>
      <c r="C6449">
        <v>72</v>
      </c>
      <c r="D6449" t="s">
        <v>1447</v>
      </c>
      <c r="E6449" t="s">
        <v>1798</v>
      </c>
      <c r="F6449" t="s">
        <v>1748</v>
      </c>
      <c r="H6449" s="165" t="str">
        <f>IF(ISBLANK('Q 6'!G204),"",IF('Q 6'!G204="&lt;please select&gt;","",'Q 6'!G204))</f>
        <v/>
      </c>
    </row>
    <row r="6450" spans="1:8" x14ac:dyDescent="0.3">
      <c r="A6450" t="s">
        <v>1985</v>
      </c>
      <c r="B6450" t="s">
        <v>1987</v>
      </c>
      <c r="C6450">
        <v>73</v>
      </c>
      <c r="D6450" t="s">
        <v>1447</v>
      </c>
      <c r="E6450" t="s">
        <v>1798</v>
      </c>
      <c r="F6450" t="s">
        <v>1748</v>
      </c>
      <c r="H6450" s="165" t="str">
        <f>IF(ISBLANK('Q 6'!G205),"",IF('Q 6'!G205="&lt;please select&gt;","",'Q 6'!G205))</f>
        <v/>
      </c>
    </row>
    <row r="6451" spans="1:8" x14ac:dyDescent="0.3">
      <c r="A6451" t="s">
        <v>1985</v>
      </c>
      <c r="B6451" t="s">
        <v>1987</v>
      </c>
      <c r="C6451">
        <v>74</v>
      </c>
      <c r="D6451" t="s">
        <v>1447</v>
      </c>
      <c r="E6451" t="s">
        <v>1798</v>
      </c>
      <c r="F6451" t="s">
        <v>1748</v>
      </c>
      <c r="H6451" s="165" t="str">
        <f>IF(ISBLANK('Q 6'!G206),"",IF('Q 6'!G206="&lt;please select&gt;","",'Q 6'!G206))</f>
        <v/>
      </c>
    </row>
    <row r="6452" spans="1:8" x14ac:dyDescent="0.3">
      <c r="A6452" t="s">
        <v>1985</v>
      </c>
      <c r="B6452" t="s">
        <v>1987</v>
      </c>
      <c r="C6452">
        <v>75</v>
      </c>
      <c r="D6452" t="s">
        <v>1447</v>
      </c>
      <c r="E6452" t="s">
        <v>1798</v>
      </c>
      <c r="F6452" t="s">
        <v>1748</v>
      </c>
      <c r="H6452" s="165" t="str">
        <f>IF(ISBLANK('Q 6'!G207),"",IF('Q 6'!G207="&lt;please select&gt;","",'Q 6'!G207))</f>
        <v/>
      </c>
    </row>
    <row r="6453" spans="1:8" x14ac:dyDescent="0.3">
      <c r="A6453" t="s">
        <v>1985</v>
      </c>
      <c r="B6453" t="s">
        <v>1987</v>
      </c>
      <c r="C6453">
        <v>76</v>
      </c>
      <c r="D6453" t="s">
        <v>1447</v>
      </c>
      <c r="E6453" t="s">
        <v>1798</v>
      </c>
      <c r="F6453" t="s">
        <v>1748</v>
      </c>
      <c r="H6453" s="165" t="str">
        <f>IF(ISBLANK('Q 6'!G208),"",IF('Q 6'!G208="&lt;please select&gt;","",'Q 6'!G208))</f>
        <v/>
      </c>
    </row>
    <row r="6454" spans="1:8" x14ac:dyDescent="0.3">
      <c r="A6454" t="s">
        <v>1985</v>
      </c>
      <c r="B6454" t="s">
        <v>1987</v>
      </c>
      <c r="C6454">
        <v>77</v>
      </c>
      <c r="D6454" t="s">
        <v>1447</v>
      </c>
      <c r="E6454" t="s">
        <v>1798</v>
      </c>
      <c r="F6454" t="s">
        <v>1748</v>
      </c>
      <c r="H6454" s="165" t="str">
        <f>IF(ISBLANK('Q 6'!G209),"",IF('Q 6'!G209="&lt;please select&gt;","",'Q 6'!G209))</f>
        <v/>
      </c>
    </row>
    <row r="6455" spans="1:8" x14ac:dyDescent="0.3">
      <c r="A6455" t="s">
        <v>1985</v>
      </c>
      <c r="B6455" t="s">
        <v>1987</v>
      </c>
      <c r="C6455">
        <v>78</v>
      </c>
      <c r="D6455" t="s">
        <v>1447</v>
      </c>
      <c r="E6455" t="s">
        <v>1798</v>
      </c>
      <c r="F6455" t="s">
        <v>1748</v>
      </c>
      <c r="H6455" s="165" t="str">
        <f>IF(ISBLANK('Q 6'!G210),"",IF('Q 6'!G210="&lt;please select&gt;","",'Q 6'!G210))</f>
        <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
      </c>
    </row>
    <row r="6469" spans="1:8" x14ac:dyDescent="0.3">
      <c r="A6469" t="s">
        <v>1985</v>
      </c>
      <c r="B6469" t="s">
        <v>1987</v>
      </c>
      <c r="C6469">
        <v>2</v>
      </c>
      <c r="D6469" t="s">
        <v>1447</v>
      </c>
      <c r="E6469" t="s">
        <v>1972</v>
      </c>
      <c r="F6469" t="s">
        <v>1748</v>
      </c>
      <c r="H6469" s="165" t="str">
        <f>IF(ISBLANK('Q 6'!H134),"",IF('Q 6'!H134="&lt;please select&gt;","",'Q 6'!H134))</f>
        <v/>
      </c>
    </row>
    <row r="6470" spans="1:8" x14ac:dyDescent="0.3">
      <c r="A6470" t="s">
        <v>1985</v>
      </c>
      <c r="B6470" t="s">
        <v>1987</v>
      </c>
      <c r="C6470">
        <v>3</v>
      </c>
      <c r="D6470" t="s">
        <v>1447</v>
      </c>
      <c r="E6470" t="s">
        <v>1972</v>
      </c>
      <c r="F6470" t="s">
        <v>1748</v>
      </c>
      <c r="H6470" s="165" t="str">
        <f>IF(ISBLANK('Q 6'!H135),"",IF('Q 6'!H135="&lt;please select&gt;","",'Q 6'!H135))</f>
        <v/>
      </c>
    </row>
    <row r="6471" spans="1:8" x14ac:dyDescent="0.3">
      <c r="A6471" t="s">
        <v>1985</v>
      </c>
      <c r="B6471" t="s">
        <v>1987</v>
      </c>
      <c r="C6471">
        <v>4</v>
      </c>
      <c r="D6471" t="s">
        <v>1447</v>
      </c>
      <c r="E6471" t="s">
        <v>1972</v>
      </c>
      <c r="F6471" t="s">
        <v>1748</v>
      </c>
      <c r="H6471" s="165" t="str">
        <f>IF(ISBLANK('Q 6'!H136),"",IF('Q 6'!H136="&lt;please select&gt;","",'Q 6'!H136))</f>
        <v/>
      </c>
    </row>
    <row r="6472" spans="1:8" x14ac:dyDescent="0.3">
      <c r="A6472" t="s">
        <v>1985</v>
      </c>
      <c r="B6472" t="s">
        <v>1987</v>
      </c>
      <c r="C6472">
        <v>5</v>
      </c>
      <c r="D6472" t="s">
        <v>1447</v>
      </c>
      <c r="E6472" t="s">
        <v>1972</v>
      </c>
      <c r="F6472" t="s">
        <v>1748</v>
      </c>
      <c r="H6472" s="165" t="str">
        <f>IF(ISBLANK('Q 6'!H137),"",IF('Q 6'!H137="&lt;please select&gt;","",'Q 6'!H137))</f>
        <v/>
      </c>
    </row>
    <row r="6473" spans="1:8" x14ac:dyDescent="0.3">
      <c r="A6473" t="s">
        <v>1985</v>
      </c>
      <c r="B6473" t="s">
        <v>1987</v>
      </c>
      <c r="C6473">
        <v>6</v>
      </c>
      <c r="D6473" t="s">
        <v>1447</v>
      </c>
      <c r="E6473" t="s">
        <v>1972</v>
      </c>
      <c r="F6473" t="s">
        <v>1748</v>
      </c>
      <c r="H6473" s="165" t="str">
        <f>IF(ISBLANK('Q 6'!H138),"",IF('Q 6'!H138="&lt;please select&gt;","",'Q 6'!H138))</f>
        <v/>
      </c>
    </row>
    <row r="6474" spans="1:8" x14ac:dyDescent="0.3">
      <c r="A6474" t="s">
        <v>1985</v>
      </c>
      <c r="B6474" t="s">
        <v>1987</v>
      </c>
      <c r="C6474">
        <v>7</v>
      </c>
      <c r="D6474" t="s">
        <v>1447</v>
      </c>
      <c r="E6474" t="s">
        <v>1972</v>
      </c>
      <c r="F6474" t="s">
        <v>1748</v>
      </c>
      <c r="H6474" s="165" t="str">
        <f>IF(ISBLANK('Q 6'!H139),"",IF('Q 6'!H139="&lt;please select&gt;","",'Q 6'!H139))</f>
        <v/>
      </c>
    </row>
    <row r="6475" spans="1:8" x14ac:dyDescent="0.3">
      <c r="A6475" t="s">
        <v>1985</v>
      </c>
      <c r="B6475" t="s">
        <v>1987</v>
      </c>
      <c r="C6475">
        <v>8</v>
      </c>
      <c r="D6475" t="s">
        <v>1447</v>
      </c>
      <c r="E6475" t="s">
        <v>1972</v>
      </c>
      <c r="F6475" t="s">
        <v>1748</v>
      </c>
      <c r="H6475" s="165" t="str">
        <f>IF(ISBLANK('Q 6'!H140),"",IF('Q 6'!H140="&lt;please select&gt;","",'Q 6'!H140))</f>
        <v/>
      </c>
    </row>
    <row r="6476" spans="1:8" x14ac:dyDescent="0.3">
      <c r="A6476" t="s">
        <v>1985</v>
      </c>
      <c r="B6476" t="s">
        <v>1987</v>
      </c>
      <c r="C6476">
        <v>9</v>
      </c>
      <c r="D6476" t="s">
        <v>1447</v>
      </c>
      <c r="E6476" t="s">
        <v>1972</v>
      </c>
      <c r="F6476" t="s">
        <v>1748</v>
      </c>
      <c r="H6476" s="165" t="str">
        <f>IF(ISBLANK('Q 6'!H141),"",IF('Q 6'!H141="&lt;please select&gt;","",'Q 6'!H141))</f>
        <v/>
      </c>
    </row>
    <row r="6477" spans="1:8" x14ac:dyDescent="0.3">
      <c r="A6477" t="s">
        <v>1985</v>
      </c>
      <c r="B6477" t="s">
        <v>1987</v>
      </c>
      <c r="C6477">
        <v>10</v>
      </c>
      <c r="D6477" t="s">
        <v>1447</v>
      </c>
      <c r="E6477" t="s">
        <v>1972</v>
      </c>
      <c r="F6477" t="s">
        <v>1748</v>
      </c>
      <c r="H6477" s="165" t="str">
        <f>IF(ISBLANK('Q 6'!H142),"",IF('Q 6'!H142="&lt;please select&gt;","",'Q 6'!H142))</f>
        <v/>
      </c>
    </row>
    <row r="6478" spans="1:8" x14ac:dyDescent="0.3">
      <c r="A6478" t="s">
        <v>1985</v>
      </c>
      <c r="B6478" t="s">
        <v>1987</v>
      </c>
      <c r="C6478">
        <v>11</v>
      </c>
      <c r="D6478" t="s">
        <v>1447</v>
      </c>
      <c r="E6478" t="s">
        <v>1972</v>
      </c>
      <c r="F6478" t="s">
        <v>1748</v>
      </c>
      <c r="H6478" s="165" t="str">
        <f>IF(ISBLANK('Q 6'!H143),"",IF('Q 6'!H143="&lt;please select&gt;","",'Q 6'!H143))</f>
        <v/>
      </c>
    </row>
    <row r="6479" spans="1:8" x14ac:dyDescent="0.3">
      <c r="A6479" t="s">
        <v>1985</v>
      </c>
      <c r="B6479" t="s">
        <v>1987</v>
      </c>
      <c r="C6479">
        <v>12</v>
      </c>
      <c r="D6479" t="s">
        <v>1447</v>
      </c>
      <c r="E6479" t="s">
        <v>1972</v>
      </c>
      <c r="F6479" t="s">
        <v>1748</v>
      </c>
      <c r="H6479" s="165" t="str">
        <f>IF(ISBLANK('Q 6'!H144),"",IF('Q 6'!H144="&lt;please select&gt;","",'Q 6'!H144))</f>
        <v/>
      </c>
    </row>
    <row r="6480" spans="1:8" x14ac:dyDescent="0.3">
      <c r="A6480" t="s">
        <v>1985</v>
      </c>
      <c r="B6480" t="s">
        <v>1987</v>
      </c>
      <c r="C6480">
        <v>13</v>
      </c>
      <c r="D6480" t="s">
        <v>1447</v>
      </c>
      <c r="E6480" t="s">
        <v>1972</v>
      </c>
      <c r="F6480" t="s">
        <v>1748</v>
      </c>
      <c r="H6480" s="165" t="str">
        <f>IF(ISBLANK('Q 6'!H145),"",IF('Q 6'!H145="&lt;please select&gt;","",'Q 6'!H145))</f>
        <v/>
      </c>
    </row>
    <row r="6481" spans="1:8" x14ac:dyDescent="0.3">
      <c r="A6481" t="s">
        <v>1985</v>
      </c>
      <c r="B6481" t="s">
        <v>1987</v>
      </c>
      <c r="C6481">
        <v>14</v>
      </c>
      <c r="D6481" t="s">
        <v>1447</v>
      </c>
      <c r="E6481" t="s">
        <v>1972</v>
      </c>
      <c r="F6481" t="s">
        <v>1748</v>
      </c>
      <c r="H6481" s="165" t="str">
        <f>IF(ISBLANK('Q 6'!H146),"",IF('Q 6'!H146="&lt;please select&gt;","",'Q 6'!H146))</f>
        <v/>
      </c>
    </row>
    <row r="6482" spans="1:8" x14ac:dyDescent="0.3">
      <c r="A6482" t="s">
        <v>1985</v>
      </c>
      <c r="B6482" t="s">
        <v>1987</v>
      </c>
      <c r="C6482">
        <v>15</v>
      </c>
      <c r="D6482" t="s">
        <v>1447</v>
      </c>
      <c r="E6482" t="s">
        <v>1972</v>
      </c>
      <c r="F6482" t="s">
        <v>1748</v>
      </c>
      <c r="H6482" s="165" t="str">
        <f>IF(ISBLANK('Q 6'!H147),"",IF('Q 6'!H147="&lt;please select&gt;","",'Q 6'!H147))</f>
        <v/>
      </c>
    </row>
    <row r="6483" spans="1:8" x14ac:dyDescent="0.3">
      <c r="A6483" t="s">
        <v>1985</v>
      </c>
      <c r="B6483" t="s">
        <v>1987</v>
      </c>
      <c r="C6483">
        <v>16</v>
      </c>
      <c r="D6483" t="s">
        <v>1447</v>
      </c>
      <c r="E6483" t="s">
        <v>1972</v>
      </c>
      <c r="F6483" t="s">
        <v>1748</v>
      </c>
      <c r="H6483" s="165" t="str">
        <f>IF(ISBLANK('Q 6'!H148),"",IF('Q 6'!H148="&lt;please select&gt;","",'Q 6'!H148))</f>
        <v/>
      </c>
    </row>
    <row r="6484" spans="1:8" x14ac:dyDescent="0.3">
      <c r="A6484" t="s">
        <v>1985</v>
      </c>
      <c r="B6484" t="s">
        <v>1987</v>
      </c>
      <c r="C6484">
        <v>17</v>
      </c>
      <c r="D6484" t="s">
        <v>1447</v>
      </c>
      <c r="E6484" t="s">
        <v>1972</v>
      </c>
      <c r="F6484" t="s">
        <v>1748</v>
      </c>
      <c r="H6484" s="165" t="str">
        <f>IF(ISBLANK('Q 6'!H149),"",IF('Q 6'!H149="&lt;please select&gt;","",'Q 6'!H149))</f>
        <v/>
      </c>
    </row>
    <row r="6485" spans="1:8" x14ac:dyDescent="0.3">
      <c r="A6485" t="s">
        <v>1985</v>
      </c>
      <c r="B6485" t="s">
        <v>1987</v>
      </c>
      <c r="C6485">
        <v>18</v>
      </c>
      <c r="D6485" t="s">
        <v>1447</v>
      </c>
      <c r="E6485" t="s">
        <v>1972</v>
      </c>
      <c r="F6485" t="s">
        <v>1748</v>
      </c>
      <c r="H6485" s="165" t="str">
        <f>IF(ISBLANK('Q 6'!H150),"",IF('Q 6'!H150="&lt;please select&gt;","",'Q 6'!H150))</f>
        <v/>
      </c>
    </row>
    <row r="6486" spans="1:8" x14ac:dyDescent="0.3">
      <c r="A6486" t="s">
        <v>1985</v>
      </c>
      <c r="B6486" t="s">
        <v>1987</v>
      </c>
      <c r="C6486">
        <v>19</v>
      </c>
      <c r="D6486" t="s">
        <v>1447</v>
      </c>
      <c r="E6486" t="s">
        <v>1972</v>
      </c>
      <c r="F6486" t="s">
        <v>1748</v>
      </c>
      <c r="H6486" s="165" t="str">
        <f>IF(ISBLANK('Q 6'!H151),"",IF('Q 6'!H151="&lt;please select&gt;","",'Q 6'!H151))</f>
        <v/>
      </c>
    </row>
    <row r="6487" spans="1:8" x14ac:dyDescent="0.3">
      <c r="A6487" t="s">
        <v>1985</v>
      </c>
      <c r="B6487" t="s">
        <v>1987</v>
      </c>
      <c r="C6487">
        <v>20</v>
      </c>
      <c r="D6487" t="s">
        <v>1447</v>
      </c>
      <c r="E6487" t="s">
        <v>1972</v>
      </c>
      <c r="F6487" t="s">
        <v>1748</v>
      </c>
      <c r="H6487" s="165" t="str">
        <f>IF(ISBLANK('Q 6'!H152),"",IF('Q 6'!H152="&lt;please select&gt;","",'Q 6'!H152))</f>
        <v/>
      </c>
    </row>
    <row r="6488" spans="1:8" x14ac:dyDescent="0.3">
      <c r="A6488" t="s">
        <v>1985</v>
      </c>
      <c r="B6488" t="s">
        <v>1987</v>
      </c>
      <c r="C6488">
        <v>21</v>
      </c>
      <c r="D6488" t="s">
        <v>1447</v>
      </c>
      <c r="E6488" t="s">
        <v>1972</v>
      </c>
      <c r="F6488" t="s">
        <v>1748</v>
      </c>
      <c r="H6488" s="165" t="str">
        <f>IF(ISBLANK('Q 6'!H153),"",IF('Q 6'!H153="&lt;please select&gt;","",'Q 6'!H153))</f>
        <v/>
      </c>
    </row>
    <row r="6489" spans="1:8" x14ac:dyDescent="0.3">
      <c r="A6489" t="s">
        <v>1985</v>
      </c>
      <c r="B6489" t="s">
        <v>1987</v>
      </c>
      <c r="C6489">
        <v>22</v>
      </c>
      <c r="D6489" t="s">
        <v>1447</v>
      </c>
      <c r="E6489" t="s">
        <v>1972</v>
      </c>
      <c r="F6489" t="s">
        <v>1748</v>
      </c>
      <c r="H6489" s="165" t="str">
        <f>IF(ISBLANK('Q 6'!H154),"",IF('Q 6'!H154="&lt;please select&gt;","",'Q 6'!H154))</f>
        <v/>
      </c>
    </row>
    <row r="6490" spans="1:8" x14ac:dyDescent="0.3">
      <c r="A6490" t="s">
        <v>1985</v>
      </c>
      <c r="B6490" t="s">
        <v>1987</v>
      </c>
      <c r="C6490">
        <v>23</v>
      </c>
      <c r="D6490" t="s">
        <v>1447</v>
      </c>
      <c r="E6490" t="s">
        <v>1972</v>
      </c>
      <c r="F6490" t="s">
        <v>1748</v>
      </c>
      <c r="H6490" s="165" t="str">
        <f>IF(ISBLANK('Q 6'!H155),"",IF('Q 6'!H155="&lt;please select&gt;","",'Q 6'!H155))</f>
        <v/>
      </c>
    </row>
    <row r="6491" spans="1:8" x14ac:dyDescent="0.3">
      <c r="A6491" t="s">
        <v>1985</v>
      </c>
      <c r="B6491" t="s">
        <v>1987</v>
      </c>
      <c r="C6491">
        <v>24</v>
      </c>
      <c r="D6491" t="s">
        <v>1447</v>
      </c>
      <c r="E6491" t="s">
        <v>1972</v>
      </c>
      <c r="F6491" t="s">
        <v>1748</v>
      </c>
      <c r="H6491" s="165" t="str">
        <f>IF(ISBLANK('Q 6'!H156),"",IF('Q 6'!H156="&lt;please select&gt;","",'Q 6'!H156))</f>
        <v/>
      </c>
    </row>
    <row r="6492" spans="1:8" x14ac:dyDescent="0.3">
      <c r="A6492" t="s">
        <v>1985</v>
      </c>
      <c r="B6492" t="s">
        <v>1987</v>
      </c>
      <c r="C6492">
        <v>25</v>
      </c>
      <c r="D6492" t="s">
        <v>1447</v>
      </c>
      <c r="E6492" t="s">
        <v>1972</v>
      </c>
      <c r="F6492" t="s">
        <v>1748</v>
      </c>
      <c r="H6492" s="165" t="str">
        <f>IF(ISBLANK('Q 6'!H157),"",IF('Q 6'!H157="&lt;please select&gt;","",'Q 6'!H157))</f>
        <v/>
      </c>
    </row>
    <row r="6493" spans="1:8" x14ac:dyDescent="0.3">
      <c r="A6493" t="s">
        <v>1985</v>
      </c>
      <c r="B6493" t="s">
        <v>1987</v>
      </c>
      <c r="C6493">
        <v>26</v>
      </c>
      <c r="D6493" t="s">
        <v>1447</v>
      </c>
      <c r="E6493" t="s">
        <v>1972</v>
      </c>
      <c r="F6493" t="s">
        <v>1748</v>
      </c>
      <c r="H6493" s="165" t="str">
        <f>IF(ISBLANK('Q 6'!H158),"",IF('Q 6'!H158="&lt;please select&gt;","",'Q 6'!H158))</f>
        <v/>
      </c>
    </row>
    <row r="6494" spans="1:8" x14ac:dyDescent="0.3">
      <c r="A6494" t="s">
        <v>1985</v>
      </c>
      <c r="B6494" t="s">
        <v>1987</v>
      </c>
      <c r="C6494">
        <v>27</v>
      </c>
      <c r="D6494" t="s">
        <v>1447</v>
      </c>
      <c r="E6494" t="s">
        <v>1972</v>
      </c>
      <c r="F6494" t="s">
        <v>1748</v>
      </c>
      <c r="H6494" s="165" t="str">
        <f>IF(ISBLANK('Q 6'!H159),"",IF('Q 6'!H159="&lt;please select&gt;","",'Q 6'!H159))</f>
        <v/>
      </c>
    </row>
    <row r="6495" spans="1:8" x14ac:dyDescent="0.3">
      <c r="A6495" t="s">
        <v>1985</v>
      </c>
      <c r="B6495" t="s">
        <v>1987</v>
      </c>
      <c r="C6495">
        <v>28</v>
      </c>
      <c r="D6495" t="s">
        <v>1447</v>
      </c>
      <c r="E6495" t="s">
        <v>1972</v>
      </c>
      <c r="F6495" t="s">
        <v>1748</v>
      </c>
      <c r="H6495" s="165" t="str">
        <f>IF(ISBLANK('Q 6'!H160),"",IF('Q 6'!H160="&lt;please select&gt;","",'Q 6'!H160))</f>
        <v/>
      </c>
    </row>
    <row r="6496" spans="1:8" x14ac:dyDescent="0.3">
      <c r="A6496" t="s">
        <v>1985</v>
      </c>
      <c r="B6496" t="s">
        <v>1987</v>
      </c>
      <c r="C6496">
        <v>29</v>
      </c>
      <c r="D6496" t="s">
        <v>1447</v>
      </c>
      <c r="E6496" t="s">
        <v>1972</v>
      </c>
      <c r="F6496" t="s">
        <v>1748</v>
      </c>
      <c r="H6496" s="165" t="str">
        <f>IF(ISBLANK('Q 6'!H161),"",IF('Q 6'!H161="&lt;please select&gt;","",'Q 6'!H161))</f>
        <v/>
      </c>
    </row>
    <row r="6497" spans="1:8" x14ac:dyDescent="0.3">
      <c r="A6497" t="s">
        <v>1985</v>
      </c>
      <c r="B6497" t="s">
        <v>1987</v>
      </c>
      <c r="C6497">
        <v>30</v>
      </c>
      <c r="D6497" t="s">
        <v>1447</v>
      </c>
      <c r="E6497" t="s">
        <v>1972</v>
      </c>
      <c r="F6497" t="s">
        <v>1748</v>
      </c>
      <c r="H6497" s="165" t="str">
        <f>IF(ISBLANK('Q 6'!H162),"",IF('Q 6'!H162="&lt;please select&gt;","",'Q 6'!H162))</f>
        <v/>
      </c>
    </row>
    <row r="6498" spans="1:8" x14ac:dyDescent="0.3">
      <c r="A6498" t="s">
        <v>1985</v>
      </c>
      <c r="B6498" t="s">
        <v>1987</v>
      </c>
      <c r="C6498">
        <v>31</v>
      </c>
      <c r="D6498" t="s">
        <v>1447</v>
      </c>
      <c r="E6498" t="s">
        <v>1972</v>
      </c>
      <c r="F6498" t="s">
        <v>1748</v>
      </c>
      <c r="H6498" s="165" t="str">
        <f>IF(ISBLANK('Q 6'!H163),"",IF('Q 6'!H163="&lt;please select&gt;","",'Q 6'!H163))</f>
        <v/>
      </c>
    </row>
    <row r="6499" spans="1:8" x14ac:dyDescent="0.3">
      <c r="A6499" t="s">
        <v>1985</v>
      </c>
      <c r="B6499" t="s">
        <v>1987</v>
      </c>
      <c r="C6499">
        <v>32</v>
      </c>
      <c r="D6499" t="s">
        <v>1447</v>
      </c>
      <c r="E6499" t="s">
        <v>1972</v>
      </c>
      <c r="F6499" t="s">
        <v>1748</v>
      </c>
      <c r="H6499" s="165" t="str">
        <f>IF(ISBLANK('Q 6'!H164),"",IF('Q 6'!H164="&lt;please select&gt;","",'Q 6'!H164))</f>
        <v/>
      </c>
    </row>
    <row r="6500" spans="1:8" x14ac:dyDescent="0.3">
      <c r="A6500" t="s">
        <v>1985</v>
      </c>
      <c r="B6500" t="s">
        <v>1987</v>
      </c>
      <c r="C6500">
        <v>33</v>
      </c>
      <c r="D6500" t="s">
        <v>1447</v>
      </c>
      <c r="E6500" t="s">
        <v>1972</v>
      </c>
      <c r="F6500" t="s">
        <v>1748</v>
      </c>
      <c r="H6500" s="165" t="str">
        <f>IF(ISBLANK('Q 6'!H165),"",IF('Q 6'!H165="&lt;please select&gt;","",'Q 6'!H165))</f>
        <v/>
      </c>
    </row>
    <row r="6501" spans="1:8" x14ac:dyDescent="0.3">
      <c r="A6501" t="s">
        <v>1985</v>
      </c>
      <c r="B6501" t="s">
        <v>1987</v>
      </c>
      <c r="C6501">
        <v>34</v>
      </c>
      <c r="D6501" t="s">
        <v>1447</v>
      </c>
      <c r="E6501" t="s">
        <v>1972</v>
      </c>
      <c r="F6501" t="s">
        <v>1748</v>
      </c>
      <c r="H6501" s="165" t="str">
        <f>IF(ISBLANK('Q 6'!H166),"",IF('Q 6'!H166="&lt;please select&gt;","",'Q 6'!H166))</f>
        <v/>
      </c>
    </row>
    <row r="6502" spans="1:8" x14ac:dyDescent="0.3">
      <c r="A6502" t="s">
        <v>1985</v>
      </c>
      <c r="B6502" t="s">
        <v>1987</v>
      </c>
      <c r="C6502">
        <v>35</v>
      </c>
      <c r="D6502" t="s">
        <v>1447</v>
      </c>
      <c r="E6502" t="s">
        <v>1972</v>
      </c>
      <c r="F6502" t="s">
        <v>1748</v>
      </c>
      <c r="H6502" s="165" t="str">
        <f>IF(ISBLANK('Q 6'!H167),"",IF('Q 6'!H167="&lt;please select&gt;","",'Q 6'!H167))</f>
        <v/>
      </c>
    </row>
    <row r="6503" spans="1:8" x14ac:dyDescent="0.3">
      <c r="A6503" t="s">
        <v>1985</v>
      </c>
      <c r="B6503" t="s">
        <v>1987</v>
      </c>
      <c r="C6503">
        <v>36</v>
      </c>
      <c r="D6503" t="s">
        <v>1447</v>
      </c>
      <c r="E6503" t="s">
        <v>1972</v>
      </c>
      <c r="F6503" t="s">
        <v>1748</v>
      </c>
      <c r="H6503" s="165" t="str">
        <f>IF(ISBLANK('Q 6'!H168),"",IF('Q 6'!H168="&lt;please select&gt;","",'Q 6'!H168))</f>
        <v/>
      </c>
    </row>
    <row r="6504" spans="1:8" x14ac:dyDescent="0.3">
      <c r="A6504" t="s">
        <v>1985</v>
      </c>
      <c r="B6504" t="s">
        <v>1987</v>
      </c>
      <c r="C6504">
        <v>37</v>
      </c>
      <c r="D6504" t="s">
        <v>1447</v>
      </c>
      <c r="E6504" t="s">
        <v>1972</v>
      </c>
      <c r="F6504" t="s">
        <v>1748</v>
      </c>
      <c r="H6504" s="165" t="str">
        <f>IF(ISBLANK('Q 6'!H169),"",IF('Q 6'!H169="&lt;please select&gt;","",'Q 6'!H169))</f>
        <v/>
      </c>
    </row>
    <row r="6505" spans="1:8" x14ac:dyDescent="0.3">
      <c r="A6505" t="s">
        <v>1985</v>
      </c>
      <c r="B6505" t="s">
        <v>1987</v>
      </c>
      <c r="C6505">
        <v>38</v>
      </c>
      <c r="D6505" t="s">
        <v>1447</v>
      </c>
      <c r="E6505" t="s">
        <v>1972</v>
      </c>
      <c r="F6505" t="s">
        <v>1748</v>
      </c>
      <c r="H6505" s="165" t="str">
        <f>IF(ISBLANK('Q 6'!H170),"",IF('Q 6'!H170="&lt;please select&gt;","",'Q 6'!H170))</f>
        <v/>
      </c>
    </row>
    <row r="6506" spans="1:8" x14ac:dyDescent="0.3">
      <c r="A6506" t="s">
        <v>1985</v>
      </c>
      <c r="B6506" t="s">
        <v>1987</v>
      </c>
      <c r="C6506">
        <v>39</v>
      </c>
      <c r="D6506" t="s">
        <v>1447</v>
      </c>
      <c r="E6506" t="s">
        <v>1972</v>
      </c>
      <c r="F6506" t="s">
        <v>1748</v>
      </c>
      <c r="H6506" s="165" t="str">
        <f>IF(ISBLANK('Q 6'!H171),"",IF('Q 6'!H171="&lt;please select&gt;","",'Q 6'!H171))</f>
        <v/>
      </c>
    </row>
    <row r="6507" spans="1:8" x14ac:dyDescent="0.3">
      <c r="A6507" t="s">
        <v>1985</v>
      </c>
      <c r="B6507" t="s">
        <v>1987</v>
      </c>
      <c r="C6507">
        <v>40</v>
      </c>
      <c r="D6507" t="s">
        <v>1447</v>
      </c>
      <c r="E6507" t="s">
        <v>1972</v>
      </c>
      <c r="F6507" t="s">
        <v>1748</v>
      </c>
      <c r="H6507" s="165" t="str">
        <f>IF(ISBLANK('Q 6'!H172),"",IF('Q 6'!H172="&lt;please select&gt;","",'Q 6'!H172))</f>
        <v/>
      </c>
    </row>
    <row r="6508" spans="1:8" x14ac:dyDescent="0.3">
      <c r="A6508" t="s">
        <v>1985</v>
      </c>
      <c r="B6508" t="s">
        <v>1987</v>
      </c>
      <c r="C6508">
        <v>41</v>
      </c>
      <c r="D6508" t="s">
        <v>1447</v>
      </c>
      <c r="E6508" t="s">
        <v>1972</v>
      </c>
      <c r="F6508" t="s">
        <v>1748</v>
      </c>
      <c r="H6508" s="165" t="str">
        <f>IF(ISBLANK('Q 6'!H173),"",IF('Q 6'!H173="&lt;please select&gt;","",'Q 6'!H173))</f>
        <v/>
      </c>
    </row>
    <row r="6509" spans="1:8" x14ac:dyDescent="0.3">
      <c r="A6509" t="s">
        <v>1985</v>
      </c>
      <c r="B6509" t="s">
        <v>1987</v>
      </c>
      <c r="C6509">
        <v>42</v>
      </c>
      <c r="D6509" t="s">
        <v>1447</v>
      </c>
      <c r="E6509" t="s">
        <v>1972</v>
      </c>
      <c r="F6509" t="s">
        <v>1748</v>
      </c>
      <c r="H6509" s="165" t="str">
        <f>IF(ISBLANK('Q 6'!H174),"",IF('Q 6'!H174="&lt;please select&gt;","",'Q 6'!H174))</f>
        <v/>
      </c>
    </row>
    <row r="6510" spans="1:8" x14ac:dyDescent="0.3">
      <c r="A6510" t="s">
        <v>1985</v>
      </c>
      <c r="B6510" t="s">
        <v>1987</v>
      </c>
      <c r="C6510">
        <v>43</v>
      </c>
      <c r="D6510" t="s">
        <v>1447</v>
      </c>
      <c r="E6510" t="s">
        <v>1972</v>
      </c>
      <c r="F6510" t="s">
        <v>1748</v>
      </c>
      <c r="H6510" s="165" t="str">
        <f>IF(ISBLANK('Q 6'!H175),"",IF('Q 6'!H175="&lt;please select&gt;","",'Q 6'!H175))</f>
        <v/>
      </c>
    </row>
    <row r="6511" spans="1:8" x14ac:dyDescent="0.3">
      <c r="A6511" t="s">
        <v>1985</v>
      </c>
      <c r="B6511" t="s">
        <v>1987</v>
      </c>
      <c r="C6511">
        <v>44</v>
      </c>
      <c r="D6511" t="s">
        <v>1447</v>
      </c>
      <c r="E6511" t="s">
        <v>1972</v>
      </c>
      <c r="F6511" t="s">
        <v>1748</v>
      </c>
      <c r="H6511" s="165" t="str">
        <f>IF(ISBLANK('Q 6'!H176),"",IF('Q 6'!H176="&lt;please select&gt;","",'Q 6'!H176))</f>
        <v/>
      </c>
    </row>
    <row r="6512" spans="1:8" x14ac:dyDescent="0.3">
      <c r="A6512" t="s">
        <v>1985</v>
      </c>
      <c r="B6512" t="s">
        <v>1987</v>
      </c>
      <c r="C6512">
        <v>45</v>
      </c>
      <c r="D6512" t="s">
        <v>1447</v>
      </c>
      <c r="E6512" t="s">
        <v>1972</v>
      </c>
      <c r="F6512" t="s">
        <v>1748</v>
      </c>
      <c r="H6512" s="165" t="str">
        <f>IF(ISBLANK('Q 6'!H177),"",IF('Q 6'!H177="&lt;please select&gt;","",'Q 6'!H177))</f>
        <v/>
      </c>
    </row>
    <row r="6513" spans="1:8" x14ac:dyDescent="0.3">
      <c r="A6513" t="s">
        <v>1985</v>
      </c>
      <c r="B6513" t="s">
        <v>1987</v>
      </c>
      <c r="C6513">
        <v>46</v>
      </c>
      <c r="D6513" t="s">
        <v>1447</v>
      </c>
      <c r="E6513" t="s">
        <v>1972</v>
      </c>
      <c r="F6513" t="s">
        <v>1748</v>
      </c>
      <c r="H6513" s="165" t="str">
        <f>IF(ISBLANK('Q 6'!H178),"",IF('Q 6'!H178="&lt;please select&gt;","",'Q 6'!H178))</f>
        <v/>
      </c>
    </row>
    <row r="6514" spans="1:8" x14ac:dyDescent="0.3">
      <c r="A6514" t="s">
        <v>1985</v>
      </c>
      <c r="B6514" t="s">
        <v>1987</v>
      </c>
      <c r="C6514">
        <v>47</v>
      </c>
      <c r="D6514" t="s">
        <v>1447</v>
      </c>
      <c r="E6514" t="s">
        <v>1972</v>
      </c>
      <c r="F6514" t="s">
        <v>1748</v>
      </c>
      <c r="H6514" s="165" t="str">
        <f>IF(ISBLANK('Q 6'!H179),"",IF('Q 6'!H179="&lt;please select&gt;","",'Q 6'!H179))</f>
        <v/>
      </c>
    </row>
    <row r="6515" spans="1:8" x14ac:dyDescent="0.3">
      <c r="A6515" t="s">
        <v>1985</v>
      </c>
      <c r="B6515" t="s">
        <v>1987</v>
      </c>
      <c r="C6515">
        <v>48</v>
      </c>
      <c r="D6515" t="s">
        <v>1447</v>
      </c>
      <c r="E6515" t="s">
        <v>1972</v>
      </c>
      <c r="F6515" t="s">
        <v>1748</v>
      </c>
      <c r="H6515" s="165" t="str">
        <f>IF(ISBLANK('Q 6'!H180),"",IF('Q 6'!H180="&lt;please select&gt;","",'Q 6'!H180))</f>
        <v/>
      </c>
    </row>
    <row r="6516" spans="1:8" x14ac:dyDescent="0.3">
      <c r="A6516" t="s">
        <v>1985</v>
      </c>
      <c r="B6516" t="s">
        <v>1987</v>
      </c>
      <c r="C6516">
        <v>49</v>
      </c>
      <c r="D6516" t="s">
        <v>1447</v>
      </c>
      <c r="E6516" t="s">
        <v>1972</v>
      </c>
      <c r="F6516" t="s">
        <v>1748</v>
      </c>
      <c r="H6516" s="165" t="str">
        <f>IF(ISBLANK('Q 6'!H181),"",IF('Q 6'!H181="&lt;please select&gt;","",'Q 6'!H181))</f>
        <v/>
      </c>
    </row>
    <row r="6517" spans="1:8" x14ac:dyDescent="0.3">
      <c r="A6517" t="s">
        <v>1985</v>
      </c>
      <c r="B6517" t="s">
        <v>1987</v>
      </c>
      <c r="C6517">
        <v>50</v>
      </c>
      <c r="D6517" t="s">
        <v>1447</v>
      </c>
      <c r="E6517" t="s">
        <v>1972</v>
      </c>
      <c r="F6517" t="s">
        <v>1748</v>
      </c>
      <c r="H6517" s="165" t="str">
        <f>IF(ISBLANK('Q 6'!H182),"",IF('Q 6'!H182="&lt;please select&gt;","",'Q 6'!H182))</f>
        <v/>
      </c>
    </row>
    <row r="6518" spans="1:8" x14ac:dyDescent="0.3">
      <c r="A6518" t="s">
        <v>1985</v>
      </c>
      <c r="B6518" t="s">
        <v>1987</v>
      </c>
      <c r="C6518">
        <v>51</v>
      </c>
      <c r="D6518" t="s">
        <v>1447</v>
      </c>
      <c r="E6518" t="s">
        <v>1972</v>
      </c>
      <c r="F6518" t="s">
        <v>1748</v>
      </c>
      <c r="H6518" s="165" t="str">
        <f>IF(ISBLANK('Q 6'!H183),"",IF('Q 6'!H183="&lt;please select&gt;","",'Q 6'!H183))</f>
        <v/>
      </c>
    </row>
    <row r="6519" spans="1:8" x14ac:dyDescent="0.3">
      <c r="A6519" t="s">
        <v>1985</v>
      </c>
      <c r="B6519" t="s">
        <v>1987</v>
      </c>
      <c r="C6519">
        <v>52</v>
      </c>
      <c r="D6519" t="s">
        <v>1447</v>
      </c>
      <c r="E6519" t="s">
        <v>1972</v>
      </c>
      <c r="F6519" t="s">
        <v>1748</v>
      </c>
      <c r="H6519" s="165" t="str">
        <f>IF(ISBLANK('Q 6'!H184),"",IF('Q 6'!H184="&lt;please select&gt;","",'Q 6'!H184))</f>
        <v/>
      </c>
    </row>
    <row r="6520" spans="1:8" x14ac:dyDescent="0.3">
      <c r="A6520" t="s">
        <v>1985</v>
      </c>
      <c r="B6520" t="s">
        <v>1987</v>
      </c>
      <c r="C6520">
        <v>53</v>
      </c>
      <c r="D6520" t="s">
        <v>1447</v>
      </c>
      <c r="E6520" t="s">
        <v>1972</v>
      </c>
      <c r="F6520" t="s">
        <v>1748</v>
      </c>
      <c r="H6520" s="165" t="str">
        <f>IF(ISBLANK('Q 6'!H185),"",IF('Q 6'!H185="&lt;please select&gt;","",'Q 6'!H185))</f>
        <v/>
      </c>
    </row>
    <row r="6521" spans="1:8" x14ac:dyDescent="0.3">
      <c r="A6521" t="s">
        <v>1985</v>
      </c>
      <c r="B6521" t="s">
        <v>1987</v>
      </c>
      <c r="C6521">
        <v>54</v>
      </c>
      <c r="D6521" t="s">
        <v>1447</v>
      </c>
      <c r="E6521" t="s">
        <v>1972</v>
      </c>
      <c r="F6521" t="s">
        <v>1748</v>
      </c>
      <c r="H6521" s="165" t="str">
        <f>IF(ISBLANK('Q 6'!H186),"",IF('Q 6'!H186="&lt;please select&gt;","",'Q 6'!H186))</f>
        <v/>
      </c>
    </row>
    <row r="6522" spans="1:8" x14ac:dyDescent="0.3">
      <c r="A6522" t="s">
        <v>1985</v>
      </c>
      <c r="B6522" t="s">
        <v>1987</v>
      </c>
      <c r="C6522">
        <v>55</v>
      </c>
      <c r="D6522" t="s">
        <v>1447</v>
      </c>
      <c r="E6522" t="s">
        <v>1972</v>
      </c>
      <c r="F6522" t="s">
        <v>1748</v>
      </c>
      <c r="H6522" s="165" t="str">
        <f>IF(ISBLANK('Q 6'!H187),"",IF('Q 6'!H187="&lt;please select&gt;","",'Q 6'!H187))</f>
        <v/>
      </c>
    </row>
    <row r="6523" spans="1:8" x14ac:dyDescent="0.3">
      <c r="A6523" t="s">
        <v>1985</v>
      </c>
      <c r="B6523" t="s">
        <v>1987</v>
      </c>
      <c r="C6523">
        <v>56</v>
      </c>
      <c r="D6523" t="s">
        <v>1447</v>
      </c>
      <c r="E6523" t="s">
        <v>1972</v>
      </c>
      <c r="F6523" t="s">
        <v>1748</v>
      </c>
      <c r="H6523" s="165" t="str">
        <f>IF(ISBLANK('Q 6'!H188),"",IF('Q 6'!H188="&lt;please select&gt;","",'Q 6'!H188))</f>
        <v/>
      </c>
    </row>
    <row r="6524" spans="1:8" x14ac:dyDescent="0.3">
      <c r="A6524" t="s">
        <v>1985</v>
      </c>
      <c r="B6524" t="s">
        <v>1987</v>
      </c>
      <c r="C6524">
        <v>57</v>
      </c>
      <c r="D6524" t="s">
        <v>1447</v>
      </c>
      <c r="E6524" t="s">
        <v>1972</v>
      </c>
      <c r="F6524" t="s">
        <v>1748</v>
      </c>
      <c r="H6524" s="165" t="str">
        <f>IF(ISBLANK('Q 6'!H189),"",IF('Q 6'!H189="&lt;please select&gt;","",'Q 6'!H189))</f>
        <v/>
      </c>
    </row>
    <row r="6525" spans="1:8" x14ac:dyDescent="0.3">
      <c r="A6525" t="s">
        <v>1985</v>
      </c>
      <c r="B6525" t="s">
        <v>1987</v>
      </c>
      <c r="C6525">
        <v>58</v>
      </c>
      <c r="D6525" t="s">
        <v>1447</v>
      </c>
      <c r="E6525" t="s">
        <v>1972</v>
      </c>
      <c r="F6525" t="s">
        <v>1748</v>
      </c>
      <c r="H6525" s="165" t="str">
        <f>IF(ISBLANK('Q 6'!H190),"",IF('Q 6'!H190="&lt;please select&gt;","",'Q 6'!H190))</f>
        <v/>
      </c>
    </row>
    <row r="6526" spans="1:8" x14ac:dyDescent="0.3">
      <c r="A6526" t="s">
        <v>1985</v>
      </c>
      <c r="B6526" t="s">
        <v>1987</v>
      </c>
      <c r="C6526">
        <v>59</v>
      </c>
      <c r="D6526" t="s">
        <v>1447</v>
      </c>
      <c r="E6526" t="s">
        <v>1972</v>
      </c>
      <c r="F6526" t="s">
        <v>1748</v>
      </c>
      <c r="H6526" s="165" t="str">
        <f>IF(ISBLANK('Q 6'!H191),"",IF('Q 6'!H191="&lt;please select&gt;","",'Q 6'!H191))</f>
        <v/>
      </c>
    </row>
    <row r="6527" spans="1:8" x14ac:dyDescent="0.3">
      <c r="A6527" t="s">
        <v>1985</v>
      </c>
      <c r="B6527" t="s">
        <v>1987</v>
      </c>
      <c r="C6527">
        <v>60</v>
      </c>
      <c r="D6527" t="s">
        <v>1447</v>
      </c>
      <c r="E6527" t="s">
        <v>1972</v>
      </c>
      <c r="F6527" t="s">
        <v>1748</v>
      </c>
      <c r="H6527" s="165" t="str">
        <f>IF(ISBLANK('Q 6'!H192),"",IF('Q 6'!H192="&lt;please select&gt;","",'Q 6'!H192))</f>
        <v/>
      </c>
    </row>
    <row r="6528" spans="1:8" x14ac:dyDescent="0.3">
      <c r="A6528" t="s">
        <v>1985</v>
      </c>
      <c r="B6528" t="s">
        <v>1987</v>
      </c>
      <c r="C6528">
        <v>61</v>
      </c>
      <c r="D6528" t="s">
        <v>1447</v>
      </c>
      <c r="E6528" t="s">
        <v>1972</v>
      </c>
      <c r="F6528" t="s">
        <v>1748</v>
      </c>
      <c r="H6528" s="165" t="str">
        <f>IF(ISBLANK('Q 6'!H193),"",IF('Q 6'!H193="&lt;please select&gt;","",'Q 6'!H193))</f>
        <v/>
      </c>
    </row>
    <row r="6529" spans="1:8" x14ac:dyDescent="0.3">
      <c r="A6529" t="s">
        <v>1985</v>
      </c>
      <c r="B6529" t="s">
        <v>1987</v>
      </c>
      <c r="C6529">
        <v>62</v>
      </c>
      <c r="D6529" t="s">
        <v>1447</v>
      </c>
      <c r="E6529" t="s">
        <v>1972</v>
      </c>
      <c r="F6529" t="s">
        <v>1748</v>
      </c>
      <c r="H6529" s="165" t="str">
        <f>IF(ISBLANK('Q 6'!H194),"",IF('Q 6'!H194="&lt;please select&gt;","",'Q 6'!H194))</f>
        <v/>
      </c>
    </row>
    <row r="6530" spans="1:8" x14ac:dyDescent="0.3">
      <c r="A6530" t="s">
        <v>1985</v>
      </c>
      <c r="B6530" t="s">
        <v>1987</v>
      </c>
      <c r="C6530">
        <v>63</v>
      </c>
      <c r="D6530" t="s">
        <v>1447</v>
      </c>
      <c r="E6530" t="s">
        <v>1972</v>
      </c>
      <c r="F6530" t="s">
        <v>1748</v>
      </c>
      <c r="H6530" s="165" t="str">
        <f>IF(ISBLANK('Q 6'!H195),"",IF('Q 6'!H195="&lt;please select&gt;","",'Q 6'!H195))</f>
        <v/>
      </c>
    </row>
    <row r="6531" spans="1:8" x14ac:dyDescent="0.3">
      <c r="A6531" t="s">
        <v>1985</v>
      </c>
      <c r="B6531" t="s">
        <v>1987</v>
      </c>
      <c r="C6531">
        <v>64</v>
      </c>
      <c r="D6531" t="s">
        <v>1447</v>
      </c>
      <c r="E6531" t="s">
        <v>1972</v>
      </c>
      <c r="F6531" t="s">
        <v>1748</v>
      </c>
      <c r="H6531" s="165" t="str">
        <f>IF(ISBLANK('Q 6'!H196),"",IF('Q 6'!H196="&lt;please select&gt;","",'Q 6'!H196))</f>
        <v/>
      </c>
    </row>
    <row r="6532" spans="1:8" x14ac:dyDescent="0.3">
      <c r="A6532" t="s">
        <v>1985</v>
      </c>
      <c r="B6532" t="s">
        <v>1987</v>
      </c>
      <c r="C6532">
        <v>65</v>
      </c>
      <c r="D6532" t="s">
        <v>1447</v>
      </c>
      <c r="E6532" t="s">
        <v>1972</v>
      </c>
      <c r="F6532" t="s">
        <v>1748</v>
      </c>
      <c r="H6532" s="165" t="str">
        <f>IF(ISBLANK('Q 6'!H197),"",IF('Q 6'!H197="&lt;please select&gt;","",'Q 6'!H197))</f>
        <v/>
      </c>
    </row>
    <row r="6533" spans="1:8" x14ac:dyDescent="0.3">
      <c r="A6533" t="s">
        <v>1985</v>
      </c>
      <c r="B6533" t="s">
        <v>1987</v>
      </c>
      <c r="C6533">
        <v>66</v>
      </c>
      <c r="D6533" t="s">
        <v>1447</v>
      </c>
      <c r="E6533" t="s">
        <v>1972</v>
      </c>
      <c r="F6533" t="s">
        <v>1748</v>
      </c>
      <c r="H6533" s="165" t="str">
        <f>IF(ISBLANK('Q 6'!H198),"",IF('Q 6'!H198="&lt;please select&gt;","",'Q 6'!H198))</f>
        <v/>
      </c>
    </row>
    <row r="6534" spans="1:8" x14ac:dyDescent="0.3">
      <c r="A6534" t="s">
        <v>1985</v>
      </c>
      <c r="B6534" t="s">
        <v>1987</v>
      </c>
      <c r="C6534">
        <v>67</v>
      </c>
      <c r="D6534" t="s">
        <v>1447</v>
      </c>
      <c r="E6534" t="s">
        <v>1972</v>
      </c>
      <c r="F6534" t="s">
        <v>1748</v>
      </c>
      <c r="H6534" s="165" t="str">
        <f>IF(ISBLANK('Q 6'!H199),"",IF('Q 6'!H199="&lt;please select&gt;","",'Q 6'!H199))</f>
        <v/>
      </c>
    </row>
    <row r="6535" spans="1:8" x14ac:dyDescent="0.3">
      <c r="A6535" t="s">
        <v>1985</v>
      </c>
      <c r="B6535" t="s">
        <v>1987</v>
      </c>
      <c r="C6535">
        <v>68</v>
      </c>
      <c r="D6535" t="s">
        <v>1447</v>
      </c>
      <c r="E6535" t="s">
        <v>1972</v>
      </c>
      <c r="F6535" t="s">
        <v>1748</v>
      </c>
      <c r="H6535" s="165" t="str">
        <f>IF(ISBLANK('Q 6'!H200),"",IF('Q 6'!H200="&lt;please select&gt;","",'Q 6'!H200))</f>
        <v/>
      </c>
    </row>
    <row r="6536" spans="1:8" x14ac:dyDescent="0.3">
      <c r="A6536" t="s">
        <v>1985</v>
      </c>
      <c r="B6536" t="s">
        <v>1987</v>
      </c>
      <c r="C6536">
        <v>69</v>
      </c>
      <c r="D6536" t="s">
        <v>1447</v>
      </c>
      <c r="E6536" t="s">
        <v>1972</v>
      </c>
      <c r="F6536" t="s">
        <v>1748</v>
      </c>
      <c r="H6536" s="165" t="str">
        <f>IF(ISBLANK('Q 6'!H201),"",IF('Q 6'!H201="&lt;please select&gt;","",'Q 6'!H201))</f>
        <v/>
      </c>
    </row>
    <row r="6537" spans="1:8" x14ac:dyDescent="0.3">
      <c r="A6537" t="s">
        <v>1985</v>
      </c>
      <c r="B6537" t="s">
        <v>1987</v>
      </c>
      <c r="C6537">
        <v>70</v>
      </c>
      <c r="D6537" t="s">
        <v>1447</v>
      </c>
      <c r="E6537" t="s">
        <v>1972</v>
      </c>
      <c r="F6537" t="s">
        <v>1748</v>
      </c>
      <c r="H6537" s="165" t="str">
        <f>IF(ISBLANK('Q 6'!H202),"",IF('Q 6'!H202="&lt;please select&gt;","",'Q 6'!H202))</f>
        <v/>
      </c>
    </row>
    <row r="6538" spans="1:8" x14ac:dyDescent="0.3">
      <c r="A6538" t="s">
        <v>1985</v>
      </c>
      <c r="B6538" t="s">
        <v>1987</v>
      </c>
      <c r="C6538">
        <v>71</v>
      </c>
      <c r="D6538" t="s">
        <v>1447</v>
      </c>
      <c r="E6538" t="s">
        <v>1972</v>
      </c>
      <c r="F6538" t="s">
        <v>1748</v>
      </c>
      <c r="H6538" s="165" t="str">
        <f>IF(ISBLANK('Q 6'!H203),"",IF('Q 6'!H203="&lt;please select&gt;","",'Q 6'!H203))</f>
        <v/>
      </c>
    </row>
    <row r="6539" spans="1:8" x14ac:dyDescent="0.3">
      <c r="A6539" t="s">
        <v>1985</v>
      </c>
      <c r="B6539" t="s">
        <v>1987</v>
      </c>
      <c r="C6539">
        <v>72</v>
      </c>
      <c r="D6539" t="s">
        <v>1447</v>
      </c>
      <c r="E6539" t="s">
        <v>1972</v>
      </c>
      <c r="F6539" t="s">
        <v>1748</v>
      </c>
      <c r="H6539" s="165" t="str">
        <f>IF(ISBLANK('Q 6'!H204),"",IF('Q 6'!H204="&lt;please select&gt;","",'Q 6'!H204))</f>
        <v/>
      </c>
    </row>
    <row r="6540" spans="1:8" x14ac:dyDescent="0.3">
      <c r="A6540" t="s">
        <v>1985</v>
      </c>
      <c r="B6540" t="s">
        <v>1987</v>
      </c>
      <c r="C6540">
        <v>73</v>
      </c>
      <c r="D6540" t="s">
        <v>1447</v>
      </c>
      <c r="E6540" t="s">
        <v>1972</v>
      </c>
      <c r="F6540" t="s">
        <v>1748</v>
      </c>
      <c r="H6540" s="165" t="str">
        <f>IF(ISBLANK('Q 6'!H205),"",IF('Q 6'!H205="&lt;please select&gt;","",'Q 6'!H205))</f>
        <v/>
      </c>
    </row>
    <row r="6541" spans="1:8" x14ac:dyDescent="0.3">
      <c r="A6541" t="s">
        <v>1985</v>
      </c>
      <c r="B6541" t="s">
        <v>1987</v>
      </c>
      <c r="C6541">
        <v>74</v>
      </c>
      <c r="D6541" t="s">
        <v>1447</v>
      </c>
      <c r="E6541" t="s">
        <v>1972</v>
      </c>
      <c r="F6541" t="s">
        <v>1748</v>
      </c>
      <c r="H6541" s="165" t="str">
        <f>IF(ISBLANK('Q 6'!H206),"",IF('Q 6'!H206="&lt;please select&gt;","",'Q 6'!H206))</f>
        <v/>
      </c>
    </row>
    <row r="6542" spans="1:8" x14ac:dyDescent="0.3">
      <c r="A6542" t="s">
        <v>1985</v>
      </c>
      <c r="B6542" t="s">
        <v>1987</v>
      </c>
      <c r="C6542">
        <v>75</v>
      </c>
      <c r="D6542" t="s">
        <v>1447</v>
      </c>
      <c r="E6542" t="s">
        <v>1972</v>
      </c>
      <c r="F6542" t="s">
        <v>1748</v>
      </c>
      <c r="H6542" s="165" t="str">
        <f>IF(ISBLANK('Q 6'!H207),"",IF('Q 6'!H207="&lt;please select&gt;","",'Q 6'!H207))</f>
        <v/>
      </c>
    </row>
    <row r="6543" spans="1:8" x14ac:dyDescent="0.3">
      <c r="A6543" t="s">
        <v>1985</v>
      </c>
      <c r="B6543" t="s">
        <v>1987</v>
      </c>
      <c r="C6543">
        <v>76</v>
      </c>
      <c r="D6543" t="s">
        <v>1447</v>
      </c>
      <c r="E6543" t="s">
        <v>1972</v>
      </c>
      <c r="F6543" t="s">
        <v>1748</v>
      </c>
      <c r="H6543" s="165" t="str">
        <f>IF(ISBLANK('Q 6'!H208),"",IF('Q 6'!H208="&lt;please select&gt;","",'Q 6'!H208))</f>
        <v/>
      </c>
    </row>
    <row r="6544" spans="1:8" x14ac:dyDescent="0.3">
      <c r="A6544" t="s">
        <v>1985</v>
      </c>
      <c r="B6544" t="s">
        <v>1987</v>
      </c>
      <c r="C6544">
        <v>77</v>
      </c>
      <c r="D6544" t="s">
        <v>1447</v>
      </c>
      <c r="E6544" t="s">
        <v>1972</v>
      </c>
      <c r="F6544" t="s">
        <v>1748</v>
      </c>
      <c r="H6544" s="165" t="str">
        <f>IF(ISBLANK('Q 6'!H209),"",IF('Q 6'!H209="&lt;please select&gt;","",'Q 6'!H209))</f>
        <v/>
      </c>
    </row>
    <row r="6545" spans="1:9" x14ac:dyDescent="0.3">
      <c r="A6545" t="s">
        <v>1985</v>
      </c>
      <c r="B6545" t="s">
        <v>1987</v>
      </c>
      <c r="C6545">
        <v>78</v>
      </c>
      <c r="D6545" t="s">
        <v>1447</v>
      </c>
      <c r="E6545" t="s">
        <v>1972</v>
      </c>
      <c r="F6545" t="s">
        <v>1748</v>
      </c>
      <c r="H6545" s="165" t="str">
        <f>IF(ISBLANK('Q 6'!H210),"",IF('Q 6'!H210="&lt;please select&gt;","",'Q 6'!H210))</f>
        <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
      </c>
    </row>
    <row r="6559" spans="1:9" x14ac:dyDescent="0.3">
      <c r="A6559" t="s">
        <v>1985</v>
      </c>
      <c r="B6559" t="s">
        <v>1987</v>
      </c>
      <c r="C6559">
        <v>2</v>
      </c>
      <c r="D6559" t="s">
        <v>1447</v>
      </c>
      <c r="E6559" t="s">
        <v>1990</v>
      </c>
      <c r="F6559" t="s">
        <v>1806</v>
      </c>
      <c r="I6559" s="166" t="str">
        <f>IF(ISBLANK('Q 6'!I134),"",IF('Q 6'!I134="&lt;please select&gt;","",'Q 6'!I134))</f>
        <v/>
      </c>
    </row>
    <row r="6560" spans="1:9" x14ac:dyDescent="0.3">
      <c r="A6560" t="s">
        <v>1985</v>
      </c>
      <c r="B6560" t="s">
        <v>1987</v>
      </c>
      <c r="C6560">
        <v>3</v>
      </c>
      <c r="D6560" t="s">
        <v>1447</v>
      </c>
      <c r="E6560" t="s">
        <v>1990</v>
      </c>
      <c r="F6560" t="s">
        <v>1806</v>
      </c>
      <c r="I6560" s="166" t="str">
        <f>IF(ISBLANK('Q 6'!I135),"",IF('Q 6'!I135="&lt;please select&gt;","",'Q 6'!I135))</f>
        <v/>
      </c>
    </row>
    <row r="6561" spans="1:9" x14ac:dyDescent="0.3">
      <c r="A6561" t="s">
        <v>1985</v>
      </c>
      <c r="B6561" t="s">
        <v>1987</v>
      </c>
      <c r="C6561">
        <v>4</v>
      </c>
      <c r="D6561" t="s">
        <v>1447</v>
      </c>
      <c r="E6561" t="s">
        <v>1990</v>
      </c>
      <c r="F6561" t="s">
        <v>1806</v>
      </c>
      <c r="I6561" s="166" t="str">
        <f>IF(ISBLANK('Q 6'!I136),"",IF('Q 6'!I136="&lt;please select&gt;","",'Q 6'!I136))</f>
        <v/>
      </c>
    </row>
    <row r="6562" spans="1:9" x14ac:dyDescent="0.3">
      <c r="A6562" t="s">
        <v>1985</v>
      </c>
      <c r="B6562" t="s">
        <v>1987</v>
      </c>
      <c r="C6562">
        <v>5</v>
      </c>
      <c r="D6562" t="s">
        <v>1447</v>
      </c>
      <c r="E6562" t="s">
        <v>1990</v>
      </c>
      <c r="F6562" t="s">
        <v>1806</v>
      </c>
      <c r="I6562" s="166" t="str">
        <f>IF(ISBLANK('Q 6'!I137),"",IF('Q 6'!I137="&lt;please select&gt;","",'Q 6'!I137))</f>
        <v/>
      </c>
    </row>
    <row r="6563" spans="1:9" x14ac:dyDescent="0.3">
      <c r="A6563" t="s">
        <v>1985</v>
      </c>
      <c r="B6563" t="s">
        <v>1987</v>
      </c>
      <c r="C6563">
        <v>6</v>
      </c>
      <c r="D6563" t="s">
        <v>1447</v>
      </c>
      <c r="E6563" t="s">
        <v>1990</v>
      </c>
      <c r="F6563" t="s">
        <v>1806</v>
      </c>
      <c r="I6563" s="166" t="str">
        <f>IF(ISBLANK('Q 6'!I138),"",IF('Q 6'!I138="&lt;please select&gt;","",'Q 6'!I138))</f>
        <v/>
      </c>
    </row>
    <row r="6564" spans="1:9" x14ac:dyDescent="0.3">
      <c r="A6564" t="s">
        <v>1985</v>
      </c>
      <c r="B6564" t="s">
        <v>1987</v>
      </c>
      <c r="C6564">
        <v>7</v>
      </c>
      <c r="D6564" t="s">
        <v>1447</v>
      </c>
      <c r="E6564" t="s">
        <v>1990</v>
      </c>
      <c r="F6564" t="s">
        <v>1806</v>
      </c>
      <c r="I6564" s="166" t="str">
        <f>IF(ISBLANK('Q 6'!I139),"",IF('Q 6'!I139="&lt;please select&gt;","",'Q 6'!I139))</f>
        <v/>
      </c>
    </row>
    <row r="6565" spans="1:9" x14ac:dyDescent="0.3">
      <c r="A6565" t="s">
        <v>1985</v>
      </c>
      <c r="B6565" t="s">
        <v>1987</v>
      </c>
      <c r="C6565">
        <v>8</v>
      </c>
      <c r="D6565" t="s">
        <v>1447</v>
      </c>
      <c r="E6565" t="s">
        <v>1990</v>
      </c>
      <c r="F6565" t="s">
        <v>1806</v>
      </c>
      <c r="I6565" s="166" t="str">
        <f>IF(ISBLANK('Q 6'!I140),"",IF('Q 6'!I140="&lt;please select&gt;","",'Q 6'!I140))</f>
        <v/>
      </c>
    </row>
    <row r="6566" spans="1:9" x14ac:dyDescent="0.3">
      <c r="A6566" t="s">
        <v>1985</v>
      </c>
      <c r="B6566" t="s">
        <v>1987</v>
      </c>
      <c r="C6566">
        <v>9</v>
      </c>
      <c r="D6566" t="s">
        <v>1447</v>
      </c>
      <c r="E6566" t="s">
        <v>1990</v>
      </c>
      <c r="F6566" t="s">
        <v>1806</v>
      </c>
      <c r="I6566" s="166" t="str">
        <f>IF(ISBLANK('Q 6'!I141),"",IF('Q 6'!I141="&lt;please select&gt;","",'Q 6'!I141))</f>
        <v/>
      </c>
    </row>
    <row r="6567" spans="1:9" x14ac:dyDescent="0.3">
      <c r="A6567" t="s">
        <v>1985</v>
      </c>
      <c r="B6567" t="s">
        <v>1987</v>
      </c>
      <c r="C6567">
        <v>10</v>
      </c>
      <c r="D6567" t="s">
        <v>1447</v>
      </c>
      <c r="E6567" t="s">
        <v>1990</v>
      </c>
      <c r="F6567" t="s">
        <v>1806</v>
      </c>
      <c r="I6567" s="166" t="str">
        <f>IF(ISBLANK('Q 6'!I142),"",IF('Q 6'!I142="&lt;please select&gt;","",'Q 6'!I142))</f>
        <v/>
      </c>
    </row>
    <row r="6568" spans="1:9" x14ac:dyDescent="0.3">
      <c r="A6568" t="s">
        <v>1985</v>
      </c>
      <c r="B6568" t="s">
        <v>1987</v>
      </c>
      <c r="C6568">
        <v>11</v>
      </c>
      <c r="D6568" t="s">
        <v>1447</v>
      </c>
      <c r="E6568" t="s">
        <v>1990</v>
      </c>
      <c r="F6568" t="s">
        <v>1806</v>
      </c>
      <c r="I6568" s="166" t="str">
        <f>IF(ISBLANK('Q 6'!I143),"",IF('Q 6'!I143="&lt;please select&gt;","",'Q 6'!I143))</f>
        <v/>
      </c>
    </row>
    <row r="6569" spans="1:9" x14ac:dyDescent="0.3">
      <c r="A6569" t="s">
        <v>1985</v>
      </c>
      <c r="B6569" t="s">
        <v>1987</v>
      </c>
      <c r="C6569">
        <v>12</v>
      </c>
      <c r="D6569" t="s">
        <v>1447</v>
      </c>
      <c r="E6569" t="s">
        <v>1990</v>
      </c>
      <c r="F6569" t="s">
        <v>1806</v>
      </c>
      <c r="I6569" s="166" t="str">
        <f>IF(ISBLANK('Q 6'!I144),"",IF('Q 6'!I144="&lt;please select&gt;","",'Q 6'!I144))</f>
        <v/>
      </c>
    </row>
    <row r="6570" spans="1:9" x14ac:dyDescent="0.3">
      <c r="A6570" t="s">
        <v>1985</v>
      </c>
      <c r="B6570" t="s">
        <v>1987</v>
      </c>
      <c r="C6570">
        <v>13</v>
      </c>
      <c r="D6570" t="s">
        <v>1447</v>
      </c>
      <c r="E6570" t="s">
        <v>1990</v>
      </c>
      <c r="F6570" t="s">
        <v>1806</v>
      </c>
      <c r="I6570" s="166" t="str">
        <f>IF(ISBLANK('Q 6'!I145),"",IF('Q 6'!I145="&lt;please select&gt;","",'Q 6'!I145))</f>
        <v/>
      </c>
    </row>
    <row r="6571" spans="1:9" x14ac:dyDescent="0.3">
      <c r="A6571" t="s">
        <v>1985</v>
      </c>
      <c r="B6571" t="s">
        <v>1987</v>
      </c>
      <c r="C6571">
        <v>14</v>
      </c>
      <c r="D6571" t="s">
        <v>1447</v>
      </c>
      <c r="E6571" t="s">
        <v>1990</v>
      </c>
      <c r="F6571" t="s">
        <v>1806</v>
      </c>
      <c r="I6571" s="166" t="str">
        <f>IF(ISBLANK('Q 6'!I146),"",IF('Q 6'!I146="&lt;please select&gt;","",'Q 6'!I146))</f>
        <v/>
      </c>
    </row>
    <row r="6572" spans="1:9" x14ac:dyDescent="0.3">
      <c r="A6572" t="s">
        <v>1985</v>
      </c>
      <c r="B6572" t="s">
        <v>1987</v>
      </c>
      <c r="C6572">
        <v>15</v>
      </c>
      <c r="D6572" t="s">
        <v>1447</v>
      </c>
      <c r="E6572" t="s">
        <v>1990</v>
      </c>
      <c r="F6572" t="s">
        <v>1806</v>
      </c>
      <c r="I6572" s="166" t="str">
        <f>IF(ISBLANK('Q 6'!I147),"",IF('Q 6'!I147="&lt;please select&gt;","",'Q 6'!I147))</f>
        <v/>
      </c>
    </row>
    <row r="6573" spans="1:9" x14ac:dyDescent="0.3">
      <c r="A6573" t="s">
        <v>1985</v>
      </c>
      <c r="B6573" t="s">
        <v>1987</v>
      </c>
      <c r="C6573">
        <v>16</v>
      </c>
      <c r="D6573" t="s">
        <v>1447</v>
      </c>
      <c r="E6573" t="s">
        <v>1990</v>
      </c>
      <c r="F6573" t="s">
        <v>1806</v>
      </c>
      <c r="I6573" s="166" t="str">
        <f>IF(ISBLANK('Q 6'!I148),"",IF('Q 6'!I148="&lt;please select&gt;","",'Q 6'!I148))</f>
        <v/>
      </c>
    </row>
    <row r="6574" spans="1:9" x14ac:dyDescent="0.3">
      <c r="A6574" t="s">
        <v>1985</v>
      </c>
      <c r="B6574" t="s">
        <v>1987</v>
      </c>
      <c r="C6574">
        <v>17</v>
      </c>
      <c r="D6574" t="s">
        <v>1447</v>
      </c>
      <c r="E6574" t="s">
        <v>1990</v>
      </c>
      <c r="F6574" t="s">
        <v>1806</v>
      </c>
      <c r="I6574" s="166" t="str">
        <f>IF(ISBLANK('Q 6'!I149),"",IF('Q 6'!I149="&lt;please select&gt;","",'Q 6'!I149))</f>
        <v/>
      </c>
    </row>
    <row r="6575" spans="1:9" x14ac:dyDescent="0.3">
      <c r="A6575" t="s">
        <v>1985</v>
      </c>
      <c r="B6575" t="s">
        <v>1987</v>
      </c>
      <c r="C6575">
        <v>18</v>
      </c>
      <c r="D6575" t="s">
        <v>1447</v>
      </c>
      <c r="E6575" t="s">
        <v>1990</v>
      </c>
      <c r="F6575" t="s">
        <v>1806</v>
      </c>
      <c r="I6575" s="166" t="str">
        <f>IF(ISBLANK('Q 6'!I150),"",IF('Q 6'!I150="&lt;please select&gt;","",'Q 6'!I150))</f>
        <v/>
      </c>
    </row>
    <row r="6576" spans="1:9" x14ac:dyDescent="0.3">
      <c r="A6576" t="s">
        <v>1985</v>
      </c>
      <c r="B6576" t="s">
        <v>1987</v>
      </c>
      <c r="C6576">
        <v>19</v>
      </c>
      <c r="D6576" t="s">
        <v>1447</v>
      </c>
      <c r="E6576" t="s">
        <v>1990</v>
      </c>
      <c r="F6576" t="s">
        <v>1806</v>
      </c>
      <c r="I6576" s="166" t="str">
        <f>IF(ISBLANK('Q 6'!I151),"",IF('Q 6'!I151="&lt;please select&gt;","",'Q 6'!I151))</f>
        <v/>
      </c>
    </row>
    <row r="6577" spans="1:9" x14ac:dyDescent="0.3">
      <c r="A6577" t="s">
        <v>1985</v>
      </c>
      <c r="B6577" t="s">
        <v>1987</v>
      </c>
      <c r="C6577">
        <v>20</v>
      </c>
      <c r="D6577" t="s">
        <v>1447</v>
      </c>
      <c r="E6577" t="s">
        <v>1990</v>
      </c>
      <c r="F6577" t="s">
        <v>1806</v>
      </c>
      <c r="I6577" s="166" t="str">
        <f>IF(ISBLANK('Q 6'!I152),"",IF('Q 6'!I152="&lt;please select&gt;","",'Q 6'!I152))</f>
        <v/>
      </c>
    </row>
    <row r="6578" spans="1:9" x14ac:dyDescent="0.3">
      <c r="A6578" t="s">
        <v>1985</v>
      </c>
      <c r="B6578" t="s">
        <v>1987</v>
      </c>
      <c r="C6578">
        <v>21</v>
      </c>
      <c r="D6578" t="s">
        <v>1447</v>
      </c>
      <c r="E6578" t="s">
        <v>1990</v>
      </c>
      <c r="F6578" t="s">
        <v>1806</v>
      </c>
      <c r="I6578" s="166" t="str">
        <f>IF(ISBLANK('Q 6'!I153),"",IF('Q 6'!I153="&lt;please select&gt;","",'Q 6'!I153))</f>
        <v/>
      </c>
    </row>
    <row r="6579" spans="1:9" x14ac:dyDescent="0.3">
      <c r="A6579" t="s">
        <v>1985</v>
      </c>
      <c r="B6579" t="s">
        <v>1987</v>
      </c>
      <c r="C6579">
        <v>22</v>
      </c>
      <c r="D6579" t="s">
        <v>1447</v>
      </c>
      <c r="E6579" t="s">
        <v>1990</v>
      </c>
      <c r="F6579" t="s">
        <v>1806</v>
      </c>
      <c r="I6579" s="166" t="str">
        <f>IF(ISBLANK('Q 6'!I154),"",IF('Q 6'!I154="&lt;please select&gt;","",'Q 6'!I154))</f>
        <v/>
      </c>
    </row>
    <row r="6580" spans="1:9" x14ac:dyDescent="0.3">
      <c r="A6580" t="s">
        <v>1985</v>
      </c>
      <c r="B6580" t="s">
        <v>1987</v>
      </c>
      <c r="C6580">
        <v>23</v>
      </c>
      <c r="D6580" t="s">
        <v>1447</v>
      </c>
      <c r="E6580" t="s">
        <v>1990</v>
      </c>
      <c r="F6580" t="s">
        <v>1806</v>
      </c>
      <c r="I6580" s="166" t="str">
        <f>IF(ISBLANK('Q 6'!I155),"",IF('Q 6'!I155="&lt;please select&gt;","",'Q 6'!I155))</f>
        <v/>
      </c>
    </row>
    <row r="6581" spans="1:9" x14ac:dyDescent="0.3">
      <c r="A6581" t="s">
        <v>1985</v>
      </c>
      <c r="B6581" t="s">
        <v>1987</v>
      </c>
      <c r="C6581">
        <v>24</v>
      </c>
      <c r="D6581" t="s">
        <v>1447</v>
      </c>
      <c r="E6581" t="s">
        <v>1990</v>
      </c>
      <c r="F6581" t="s">
        <v>1806</v>
      </c>
      <c r="I6581" s="166" t="str">
        <f>IF(ISBLANK('Q 6'!I156),"",IF('Q 6'!I156="&lt;please select&gt;","",'Q 6'!I156))</f>
        <v/>
      </c>
    </row>
    <row r="6582" spans="1:9" x14ac:dyDescent="0.3">
      <c r="A6582" t="s">
        <v>1985</v>
      </c>
      <c r="B6582" t="s">
        <v>1987</v>
      </c>
      <c r="C6582">
        <v>25</v>
      </c>
      <c r="D6582" t="s">
        <v>1447</v>
      </c>
      <c r="E6582" t="s">
        <v>1990</v>
      </c>
      <c r="F6582" t="s">
        <v>1806</v>
      </c>
      <c r="I6582" s="166" t="str">
        <f>IF(ISBLANK('Q 6'!I157),"",IF('Q 6'!I157="&lt;please select&gt;","",'Q 6'!I157))</f>
        <v/>
      </c>
    </row>
    <row r="6583" spans="1:9" x14ac:dyDescent="0.3">
      <c r="A6583" t="s">
        <v>1985</v>
      </c>
      <c r="B6583" t="s">
        <v>1987</v>
      </c>
      <c r="C6583">
        <v>26</v>
      </c>
      <c r="D6583" t="s">
        <v>1447</v>
      </c>
      <c r="E6583" t="s">
        <v>1990</v>
      </c>
      <c r="F6583" t="s">
        <v>1806</v>
      </c>
      <c r="I6583" s="166" t="str">
        <f>IF(ISBLANK('Q 6'!I158),"",IF('Q 6'!I158="&lt;please select&gt;","",'Q 6'!I158))</f>
        <v/>
      </c>
    </row>
    <row r="6584" spans="1:9" x14ac:dyDescent="0.3">
      <c r="A6584" t="s">
        <v>1985</v>
      </c>
      <c r="B6584" t="s">
        <v>1987</v>
      </c>
      <c r="C6584">
        <v>27</v>
      </c>
      <c r="D6584" t="s">
        <v>1447</v>
      </c>
      <c r="E6584" t="s">
        <v>1990</v>
      </c>
      <c r="F6584" t="s">
        <v>1806</v>
      </c>
      <c r="I6584" s="166" t="str">
        <f>IF(ISBLANK('Q 6'!I159),"",IF('Q 6'!I159="&lt;please select&gt;","",'Q 6'!I159))</f>
        <v/>
      </c>
    </row>
    <row r="6585" spans="1:9" x14ac:dyDescent="0.3">
      <c r="A6585" t="s">
        <v>1985</v>
      </c>
      <c r="B6585" t="s">
        <v>1987</v>
      </c>
      <c r="C6585">
        <v>28</v>
      </c>
      <c r="D6585" t="s">
        <v>1447</v>
      </c>
      <c r="E6585" t="s">
        <v>1990</v>
      </c>
      <c r="F6585" t="s">
        <v>1806</v>
      </c>
      <c r="I6585" s="166" t="str">
        <f>IF(ISBLANK('Q 6'!I160),"",IF('Q 6'!I160="&lt;please select&gt;","",'Q 6'!I160))</f>
        <v/>
      </c>
    </row>
    <row r="6586" spans="1:9" x14ac:dyDescent="0.3">
      <c r="A6586" t="s">
        <v>1985</v>
      </c>
      <c r="B6586" t="s">
        <v>1987</v>
      </c>
      <c r="C6586">
        <v>29</v>
      </c>
      <c r="D6586" t="s">
        <v>1447</v>
      </c>
      <c r="E6586" t="s">
        <v>1990</v>
      </c>
      <c r="F6586" t="s">
        <v>1806</v>
      </c>
      <c r="I6586" s="166" t="str">
        <f>IF(ISBLANK('Q 6'!I161),"",IF('Q 6'!I161="&lt;please select&gt;","",'Q 6'!I161))</f>
        <v/>
      </c>
    </row>
    <row r="6587" spans="1:9" x14ac:dyDescent="0.3">
      <c r="A6587" t="s">
        <v>1985</v>
      </c>
      <c r="B6587" t="s">
        <v>1987</v>
      </c>
      <c r="C6587">
        <v>30</v>
      </c>
      <c r="D6587" t="s">
        <v>1447</v>
      </c>
      <c r="E6587" t="s">
        <v>1990</v>
      </c>
      <c r="F6587" t="s">
        <v>1806</v>
      </c>
      <c r="I6587" s="166" t="str">
        <f>IF(ISBLANK('Q 6'!I162),"",IF('Q 6'!I162="&lt;please select&gt;","",'Q 6'!I162))</f>
        <v/>
      </c>
    </row>
    <row r="6588" spans="1:9" x14ac:dyDescent="0.3">
      <c r="A6588" t="s">
        <v>1985</v>
      </c>
      <c r="B6588" t="s">
        <v>1987</v>
      </c>
      <c r="C6588">
        <v>31</v>
      </c>
      <c r="D6588" t="s">
        <v>1447</v>
      </c>
      <c r="E6588" t="s">
        <v>1990</v>
      </c>
      <c r="F6588" t="s">
        <v>1806</v>
      </c>
      <c r="I6588" s="166" t="str">
        <f>IF(ISBLANK('Q 6'!I163),"",IF('Q 6'!I163="&lt;please select&gt;","",'Q 6'!I163))</f>
        <v/>
      </c>
    </row>
    <row r="6589" spans="1:9" x14ac:dyDescent="0.3">
      <c r="A6589" t="s">
        <v>1985</v>
      </c>
      <c r="B6589" t="s">
        <v>1987</v>
      </c>
      <c r="C6589">
        <v>32</v>
      </c>
      <c r="D6589" t="s">
        <v>1447</v>
      </c>
      <c r="E6589" t="s">
        <v>1990</v>
      </c>
      <c r="F6589" t="s">
        <v>1806</v>
      </c>
      <c r="I6589" s="166" t="str">
        <f>IF(ISBLANK('Q 6'!I164),"",IF('Q 6'!I164="&lt;please select&gt;","",'Q 6'!I164))</f>
        <v/>
      </c>
    </row>
    <row r="6590" spans="1:9" x14ac:dyDescent="0.3">
      <c r="A6590" t="s">
        <v>1985</v>
      </c>
      <c r="B6590" t="s">
        <v>1987</v>
      </c>
      <c r="C6590">
        <v>33</v>
      </c>
      <c r="D6590" t="s">
        <v>1447</v>
      </c>
      <c r="E6590" t="s">
        <v>1990</v>
      </c>
      <c r="F6590" t="s">
        <v>1806</v>
      </c>
      <c r="I6590" s="166" t="str">
        <f>IF(ISBLANK('Q 6'!I165),"",IF('Q 6'!I165="&lt;please select&gt;","",'Q 6'!I165))</f>
        <v/>
      </c>
    </row>
    <row r="6591" spans="1:9" x14ac:dyDescent="0.3">
      <c r="A6591" t="s">
        <v>1985</v>
      </c>
      <c r="B6591" t="s">
        <v>1987</v>
      </c>
      <c r="C6591">
        <v>34</v>
      </c>
      <c r="D6591" t="s">
        <v>1447</v>
      </c>
      <c r="E6591" t="s">
        <v>1990</v>
      </c>
      <c r="F6591" t="s">
        <v>1806</v>
      </c>
      <c r="I6591" s="166" t="str">
        <f>IF(ISBLANK('Q 6'!I166),"",IF('Q 6'!I166="&lt;please select&gt;","",'Q 6'!I166))</f>
        <v/>
      </c>
    </row>
    <row r="6592" spans="1:9" x14ac:dyDescent="0.3">
      <c r="A6592" t="s">
        <v>1985</v>
      </c>
      <c r="B6592" t="s">
        <v>1987</v>
      </c>
      <c r="C6592">
        <v>35</v>
      </c>
      <c r="D6592" t="s">
        <v>1447</v>
      </c>
      <c r="E6592" t="s">
        <v>1990</v>
      </c>
      <c r="F6592" t="s">
        <v>1806</v>
      </c>
      <c r="I6592" s="166" t="str">
        <f>IF(ISBLANK('Q 6'!I167),"",IF('Q 6'!I167="&lt;please select&gt;","",'Q 6'!I167))</f>
        <v/>
      </c>
    </row>
    <row r="6593" spans="1:9" x14ac:dyDescent="0.3">
      <c r="A6593" t="s">
        <v>1985</v>
      </c>
      <c r="B6593" t="s">
        <v>1987</v>
      </c>
      <c r="C6593">
        <v>36</v>
      </c>
      <c r="D6593" t="s">
        <v>1447</v>
      </c>
      <c r="E6593" t="s">
        <v>1990</v>
      </c>
      <c r="F6593" t="s">
        <v>1806</v>
      </c>
      <c r="I6593" s="166" t="str">
        <f>IF(ISBLANK('Q 6'!I168),"",IF('Q 6'!I168="&lt;please select&gt;","",'Q 6'!I168))</f>
        <v/>
      </c>
    </row>
    <row r="6594" spans="1:9" x14ac:dyDescent="0.3">
      <c r="A6594" t="s">
        <v>1985</v>
      </c>
      <c r="B6594" t="s">
        <v>1987</v>
      </c>
      <c r="C6594">
        <v>37</v>
      </c>
      <c r="D6594" t="s">
        <v>1447</v>
      </c>
      <c r="E6594" t="s">
        <v>1990</v>
      </c>
      <c r="F6594" t="s">
        <v>1806</v>
      </c>
      <c r="I6594" s="166" t="str">
        <f>IF(ISBLANK('Q 6'!I169),"",IF('Q 6'!I169="&lt;please select&gt;","",'Q 6'!I169))</f>
        <v/>
      </c>
    </row>
    <row r="6595" spans="1:9" x14ac:dyDescent="0.3">
      <c r="A6595" t="s">
        <v>1985</v>
      </c>
      <c r="B6595" t="s">
        <v>1987</v>
      </c>
      <c r="C6595">
        <v>38</v>
      </c>
      <c r="D6595" t="s">
        <v>1447</v>
      </c>
      <c r="E6595" t="s">
        <v>1990</v>
      </c>
      <c r="F6595" t="s">
        <v>1806</v>
      </c>
      <c r="I6595" s="166" t="str">
        <f>IF(ISBLANK('Q 6'!I170),"",IF('Q 6'!I170="&lt;please select&gt;","",'Q 6'!I170))</f>
        <v/>
      </c>
    </row>
    <row r="6596" spans="1:9" x14ac:dyDescent="0.3">
      <c r="A6596" t="s">
        <v>1985</v>
      </c>
      <c r="B6596" t="s">
        <v>1987</v>
      </c>
      <c r="C6596">
        <v>39</v>
      </c>
      <c r="D6596" t="s">
        <v>1447</v>
      </c>
      <c r="E6596" t="s">
        <v>1990</v>
      </c>
      <c r="F6596" t="s">
        <v>1806</v>
      </c>
      <c r="I6596" s="166" t="str">
        <f>IF(ISBLANK('Q 6'!I171),"",IF('Q 6'!I171="&lt;please select&gt;","",'Q 6'!I171))</f>
        <v/>
      </c>
    </row>
    <row r="6597" spans="1:9" x14ac:dyDescent="0.3">
      <c r="A6597" t="s">
        <v>1985</v>
      </c>
      <c r="B6597" t="s">
        <v>1987</v>
      </c>
      <c r="C6597">
        <v>40</v>
      </c>
      <c r="D6597" t="s">
        <v>1447</v>
      </c>
      <c r="E6597" t="s">
        <v>1990</v>
      </c>
      <c r="F6597" t="s">
        <v>1806</v>
      </c>
      <c r="I6597" s="166" t="str">
        <f>IF(ISBLANK('Q 6'!I172),"",IF('Q 6'!I172="&lt;please select&gt;","",'Q 6'!I172))</f>
        <v/>
      </c>
    </row>
    <row r="6598" spans="1:9" x14ac:dyDescent="0.3">
      <c r="A6598" t="s">
        <v>1985</v>
      </c>
      <c r="B6598" t="s">
        <v>1987</v>
      </c>
      <c r="C6598">
        <v>41</v>
      </c>
      <c r="D6598" t="s">
        <v>1447</v>
      </c>
      <c r="E6598" t="s">
        <v>1990</v>
      </c>
      <c r="F6598" t="s">
        <v>1806</v>
      </c>
      <c r="I6598" s="166" t="str">
        <f>IF(ISBLANK('Q 6'!I173),"",IF('Q 6'!I173="&lt;please select&gt;","",'Q 6'!I173))</f>
        <v/>
      </c>
    </row>
    <row r="6599" spans="1:9" x14ac:dyDescent="0.3">
      <c r="A6599" t="s">
        <v>1985</v>
      </c>
      <c r="B6599" t="s">
        <v>1987</v>
      </c>
      <c r="C6599">
        <v>42</v>
      </c>
      <c r="D6599" t="s">
        <v>1447</v>
      </c>
      <c r="E6599" t="s">
        <v>1990</v>
      </c>
      <c r="F6599" t="s">
        <v>1806</v>
      </c>
      <c r="I6599" s="166" t="str">
        <f>IF(ISBLANK('Q 6'!I174),"",IF('Q 6'!I174="&lt;please select&gt;","",'Q 6'!I174))</f>
        <v/>
      </c>
    </row>
    <row r="6600" spans="1:9" x14ac:dyDescent="0.3">
      <c r="A6600" t="s">
        <v>1985</v>
      </c>
      <c r="B6600" t="s">
        <v>1987</v>
      </c>
      <c r="C6600">
        <v>43</v>
      </c>
      <c r="D6600" t="s">
        <v>1447</v>
      </c>
      <c r="E6600" t="s">
        <v>1990</v>
      </c>
      <c r="F6600" t="s">
        <v>1806</v>
      </c>
      <c r="I6600" s="166" t="str">
        <f>IF(ISBLANK('Q 6'!I175),"",IF('Q 6'!I175="&lt;please select&gt;","",'Q 6'!I175))</f>
        <v/>
      </c>
    </row>
    <row r="6601" spans="1:9" x14ac:dyDescent="0.3">
      <c r="A6601" t="s">
        <v>1985</v>
      </c>
      <c r="B6601" t="s">
        <v>1987</v>
      </c>
      <c r="C6601">
        <v>44</v>
      </c>
      <c r="D6601" t="s">
        <v>1447</v>
      </c>
      <c r="E6601" t="s">
        <v>1990</v>
      </c>
      <c r="F6601" t="s">
        <v>1806</v>
      </c>
      <c r="I6601" s="166" t="str">
        <f>IF(ISBLANK('Q 6'!I176),"",IF('Q 6'!I176="&lt;please select&gt;","",'Q 6'!I176))</f>
        <v/>
      </c>
    </row>
    <row r="6602" spans="1:9" x14ac:dyDescent="0.3">
      <c r="A6602" t="s">
        <v>1985</v>
      </c>
      <c r="B6602" t="s">
        <v>1987</v>
      </c>
      <c r="C6602">
        <v>45</v>
      </c>
      <c r="D6602" t="s">
        <v>1447</v>
      </c>
      <c r="E6602" t="s">
        <v>1990</v>
      </c>
      <c r="F6602" t="s">
        <v>1806</v>
      </c>
      <c r="I6602" s="166" t="str">
        <f>IF(ISBLANK('Q 6'!I177),"",IF('Q 6'!I177="&lt;please select&gt;","",'Q 6'!I177))</f>
        <v/>
      </c>
    </row>
    <row r="6603" spans="1:9" x14ac:dyDescent="0.3">
      <c r="A6603" t="s">
        <v>1985</v>
      </c>
      <c r="B6603" t="s">
        <v>1987</v>
      </c>
      <c r="C6603">
        <v>46</v>
      </c>
      <c r="D6603" t="s">
        <v>1447</v>
      </c>
      <c r="E6603" t="s">
        <v>1990</v>
      </c>
      <c r="F6603" t="s">
        <v>1806</v>
      </c>
      <c r="I6603" s="166" t="str">
        <f>IF(ISBLANK('Q 6'!I178),"",IF('Q 6'!I178="&lt;please select&gt;","",'Q 6'!I178))</f>
        <v/>
      </c>
    </row>
    <row r="6604" spans="1:9" x14ac:dyDescent="0.3">
      <c r="A6604" t="s">
        <v>1985</v>
      </c>
      <c r="B6604" t="s">
        <v>1987</v>
      </c>
      <c r="C6604">
        <v>47</v>
      </c>
      <c r="D6604" t="s">
        <v>1447</v>
      </c>
      <c r="E6604" t="s">
        <v>1990</v>
      </c>
      <c r="F6604" t="s">
        <v>1806</v>
      </c>
      <c r="I6604" s="166" t="str">
        <f>IF(ISBLANK('Q 6'!I179),"",IF('Q 6'!I179="&lt;please select&gt;","",'Q 6'!I179))</f>
        <v/>
      </c>
    </row>
    <row r="6605" spans="1:9" x14ac:dyDescent="0.3">
      <c r="A6605" t="s">
        <v>1985</v>
      </c>
      <c r="B6605" t="s">
        <v>1987</v>
      </c>
      <c r="C6605">
        <v>48</v>
      </c>
      <c r="D6605" t="s">
        <v>1447</v>
      </c>
      <c r="E6605" t="s">
        <v>1990</v>
      </c>
      <c r="F6605" t="s">
        <v>1806</v>
      </c>
      <c r="I6605" s="166" t="str">
        <f>IF(ISBLANK('Q 6'!I180),"",IF('Q 6'!I180="&lt;please select&gt;","",'Q 6'!I180))</f>
        <v/>
      </c>
    </row>
    <row r="6606" spans="1:9" x14ac:dyDescent="0.3">
      <c r="A6606" t="s">
        <v>1985</v>
      </c>
      <c r="B6606" t="s">
        <v>1987</v>
      </c>
      <c r="C6606">
        <v>49</v>
      </c>
      <c r="D6606" t="s">
        <v>1447</v>
      </c>
      <c r="E6606" t="s">
        <v>1990</v>
      </c>
      <c r="F6606" t="s">
        <v>1806</v>
      </c>
      <c r="I6606" s="166" t="str">
        <f>IF(ISBLANK('Q 6'!I181),"",IF('Q 6'!I181="&lt;please select&gt;","",'Q 6'!I181))</f>
        <v/>
      </c>
    </row>
    <row r="6607" spans="1:9" x14ac:dyDescent="0.3">
      <c r="A6607" t="s">
        <v>1985</v>
      </c>
      <c r="B6607" t="s">
        <v>1987</v>
      </c>
      <c r="C6607">
        <v>50</v>
      </c>
      <c r="D6607" t="s">
        <v>1447</v>
      </c>
      <c r="E6607" t="s">
        <v>1990</v>
      </c>
      <c r="F6607" t="s">
        <v>1806</v>
      </c>
      <c r="I6607" s="166" t="str">
        <f>IF(ISBLANK('Q 6'!I182),"",IF('Q 6'!I182="&lt;please select&gt;","",'Q 6'!I182))</f>
        <v/>
      </c>
    </row>
    <row r="6608" spans="1:9" x14ac:dyDescent="0.3">
      <c r="A6608" t="s">
        <v>1985</v>
      </c>
      <c r="B6608" t="s">
        <v>1987</v>
      </c>
      <c r="C6608">
        <v>51</v>
      </c>
      <c r="D6608" t="s">
        <v>1447</v>
      </c>
      <c r="E6608" t="s">
        <v>1990</v>
      </c>
      <c r="F6608" t="s">
        <v>1806</v>
      </c>
      <c r="I6608" s="166" t="str">
        <f>IF(ISBLANK('Q 6'!I183),"",IF('Q 6'!I183="&lt;please select&gt;","",'Q 6'!I183))</f>
        <v/>
      </c>
    </row>
    <row r="6609" spans="1:9" x14ac:dyDescent="0.3">
      <c r="A6609" t="s">
        <v>1985</v>
      </c>
      <c r="B6609" t="s">
        <v>1987</v>
      </c>
      <c r="C6609">
        <v>52</v>
      </c>
      <c r="D6609" t="s">
        <v>1447</v>
      </c>
      <c r="E6609" t="s">
        <v>1990</v>
      </c>
      <c r="F6609" t="s">
        <v>1806</v>
      </c>
      <c r="I6609" s="166" t="str">
        <f>IF(ISBLANK('Q 6'!I184),"",IF('Q 6'!I184="&lt;please select&gt;","",'Q 6'!I184))</f>
        <v/>
      </c>
    </row>
    <row r="6610" spans="1:9" x14ac:dyDescent="0.3">
      <c r="A6610" t="s">
        <v>1985</v>
      </c>
      <c r="B6610" t="s">
        <v>1987</v>
      </c>
      <c r="C6610">
        <v>53</v>
      </c>
      <c r="D6610" t="s">
        <v>1447</v>
      </c>
      <c r="E6610" t="s">
        <v>1990</v>
      </c>
      <c r="F6610" t="s">
        <v>1806</v>
      </c>
      <c r="I6610" s="166" t="str">
        <f>IF(ISBLANK('Q 6'!I185),"",IF('Q 6'!I185="&lt;please select&gt;","",'Q 6'!I185))</f>
        <v/>
      </c>
    </row>
    <row r="6611" spans="1:9" x14ac:dyDescent="0.3">
      <c r="A6611" t="s">
        <v>1985</v>
      </c>
      <c r="B6611" t="s">
        <v>1987</v>
      </c>
      <c r="C6611">
        <v>54</v>
      </c>
      <c r="D6611" t="s">
        <v>1447</v>
      </c>
      <c r="E6611" t="s">
        <v>1990</v>
      </c>
      <c r="F6611" t="s">
        <v>1806</v>
      </c>
      <c r="I6611" s="166" t="str">
        <f>IF(ISBLANK('Q 6'!I186),"",IF('Q 6'!I186="&lt;please select&gt;","",'Q 6'!I186))</f>
        <v/>
      </c>
    </row>
    <row r="6612" spans="1:9" x14ac:dyDescent="0.3">
      <c r="A6612" t="s">
        <v>1985</v>
      </c>
      <c r="B6612" t="s">
        <v>1987</v>
      </c>
      <c r="C6612">
        <v>55</v>
      </c>
      <c r="D6612" t="s">
        <v>1447</v>
      </c>
      <c r="E6612" t="s">
        <v>1990</v>
      </c>
      <c r="F6612" t="s">
        <v>1806</v>
      </c>
      <c r="I6612" s="166" t="str">
        <f>IF(ISBLANK('Q 6'!I187),"",IF('Q 6'!I187="&lt;please select&gt;","",'Q 6'!I187))</f>
        <v/>
      </c>
    </row>
    <row r="6613" spans="1:9" x14ac:dyDescent="0.3">
      <c r="A6613" t="s">
        <v>1985</v>
      </c>
      <c r="B6613" t="s">
        <v>1987</v>
      </c>
      <c r="C6613">
        <v>56</v>
      </c>
      <c r="D6613" t="s">
        <v>1447</v>
      </c>
      <c r="E6613" t="s">
        <v>1990</v>
      </c>
      <c r="F6613" t="s">
        <v>1806</v>
      </c>
      <c r="I6613" s="166" t="str">
        <f>IF(ISBLANK('Q 6'!I188),"",IF('Q 6'!I188="&lt;please select&gt;","",'Q 6'!I188))</f>
        <v/>
      </c>
    </row>
    <row r="6614" spans="1:9" x14ac:dyDescent="0.3">
      <c r="A6614" t="s">
        <v>1985</v>
      </c>
      <c r="B6614" t="s">
        <v>1987</v>
      </c>
      <c r="C6614">
        <v>57</v>
      </c>
      <c r="D6614" t="s">
        <v>1447</v>
      </c>
      <c r="E6614" t="s">
        <v>1990</v>
      </c>
      <c r="F6614" t="s">
        <v>1806</v>
      </c>
      <c r="I6614" s="166" t="str">
        <f>IF(ISBLANK('Q 6'!I189),"",IF('Q 6'!I189="&lt;please select&gt;","",'Q 6'!I189))</f>
        <v/>
      </c>
    </row>
    <row r="6615" spans="1:9" x14ac:dyDescent="0.3">
      <c r="A6615" t="s">
        <v>1985</v>
      </c>
      <c r="B6615" t="s">
        <v>1987</v>
      </c>
      <c r="C6615">
        <v>58</v>
      </c>
      <c r="D6615" t="s">
        <v>1447</v>
      </c>
      <c r="E6615" t="s">
        <v>1990</v>
      </c>
      <c r="F6615" t="s">
        <v>1806</v>
      </c>
      <c r="I6615" s="166" t="str">
        <f>IF(ISBLANK('Q 6'!I190),"",IF('Q 6'!I190="&lt;please select&gt;","",'Q 6'!I190))</f>
        <v/>
      </c>
    </row>
    <row r="6616" spans="1:9" x14ac:dyDescent="0.3">
      <c r="A6616" t="s">
        <v>1985</v>
      </c>
      <c r="B6616" t="s">
        <v>1987</v>
      </c>
      <c r="C6616">
        <v>59</v>
      </c>
      <c r="D6616" t="s">
        <v>1447</v>
      </c>
      <c r="E6616" t="s">
        <v>1990</v>
      </c>
      <c r="F6616" t="s">
        <v>1806</v>
      </c>
      <c r="I6616" s="166" t="str">
        <f>IF(ISBLANK('Q 6'!I191),"",IF('Q 6'!I191="&lt;please select&gt;","",'Q 6'!I191))</f>
        <v/>
      </c>
    </row>
    <row r="6617" spans="1:9" x14ac:dyDescent="0.3">
      <c r="A6617" t="s">
        <v>1985</v>
      </c>
      <c r="B6617" t="s">
        <v>1987</v>
      </c>
      <c r="C6617">
        <v>60</v>
      </c>
      <c r="D6617" t="s">
        <v>1447</v>
      </c>
      <c r="E6617" t="s">
        <v>1990</v>
      </c>
      <c r="F6617" t="s">
        <v>1806</v>
      </c>
      <c r="I6617" s="166" t="str">
        <f>IF(ISBLANK('Q 6'!I192),"",IF('Q 6'!I192="&lt;please select&gt;","",'Q 6'!I192))</f>
        <v/>
      </c>
    </row>
    <row r="6618" spans="1:9" x14ac:dyDescent="0.3">
      <c r="A6618" t="s">
        <v>1985</v>
      </c>
      <c r="B6618" t="s">
        <v>1987</v>
      </c>
      <c r="C6618">
        <v>61</v>
      </c>
      <c r="D6618" t="s">
        <v>1447</v>
      </c>
      <c r="E6618" t="s">
        <v>1990</v>
      </c>
      <c r="F6618" t="s">
        <v>1806</v>
      </c>
      <c r="I6618" s="166" t="str">
        <f>IF(ISBLANK('Q 6'!I193),"",IF('Q 6'!I193="&lt;please select&gt;","",'Q 6'!I193))</f>
        <v/>
      </c>
    </row>
    <row r="6619" spans="1:9" x14ac:dyDescent="0.3">
      <c r="A6619" t="s">
        <v>1985</v>
      </c>
      <c r="B6619" t="s">
        <v>1987</v>
      </c>
      <c r="C6619">
        <v>62</v>
      </c>
      <c r="D6619" t="s">
        <v>1447</v>
      </c>
      <c r="E6619" t="s">
        <v>1990</v>
      </c>
      <c r="F6619" t="s">
        <v>1806</v>
      </c>
      <c r="I6619" s="166" t="str">
        <f>IF(ISBLANK('Q 6'!I194),"",IF('Q 6'!I194="&lt;please select&gt;","",'Q 6'!I194))</f>
        <v/>
      </c>
    </row>
    <row r="6620" spans="1:9" x14ac:dyDescent="0.3">
      <c r="A6620" t="s">
        <v>1985</v>
      </c>
      <c r="B6620" t="s">
        <v>1987</v>
      </c>
      <c r="C6620">
        <v>63</v>
      </c>
      <c r="D6620" t="s">
        <v>1447</v>
      </c>
      <c r="E6620" t="s">
        <v>1990</v>
      </c>
      <c r="F6620" t="s">
        <v>1806</v>
      </c>
      <c r="I6620" s="166" t="str">
        <f>IF(ISBLANK('Q 6'!I195),"",IF('Q 6'!I195="&lt;please select&gt;","",'Q 6'!I195))</f>
        <v/>
      </c>
    </row>
    <row r="6621" spans="1:9" x14ac:dyDescent="0.3">
      <c r="A6621" t="s">
        <v>1985</v>
      </c>
      <c r="B6621" t="s">
        <v>1987</v>
      </c>
      <c r="C6621">
        <v>64</v>
      </c>
      <c r="D6621" t="s">
        <v>1447</v>
      </c>
      <c r="E6621" t="s">
        <v>1990</v>
      </c>
      <c r="F6621" t="s">
        <v>1806</v>
      </c>
      <c r="I6621" s="166" t="str">
        <f>IF(ISBLANK('Q 6'!I196),"",IF('Q 6'!I196="&lt;please select&gt;","",'Q 6'!I196))</f>
        <v/>
      </c>
    </row>
    <row r="6622" spans="1:9" x14ac:dyDescent="0.3">
      <c r="A6622" t="s">
        <v>1985</v>
      </c>
      <c r="B6622" t="s">
        <v>1987</v>
      </c>
      <c r="C6622">
        <v>65</v>
      </c>
      <c r="D6622" t="s">
        <v>1447</v>
      </c>
      <c r="E6622" t="s">
        <v>1990</v>
      </c>
      <c r="F6622" t="s">
        <v>1806</v>
      </c>
      <c r="I6622" s="166" t="str">
        <f>IF(ISBLANK('Q 6'!I197),"",IF('Q 6'!I197="&lt;please select&gt;","",'Q 6'!I197))</f>
        <v/>
      </c>
    </row>
    <row r="6623" spans="1:9" x14ac:dyDescent="0.3">
      <c r="A6623" t="s">
        <v>1985</v>
      </c>
      <c r="B6623" t="s">
        <v>1987</v>
      </c>
      <c r="C6623">
        <v>66</v>
      </c>
      <c r="D6623" t="s">
        <v>1447</v>
      </c>
      <c r="E6623" t="s">
        <v>1990</v>
      </c>
      <c r="F6623" t="s">
        <v>1806</v>
      </c>
      <c r="I6623" s="166" t="str">
        <f>IF(ISBLANK('Q 6'!I198),"",IF('Q 6'!I198="&lt;please select&gt;","",'Q 6'!I198))</f>
        <v/>
      </c>
    </row>
    <row r="6624" spans="1:9" x14ac:dyDescent="0.3">
      <c r="A6624" t="s">
        <v>1985</v>
      </c>
      <c r="B6624" t="s">
        <v>1987</v>
      </c>
      <c r="C6624">
        <v>67</v>
      </c>
      <c r="D6624" t="s">
        <v>1447</v>
      </c>
      <c r="E6624" t="s">
        <v>1990</v>
      </c>
      <c r="F6624" t="s">
        <v>1806</v>
      </c>
      <c r="I6624" s="166" t="str">
        <f>IF(ISBLANK('Q 6'!I199),"",IF('Q 6'!I199="&lt;please select&gt;","",'Q 6'!I199))</f>
        <v/>
      </c>
    </row>
    <row r="6625" spans="1:9" x14ac:dyDescent="0.3">
      <c r="A6625" t="s">
        <v>1985</v>
      </c>
      <c r="B6625" t="s">
        <v>1987</v>
      </c>
      <c r="C6625">
        <v>68</v>
      </c>
      <c r="D6625" t="s">
        <v>1447</v>
      </c>
      <c r="E6625" t="s">
        <v>1990</v>
      </c>
      <c r="F6625" t="s">
        <v>1806</v>
      </c>
      <c r="I6625" s="166" t="str">
        <f>IF(ISBLANK('Q 6'!I200),"",IF('Q 6'!I200="&lt;please select&gt;","",'Q 6'!I200))</f>
        <v/>
      </c>
    </row>
    <row r="6626" spans="1:9" x14ac:dyDescent="0.3">
      <c r="A6626" t="s">
        <v>1985</v>
      </c>
      <c r="B6626" t="s">
        <v>1987</v>
      </c>
      <c r="C6626">
        <v>69</v>
      </c>
      <c r="D6626" t="s">
        <v>1447</v>
      </c>
      <c r="E6626" t="s">
        <v>1990</v>
      </c>
      <c r="F6626" t="s">
        <v>1806</v>
      </c>
      <c r="I6626" s="166" t="str">
        <f>IF(ISBLANK('Q 6'!I201),"",IF('Q 6'!I201="&lt;please select&gt;","",'Q 6'!I201))</f>
        <v/>
      </c>
    </row>
    <row r="6627" spans="1:9" x14ac:dyDescent="0.3">
      <c r="A6627" t="s">
        <v>1985</v>
      </c>
      <c r="B6627" t="s">
        <v>1987</v>
      </c>
      <c r="C6627">
        <v>70</v>
      </c>
      <c r="D6627" t="s">
        <v>1447</v>
      </c>
      <c r="E6627" t="s">
        <v>1990</v>
      </c>
      <c r="F6627" t="s">
        <v>1806</v>
      </c>
      <c r="I6627" s="166" t="str">
        <f>IF(ISBLANK('Q 6'!I202),"",IF('Q 6'!I202="&lt;please select&gt;","",'Q 6'!I202))</f>
        <v/>
      </c>
    </row>
    <row r="6628" spans="1:9" x14ac:dyDescent="0.3">
      <c r="A6628" t="s">
        <v>1985</v>
      </c>
      <c r="B6628" t="s">
        <v>1987</v>
      </c>
      <c r="C6628">
        <v>71</v>
      </c>
      <c r="D6628" t="s">
        <v>1447</v>
      </c>
      <c r="E6628" t="s">
        <v>1990</v>
      </c>
      <c r="F6628" t="s">
        <v>1806</v>
      </c>
      <c r="I6628" s="166" t="str">
        <f>IF(ISBLANK('Q 6'!I203),"",IF('Q 6'!I203="&lt;please select&gt;","",'Q 6'!I203))</f>
        <v/>
      </c>
    </row>
    <row r="6629" spans="1:9" x14ac:dyDescent="0.3">
      <c r="A6629" t="s">
        <v>1985</v>
      </c>
      <c r="B6629" t="s">
        <v>1987</v>
      </c>
      <c r="C6629">
        <v>72</v>
      </c>
      <c r="D6629" t="s">
        <v>1447</v>
      </c>
      <c r="E6629" t="s">
        <v>1990</v>
      </c>
      <c r="F6629" t="s">
        <v>1806</v>
      </c>
      <c r="I6629" s="166" t="str">
        <f>IF(ISBLANK('Q 6'!I204),"",IF('Q 6'!I204="&lt;please select&gt;","",'Q 6'!I204))</f>
        <v/>
      </c>
    </row>
    <row r="6630" spans="1:9" x14ac:dyDescent="0.3">
      <c r="A6630" t="s">
        <v>1985</v>
      </c>
      <c r="B6630" t="s">
        <v>1987</v>
      </c>
      <c r="C6630">
        <v>73</v>
      </c>
      <c r="D6630" t="s">
        <v>1447</v>
      </c>
      <c r="E6630" t="s">
        <v>1990</v>
      </c>
      <c r="F6630" t="s">
        <v>1806</v>
      </c>
      <c r="I6630" s="166" t="str">
        <f>IF(ISBLANK('Q 6'!I205),"",IF('Q 6'!I205="&lt;please select&gt;","",'Q 6'!I205))</f>
        <v/>
      </c>
    </row>
    <row r="6631" spans="1:9" x14ac:dyDescent="0.3">
      <c r="A6631" t="s">
        <v>1985</v>
      </c>
      <c r="B6631" t="s">
        <v>1987</v>
      </c>
      <c r="C6631">
        <v>74</v>
      </c>
      <c r="D6631" t="s">
        <v>1447</v>
      </c>
      <c r="E6631" t="s">
        <v>1990</v>
      </c>
      <c r="F6631" t="s">
        <v>1806</v>
      </c>
      <c r="I6631" s="166" t="str">
        <f>IF(ISBLANK('Q 6'!I206),"",IF('Q 6'!I206="&lt;please select&gt;","",'Q 6'!I206))</f>
        <v/>
      </c>
    </row>
    <row r="6632" spans="1:9" x14ac:dyDescent="0.3">
      <c r="A6632" t="s">
        <v>1985</v>
      </c>
      <c r="B6632" t="s">
        <v>1987</v>
      </c>
      <c r="C6632">
        <v>75</v>
      </c>
      <c r="D6632" t="s">
        <v>1447</v>
      </c>
      <c r="E6632" t="s">
        <v>1990</v>
      </c>
      <c r="F6632" t="s">
        <v>1806</v>
      </c>
      <c r="I6632" s="166" t="str">
        <f>IF(ISBLANK('Q 6'!I207),"",IF('Q 6'!I207="&lt;please select&gt;","",'Q 6'!I207))</f>
        <v/>
      </c>
    </row>
    <row r="6633" spans="1:9" x14ac:dyDescent="0.3">
      <c r="A6633" t="s">
        <v>1985</v>
      </c>
      <c r="B6633" t="s">
        <v>1987</v>
      </c>
      <c r="C6633">
        <v>76</v>
      </c>
      <c r="D6633" t="s">
        <v>1447</v>
      </c>
      <c r="E6633" t="s">
        <v>1990</v>
      </c>
      <c r="F6633" t="s">
        <v>1806</v>
      </c>
      <c r="I6633" s="166" t="str">
        <f>IF(ISBLANK('Q 6'!I208),"",IF('Q 6'!I208="&lt;please select&gt;","",'Q 6'!I208))</f>
        <v/>
      </c>
    </row>
    <row r="6634" spans="1:9" x14ac:dyDescent="0.3">
      <c r="A6634" t="s">
        <v>1985</v>
      </c>
      <c r="B6634" t="s">
        <v>1987</v>
      </c>
      <c r="C6634">
        <v>77</v>
      </c>
      <c r="D6634" t="s">
        <v>1447</v>
      </c>
      <c r="E6634" t="s">
        <v>1990</v>
      </c>
      <c r="F6634" t="s">
        <v>1806</v>
      </c>
      <c r="I6634" s="166" t="str">
        <f>IF(ISBLANK('Q 6'!I209),"",IF('Q 6'!I209="&lt;please select&gt;","",'Q 6'!I209))</f>
        <v/>
      </c>
    </row>
    <row r="6635" spans="1:9" x14ac:dyDescent="0.3">
      <c r="A6635" t="s">
        <v>1985</v>
      </c>
      <c r="B6635" t="s">
        <v>1987</v>
      </c>
      <c r="C6635">
        <v>78</v>
      </c>
      <c r="D6635" t="s">
        <v>1447</v>
      </c>
      <c r="E6635" t="s">
        <v>1990</v>
      </c>
      <c r="F6635" t="s">
        <v>1806</v>
      </c>
      <c r="I6635" s="166" t="str">
        <f>IF(ISBLANK('Q 6'!I210),"",IF('Q 6'!I210="&lt;please select&gt;","",'Q 6'!I210))</f>
        <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No</v>
      </c>
    </row>
    <row r="6649" spans="1:11" x14ac:dyDescent="0.3">
      <c r="A6649" t="s">
        <v>1991</v>
      </c>
      <c r="B6649" t="s">
        <v>1993</v>
      </c>
      <c r="C6649">
        <v>1</v>
      </c>
      <c r="D6649" t="s">
        <v>1447</v>
      </c>
      <c r="E6649" t="s">
        <v>1994</v>
      </c>
      <c r="F6649" t="s">
        <v>1806</v>
      </c>
      <c r="I6649" s="166" t="str">
        <f>IF(ISBLANK('Q 6'!G229),"",IF('Q 6'!G229="&lt;please select&gt;","",'Q 6'!G229))</f>
        <v/>
      </c>
    </row>
    <row r="6650" spans="1:11" x14ac:dyDescent="0.3">
      <c r="A6650" t="s">
        <v>1991</v>
      </c>
      <c r="B6650" t="s">
        <v>1993</v>
      </c>
      <c r="C6650">
        <v>2</v>
      </c>
      <c r="D6650" t="s">
        <v>1447</v>
      </c>
      <c r="E6650" t="s">
        <v>1994</v>
      </c>
      <c r="F6650" t="s">
        <v>1806</v>
      </c>
      <c r="I6650" s="166" t="str">
        <f>IF(ISBLANK('Q 6'!G230),"",IF('Q 6'!G230="&lt;please select&gt;","",'Q 6'!G230))</f>
        <v/>
      </c>
    </row>
    <row r="6651" spans="1:11" x14ac:dyDescent="0.3">
      <c r="A6651" t="s">
        <v>1991</v>
      </c>
      <c r="B6651" t="s">
        <v>1993</v>
      </c>
      <c r="C6651">
        <v>3</v>
      </c>
      <c r="D6651" t="s">
        <v>1447</v>
      </c>
      <c r="E6651" t="s">
        <v>1994</v>
      </c>
      <c r="F6651" t="s">
        <v>1806</v>
      </c>
      <c r="I6651" s="166" t="str">
        <f>IF(ISBLANK('Q 6'!G231),"",IF('Q 6'!G231="&lt;please select&gt;","",'Q 6'!G231))</f>
        <v/>
      </c>
    </row>
    <row r="6652" spans="1:11" x14ac:dyDescent="0.3">
      <c r="A6652" t="s">
        <v>1991</v>
      </c>
      <c r="B6652" t="s">
        <v>1993</v>
      </c>
      <c r="C6652">
        <v>4</v>
      </c>
      <c r="D6652" t="s">
        <v>1447</v>
      </c>
      <c r="E6652" t="s">
        <v>1994</v>
      </c>
      <c r="F6652" t="s">
        <v>1806</v>
      </c>
      <c r="I6652" s="166" t="str">
        <f>IF(ISBLANK('Q 6'!G232),"",IF('Q 6'!G232="&lt;please select&gt;","",'Q 6'!G232))</f>
        <v/>
      </c>
    </row>
    <row r="6653" spans="1:11" x14ac:dyDescent="0.3">
      <c r="A6653" t="s">
        <v>1991</v>
      </c>
      <c r="B6653" t="s">
        <v>1993</v>
      </c>
      <c r="C6653">
        <v>5</v>
      </c>
      <c r="D6653" t="s">
        <v>1447</v>
      </c>
      <c r="E6653" t="s">
        <v>1994</v>
      </c>
      <c r="F6653" t="s">
        <v>1806</v>
      </c>
      <c r="I6653" s="166" t="str">
        <f>IF(ISBLANK('Q 6'!G233),"",IF('Q 6'!G233="&lt;please select&gt;","",'Q 6'!G233))</f>
        <v/>
      </c>
    </row>
    <row r="6654" spans="1:11" x14ac:dyDescent="0.3">
      <c r="A6654" t="s">
        <v>1991</v>
      </c>
      <c r="B6654" t="s">
        <v>1993</v>
      </c>
      <c r="C6654">
        <v>4</v>
      </c>
      <c r="D6654" t="s">
        <v>1447</v>
      </c>
      <c r="E6654" t="s">
        <v>1995</v>
      </c>
      <c r="F6654" t="s">
        <v>1791</v>
      </c>
      <c r="J6654" t="str">
        <f>IF(ISBLANK('Q 6'!$H$232),"",IF('Q 6'!$H$232="&lt;please select&gt;","",'Q 6'!$H$232))</f>
        <v/>
      </c>
    </row>
    <row r="6655" spans="1:11" x14ac:dyDescent="0.3">
      <c r="A6655" t="s">
        <v>1991</v>
      </c>
      <c r="B6655" t="s">
        <v>1993</v>
      </c>
      <c r="C6655">
        <v>5</v>
      </c>
      <c r="D6655" t="s">
        <v>1447</v>
      </c>
      <c r="E6655" t="s">
        <v>1995</v>
      </c>
      <c r="F6655" t="s">
        <v>1791</v>
      </c>
      <c r="J6655" t="str">
        <f>IF(ISBLANK('Q 6'!$I$233),"",IF('Q 6'!$I$233="&lt;please select&gt;","",'Q 6'!$I$233))</f>
        <v/>
      </c>
    </row>
    <row r="6656" spans="1:11" x14ac:dyDescent="0.3">
      <c r="A6656" t="s">
        <v>1991</v>
      </c>
      <c r="B6656" t="s">
        <v>1993</v>
      </c>
      <c r="C6656">
        <v>5</v>
      </c>
      <c r="D6656" t="s">
        <v>1447</v>
      </c>
      <c r="E6656" t="s">
        <v>1996</v>
      </c>
      <c r="F6656" t="s">
        <v>1737</v>
      </c>
      <c r="K6656" t="str">
        <f>IF(ISBLANK('Q 6'!$H$233),"",IF('Q 6'!$H$233="&lt;please select&gt;","",'Q 6'!$H$233))</f>
        <v/>
      </c>
    </row>
    <row r="6657" spans="1:11" x14ac:dyDescent="0.3">
      <c r="A6657" t="s">
        <v>1991</v>
      </c>
      <c r="B6657" t="s">
        <v>1997</v>
      </c>
      <c r="C6657">
        <v>1</v>
      </c>
      <c r="D6657" t="s">
        <v>1447</v>
      </c>
      <c r="E6657" t="s">
        <v>1998</v>
      </c>
      <c r="F6657" t="s">
        <v>1748</v>
      </c>
      <c r="H6657" s="165" t="str">
        <f>IF(ISBLANK('Q 6'!$G$234),"",IF('Q 6'!$G$234="&lt;please select&gt;","",'Q 6'!$G$234))</f>
        <v/>
      </c>
    </row>
    <row r="6658" spans="1:11" x14ac:dyDescent="0.3">
      <c r="A6658" t="s">
        <v>1991</v>
      </c>
      <c r="B6658" t="s">
        <v>1997</v>
      </c>
      <c r="C6658">
        <v>2</v>
      </c>
      <c r="D6658" t="s">
        <v>1447</v>
      </c>
      <c r="E6658" t="s">
        <v>1998</v>
      </c>
      <c r="F6658" t="s">
        <v>1748</v>
      </c>
      <c r="H6658" s="165" t="str">
        <f>IF(ISBLANK('Q 6'!$G$235),"",IF('Q 6'!$G$235="&lt;please select&gt;","",'Q 6'!$G$235))</f>
        <v/>
      </c>
    </row>
    <row r="6659" spans="1:11" x14ac:dyDescent="0.3">
      <c r="A6659" t="s">
        <v>1991</v>
      </c>
      <c r="B6659" t="s">
        <v>1997</v>
      </c>
      <c r="C6659">
        <v>2</v>
      </c>
      <c r="D6659" t="s">
        <v>1447</v>
      </c>
      <c r="E6659" t="s">
        <v>1995</v>
      </c>
      <c r="F6659" t="s">
        <v>1791</v>
      </c>
      <c r="J6659" t="str">
        <f>IF(ISBLANK('Q 6'!$H$235),"",IF('Q 6'!$H$235="&lt;please select&gt;","",'Q 6'!$H$235))</f>
        <v/>
      </c>
    </row>
    <row r="6660" spans="1:11" x14ac:dyDescent="0.3">
      <c r="A6660" t="s">
        <v>1991</v>
      </c>
      <c r="B6660" t="s">
        <v>1999</v>
      </c>
      <c r="C6660">
        <v>1</v>
      </c>
      <c r="D6660" t="s">
        <v>1447</v>
      </c>
      <c r="E6660" t="s">
        <v>2000</v>
      </c>
      <c r="F6660" t="s">
        <v>1741</v>
      </c>
      <c r="G6660" t="str">
        <f>IF(ISBLANK('Q 6'!G236),"",IF('Q 6'!G236="&lt;please select&gt;","",'Q 6'!G236))</f>
        <v/>
      </c>
    </row>
    <row r="6661" spans="1:11" x14ac:dyDescent="0.3">
      <c r="A6661" t="s">
        <v>1991</v>
      </c>
      <c r="B6661" t="s">
        <v>1999</v>
      </c>
      <c r="C6661">
        <v>2</v>
      </c>
      <c r="D6661" t="s">
        <v>1419</v>
      </c>
      <c r="E6661" t="s">
        <v>2000</v>
      </c>
      <c r="F6661" t="s">
        <v>1791</v>
      </c>
      <c r="J6661" t="str">
        <f>IF(ISBLANK('Q 6'!G237),"",IF('Q 6'!G237="&lt;please select&gt;","",'Q 6'!G237))</f>
        <v/>
      </c>
    </row>
    <row r="6662" spans="1:11" x14ac:dyDescent="0.3">
      <c r="A6662" t="s">
        <v>2001</v>
      </c>
      <c r="B6662" t="s">
        <v>2002</v>
      </c>
      <c r="C6662">
        <v>0</v>
      </c>
      <c r="D6662" t="s">
        <v>1447</v>
      </c>
      <c r="E6662" t="s">
        <v>2002</v>
      </c>
      <c r="F6662" t="s">
        <v>1759</v>
      </c>
      <c r="K6662" t="str">
        <f>IF(ISBLANK('Q 6'!$I$240),"",IF('Q 6'!$I$240="&lt;please select&gt;","",'Q 6'!$I$240))</f>
        <v>No</v>
      </c>
    </row>
    <row r="6663" spans="1:11" x14ac:dyDescent="0.3">
      <c r="A6663" t="s">
        <v>2001</v>
      </c>
      <c r="B6663" t="s">
        <v>2003</v>
      </c>
      <c r="C6663">
        <v>1</v>
      </c>
      <c r="D6663" t="s">
        <v>1447</v>
      </c>
      <c r="E6663" t="s">
        <v>2004</v>
      </c>
      <c r="F6663" t="s">
        <v>1737</v>
      </c>
      <c r="K6663" t="str">
        <f>IF(ISBLANK('Q 6'!C243),"",IF('Q 6'!C243="&lt;please select&gt;","",'Q 6'!C243))</f>
        <v/>
      </c>
    </row>
    <row r="6664" spans="1:11" x14ac:dyDescent="0.3">
      <c r="A6664" t="s">
        <v>2001</v>
      </c>
      <c r="B6664" t="s">
        <v>2003</v>
      </c>
      <c r="C6664">
        <v>2</v>
      </c>
      <c r="D6664" t="s">
        <v>1447</v>
      </c>
      <c r="E6664" t="s">
        <v>2004</v>
      </c>
      <c r="F6664" t="s">
        <v>1737</v>
      </c>
      <c r="K6664" t="str">
        <f>IF(ISBLANK('Q 6'!C244),"",IF('Q 6'!C244="&lt;please select&gt;","",'Q 6'!C244))</f>
        <v/>
      </c>
    </row>
    <row r="6665" spans="1:11" x14ac:dyDescent="0.3">
      <c r="A6665" t="s">
        <v>2001</v>
      </c>
      <c r="B6665" t="s">
        <v>2003</v>
      </c>
      <c r="C6665">
        <v>3</v>
      </c>
      <c r="D6665" t="s">
        <v>1447</v>
      </c>
      <c r="E6665" t="s">
        <v>2004</v>
      </c>
      <c r="F6665" t="s">
        <v>1737</v>
      </c>
      <c r="K6665" t="str">
        <f>IF(ISBLANK('Q 6'!C245),"",IF('Q 6'!C245="&lt;please select&gt;","",'Q 6'!C245))</f>
        <v/>
      </c>
    </row>
    <row r="6666" spans="1:11" x14ac:dyDescent="0.3">
      <c r="A6666" t="s">
        <v>2001</v>
      </c>
      <c r="B6666" t="s">
        <v>2003</v>
      </c>
      <c r="C6666">
        <v>4</v>
      </c>
      <c r="D6666" t="s">
        <v>1447</v>
      </c>
      <c r="E6666" t="s">
        <v>2004</v>
      </c>
      <c r="F6666" t="s">
        <v>1737</v>
      </c>
      <c r="K6666" t="str">
        <f>IF(ISBLANK('Q 6'!C246),"",IF('Q 6'!C246="&lt;please select&gt;","",'Q 6'!C246))</f>
        <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
      </c>
    </row>
    <row r="6684" spans="1:11" x14ac:dyDescent="0.3">
      <c r="A6684" t="s">
        <v>2001</v>
      </c>
      <c r="B6684" t="s">
        <v>2003</v>
      </c>
      <c r="C6684">
        <v>2</v>
      </c>
      <c r="D6684" t="s">
        <v>1447</v>
      </c>
      <c r="E6684" t="s">
        <v>1988</v>
      </c>
      <c r="F6684" t="s">
        <v>1737</v>
      </c>
      <c r="K6684" t="str">
        <f>IF(ISBLANK('Q 6'!E244),"",IF('Q 6'!E244="&lt;please select&gt;","",'Q 6'!E244))</f>
        <v/>
      </c>
    </row>
    <row r="6685" spans="1:11" x14ac:dyDescent="0.3">
      <c r="A6685" t="s">
        <v>2001</v>
      </c>
      <c r="B6685" t="s">
        <v>2003</v>
      </c>
      <c r="C6685">
        <v>3</v>
      </c>
      <c r="D6685" t="s">
        <v>1447</v>
      </c>
      <c r="E6685" t="s">
        <v>1988</v>
      </c>
      <c r="F6685" t="s">
        <v>1737</v>
      </c>
      <c r="K6685" t="str">
        <f>IF(ISBLANK('Q 6'!E245),"",IF('Q 6'!E245="&lt;please select&gt;","",'Q 6'!E245))</f>
        <v/>
      </c>
    </row>
    <row r="6686" spans="1:11" x14ac:dyDescent="0.3">
      <c r="A6686" t="s">
        <v>2001</v>
      </c>
      <c r="B6686" t="s">
        <v>2003</v>
      </c>
      <c r="C6686">
        <v>4</v>
      </c>
      <c r="D6686" t="s">
        <v>1447</v>
      </c>
      <c r="E6686" t="s">
        <v>1988</v>
      </c>
      <c r="F6686" t="s">
        <v>1737</v>
      </c>
      <c r="K6686" t="str">
        <f>IF(ISBLANK('Q 6'!E246),"",IF('Q 6'!E246="&lt;please select&gt;","",'Q 6'!E246))</f>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
      </c>
    </row>
    <row r="6704" spans="1:11" x14ac:dyDescent="0.3">
      <c r="A6704" t="s">
        <v>2001</v>
      </c>
      <c r="B6704" t="s">
        <v>2003</v>
      </c>
      <c r="C6704">
        <v>2</v>
      </c>
      <c r="D6704" t="s">
        <v>1447</v>
      </c>
      <c r="E6704" t="s">
        <v>1798</v>
      </c>
      <c r="F6704" t="s">
        <v>1748</v>
      </c>
      <c r="H6704" s="165" t="str">
        <f>IF(ISBLANK('Q 6'!H244),"",IF('Q 6'!H244="&lt;please select&gt;","",'Q 6'!H244))</f>
        <v/>
      </c>
    </row>
    <row r="6705" spans="1:8" x14ac:dyDescent="0.3">
      <c r="A6705" t="s">
        <v>2001</v>
      </c>
      <c r="B6705" t="s">
        <v>2003</v>
      </c>
      <c r="C6705">
        <v>3</v>
      </c>
      <c r="D6705" t="s">
        <v>1447</v>
      </c>
      <c r="E6705" t="s">
        <v>1798</v>
      </c>
      <c r="F6705" t="s">
        <v>1748</v>
      </c>
      <c r="H6705" s="165" t="str">
        <f>IF(ISBLANK('Q 6'!H245),"",IF('Q 6'!H245="&lt;please select&gt;","",'Q 6'!H245))</f>
        <v/>
      </c>
    </row>
    <row r="6706" spans="1:8" x14ac:dyDescent="0.3">
      <c r="A6706" t="s">
        <v>2001</v>
      </c>
      <c r="B6706" t="s">
        <v>2003</v>
      </c>
      <c r="C6706">
        <v>4</v>
      </c>
      <c r="D6706" t="s">
        <v>1447</v>
      </c>
      <c r="E6706" t="s">
        <v>1798</v>
      </c>
      <c r="F6706" t="s">
        <v>1748</v>
      </c>
      <c r="H6706" s="165" t="str">
        <f>IF(ISBLANK('Q 6'!H246),"",IF('Q 6'!H246="&lt;please select&gt;","",'Q 6'!H246))</f>
        <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No</v>
      </c>
    </row>
    <row r="6724" spans="1:11" x14ac:dyDescent="0.3">
      <c r="A6724" t="s">
        <v>2001</v>
      </c>
      <c r="B6724" t="s">
        <v>2006</v>
      </c>
      <c r="C6724">
        <v>0</v>
      </c>
      <c r="D6724" t="s">
        <v>1447</v>
      </c>
      <c r="E6724" t="s">
        <v>2006</v>
      </c>
      <c r="F6724" t="s">
        <v>1748</v>
      </c>
      <c r="H6724" s="165" t="str">
        <f>IF(ISBLANK('Q 6'!$H$268),"",IF('Q 6'!$H$268="&lt;please select&gt;","",'Q 6'!$H$268))</f>
        <v/>
      </c>
    </row>
    <row r="6725" spans="1:11" x14ac:dyDescent="0.3">
      <c r="A6725" t="s">
        <v>2007</v>
      </c>
      <c r="B6725" t="s">
        <v>2008</v>
      </c>
      <c r="C6725">
        <v>0</v>
      </c>
      <c r="D6725" t="s">
        <v>1447</v>
      </c>
      <c r="E6725" t="s">
        <v>2008</v>
      </c>
      <c r="F6725" t="s">
        <v>1759</v>
      </c>
      <c r="K6725" t="str">
        <f>IF(ISBLANK('Q 6'!$I$270),"",IF('Q 6'!$I$270="&lt;please select&gt;","",'Q 6'!$I$270))</f>
        <v>No</v>
      </c>
    </row>
    <row r="6726" spans="1:11" x14ac:dyDescent="0.3">
      <c r="A6726" t="s">
        <v>2007</v>
      </c>
      <c r="B6726" t="s">
        <v>2009</v>
      </c>
      <c r="C6726">
        <v>1</v>
      </c>
      <c r="D6726" t="s">
        <v>1447</v>
      </c>
      <c r="E6726" t="s">
        <v>2010</v>
      </c>
      <c r="F6726" t="s">
        <v>1741</v>
      </c>
      <c r="G6726" t="str">
        <f>IF(ISBLANK('Q 6'!C276),"",IF('Q 6'!C276="&lt;please select&gt;","",'Q 6'!C276))</f>
        <v/>
      </c>
    </row>
    <row r="6727" spans="1:11" x14ac:dyDescent="0.3">
      <c r="A6727" t="s">
        <v>2007</v>
      </c>
      <c r="B6727" t="s">
        <v>2009</v>
      </c>
      <c r="C6727">
        <v>2</v>
      </c>
      <c r="D6727" t="s">
        <v>1447</v>
      </c>
      <c r="E6727" t="s">
        <v>2010</v>
      </c>
      <c r="F6727" t="s">
        <v>1741</v>
      </c>
      <c r="G6727" t="str">
        <f>IF(ISBLANK('Q 6'!C277),"",IF('Q 6'!C277="&lt;please select&gt;","",'Q 6'!C277))</f>
        <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
      </c>
    </row>
    <row r="6740" spans="1:11" x14ac:dyDescent="0.3">
      <c r="A6740" t="s">
        <v>2007</v>
      </c>
      <c r="B6740" t="s">
        <v>2009</v>
      </c>
      <c r="C6740">
        <v>2</v>
      </c>
      <c r="D6740" t="s">
        <v>1447</v>
      </c>
      <c r="E6740" t="s">
        <v>2011</v>
      </c>
      <c r="F6740" t="s">
        <v>1748</v>
      </c>
      <c r="H6740" s="165" t="str">
        <f>IF(ISBLANK('Q 6'!D277),"",IF('Q 6'!D277="&lt;please select&gt;","",'Q 6'!D277))</f>
        <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
      </c>
    </row>
    <row r="6753" spans="1:11" x14ac:dyDescent="0.3">
      <c r="A6753" t="s">
        <v>2007</v>
      </c>
      <c r="B6753" t="s">
        <v>2009</v>
      </c>
      <c r="C6753">
        <v>2</v>
      </c>
      <c r="D6753" t="s">
        <v>1447</v>
      </c>
      <c r="E6753" t="s">
        <v>2012</v>
      </c>
      <c r="F6753" t="s">
        <v>1737</v>
      </c>
      <c r="K6753" t="str">
        <f>IF(ISBLANK('Q 6'!F277),"",IF('Q 6'!F277="&lt;please select&gt;","",'Q 6'!F277))</f>
        <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
      </c>
    </row>
    <row r="6766" spans="1:11" x14ac:dyDescent="0.3">
      <c r="A6766" t="s">
        <v>2007</v>
      </c>
      <c r="B6766" t="s">
        <v>2009</v>
      </c>
      <c r="C6766">
        <v>2</v>
      </c>
      <c r="D6766" t="s">
        <v>1447</v>
      </c>
      <c r="E6766" t="s">
        <v>2013</v>
      </c>
      <c r="F6766" t="s">
        <v>1741</v>
      </c>
      <c r="G6766" t="str">
        <f>IF(ISBLANK('Q 6'!H277),"",IF('Q 6'!H277="&lt;please select&gt;","",'Q 6'!H277))</f>
        <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
      </c>
    </row>
    <row r="6779" spans="1:7" x14ac:dyDescent="0.3">
      <c r="A6779" t="s">
        <v>2014</v>
      </c>
      <c r="B6779" t="s">
        <v>2015</v>
      </c>
      <c r="C6779">
        <v>2</v>
      </c>
      <c r="D6779" t="s">
        <v>1447</v>
      </c>
      <c r="E6779" t="s">
        <v>2016</v>
      </c>
      <c r="F6779" t="s">
        <v>1741</v>
      </c>
      <c r="G6779" t="str">
        <f>IF(ISBLANK('Q 6'!C296),"",IF('Q 6'!C296="&lt;please select&gt;","",'Q 6'!C296))</f>
        <v/>
      </c>
    </row>
    <row r="6780" spans="1:7" x14ac:dyDescent="0.3">
      <c r="A6780" t="s">
        <v>2014</v>
      </c>
      <c r="B6780" t="s">
        <v>2015</v>
      </c>
      <c r="C6780">
        <v>3</v>
      </c>
      <c r="D6780" t="s">
        <v>1447</v>
      </c>
      <c r="E6780" t="s">
        <v>2016</v>
      </c>
      <c r="F6780" t="s">
        <v>1741</v>
      </c>
      <c r="G6780" t="str">
        <f>IF(ISBLANK('Q 6'!C297),"",IF('Q 6'!C297="&lt;please select&gt;","",'Q 6'!C297))</f>
        <v/>
      </c>
    </row>
    <row r="6781" spans="1:7" x14ac:dyDescent="0.3">
      <c r="A6781" t="s">
        <v>2014</v>
      </c>
      <c r="B6781" t="s">
        <v>2015</v>
      </c>
      <c r="C6781">
        <v>4</v>
      </c>
      <c r="D6781" t="s">
        <v>1447</v>
      </c>
      <c r="E6781" t="s">
        <v>2016</v>
      </c>
      <c r="F6781" t="s">
        <v>1741</v>
      </c>
      <c r="G6781" t="str">
        <f>IF(ISBLANK('Q 6'!C298),"",IF('Q 6'!C298="&lt;please select&gt;","",'Q 6'!C298))</f>
        <v/>
      </c>
    </row>
    <row r="6782" spans="1:7" x14ac:dyDescent="0.3">
      <c r="A6782" t="s">
        <v>2014</v>
      </c>
      <c r="B6782" t="s">
        <v>2015</v>
      </c>
      <c r="C6782">
        <v>5</v>
      </c>
      <c r="D6782" t="s">
        <v>1447</v>
      </c>
      <c r="E6782" t="s">
        <v>2016</v>
      </c>
      <c r="F6782" t="s">
        <v>1741</v>
      </c>
      <c r="G6782" t="str">
        <f>IF(ISBLANK('Q 6'!C299),"",IF('Q 6'!C299="&lt;please select&gt;","",'Q 6'!C299))</f>
        <v/>
      </c>
    </row>
    <row r="6783" spans="1:7" x14ac:dyDescent="0.3">
      <c r="A6783" t="s">
        <v>2014</v>
      </c>
      <c r="B6783" t="s">
        <v>2015</v>
      </c>
      <c r="C6783">
        <v>6</v>
      </c>
      <c r="D6783" t="s">
        <v>1447</v>
      </c>
      <c r="E6783" t="s">
        <v>2016</v>
      </c>
      <c r="F6783" t="s">
        <v>1741</v>
      </c>
      <c r="G6783" t="str">
        <f>IF(ISBLANK('Q 6'!C300),"",IF('Q 6'!C300="&lt;please select&gt;","",'Q 6'!C300))</f>
        <v/>
      </c>
    </row>
    <row r="6784" spans="1:7" x14ac:dyDescent="0.3">
      <c r="A6784" t="s">
        <v>2014</v>
      </c>
      <c r="B6784" t="s">
        <v>2015</v>
      </c>
      <c r="C6784">
        <v>7</v>
      </c>
      <c r="D6784" t="s">
        <v>1447</v>
      </c>
      <c r="E6784" t="s">
        <v>2016</v>
      </c>
      <c r="F6784" t="s">
        <v>1741</v>
      </c>
      <c r="G6784" t="str">
        <f>IF(ISBLANK('Q 6'!C301),"",IF('Q 6'!C301="&lt;please select&gt;","",'Q 6'!C301))</f>
        <v/>
      </c>
    </row>
    <row r="6785" spans="1:9" x14ac:dyDescent="0.3">
      <c r="A6785" t="s">
        <v>2014</v>
      </c>
      <c r="B6785" t="s">
        <v>2015</v>
      </c>
      <c r="C6785">
        <v>8</v>
      </c>
      <c r="D6785" t="s">
        <v>1447</v>
      </c>
      <c r="E6785" t="s">
        <v>2016</v>
      </c>
      <c r="F6785" t="s">
        <v>1741</v>
      </c>
      <c r="G6785" t="str">
        <f>IF(ISBLANK('Q 6'!C302),"",IF('Q 6'!C302="&lt;please select&gt;","",'Q 6'!C302))</f>
        <v/>
      </c>
    </row>
    <row r="6786" spans="1:9" x14ac:dyDescent="0.3">
      <c r="A6786" t="s">
        <v>2014</v>
      </c>
      <c r="B6786" t="s">
        <v>2015</v>
      </c>
      <c r="C6786">
        <v>9</v>
      </c>
      <c r="D6786" t="s">
        <v>1447</v>
      </c>
      <c r="E6786" t="s">
        <v>2016</v>
      </c>
      <c r="F6786" t="s">
        <v>1741</v>
      </c>
      <c r="G6786" t="str">
        <f>IF(ISBLANK('Q 6'!C303),"",IF('Q 6'!C303="&lt;please select&gt;","",'Q 6'!C303))</f>
        <v/>
      </c>
    </row>
    <row r="6787" spans="1:9" x14ac:dyDescent="0.3">
      <c r="A6787" t="s">
        <v>2014</v>
      </c>
      <c r="B6787" t="s">
        <v>2015</v>
      </c>
      <c r="C6787">
        <v>10</v>
      </c>
      <c r="D6787" t="s">
        <v>1447</v>
      </c>
      <c r="E6787" t="s">
        <v>2016</v>
      </c>
      <c r="F6787" t="s">
        <v>1741</v>
      </c>
      <c r="G6787" t="str">
        <f>IF(ISBLANK('Q 6'!C304),"",IF('Q 6'!C304="&lt;please select&gt;","",'Q 6'!C304))</f>
        <v/>
      </c>
    </row>
    <row r="6788" spans="1:9" x14ac:dyDescent="0.3">
      <c r="A6788" t="s">
        <v>2014</v>
      </c>
      <c r="B6788" t="s">
        <v>2015</v>
      </c>
      <c r="C6788">
        <v>11</v>
      </c>
      <c r="D6788" t="s">
        <v>1447</v>
      </c>
      <c r="E6788" t="s">
        <v>2016</v>
      </c>
      <c r="F6788" t="s">
        <v>1741</v>
      </c>
      <c r="G6788" t="str">
        <f>IF(ISBLANK('Q 6'!C305),"",IF('Q 6'!C305="&lt;please select&gt;","",'Q 6'!C305))</f>
        <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
      </c>
    </row>
    <row r="6800" spans="1:9" x14ac:dyDescent="0.3">
      <c r="A6800" t="s">
        <v>2014</v>
      </c>
      <c r="B6800" t="s">
        <v>2015</v>
      </c>
      <c r="C6800">
        <v>2</v>
      </c>
      <c r="D6800" t="s">
        <v>1447</v>
      </c>
      <c r="E6800" t="s">
        <v>2017</v>
      </c>
      <c r="F6800" t="s">
        <v>1806</v>
      </c>
      <c r="I6800" s="165" t="str">
        <f>IF(ISBLANK('Q 6'!D296),"",IF('Q 6'!D296="&lt;please select&gt;","",'Q 6'!D296))</f>
        <v/>
      </c>
    </row>
    <row r="6801" spans="1:9" x14ac:dyDescent="0.3">
      <c r="A6801" t="s">
        <v>2014</v>
      </c>
      <c r="B6801" t="s">
        <v>2015</v>
      </c>
      <c r="C6801">
        <v>3</v>
      </c>
      <c r="D6801" t="s">
        <v>1447</v>
      </c>
      <c r="E6801" t="s">
        <v>2017</v>
      </c>
      <c r="F6801" t="s">
        <v>1806</v>
      </c>
      <c r="I6801" s="165" t="str">
        <f>IF(ISBLANK('Q 6'!D297),"",IF('Q 6'!D297="&lt;please select&gt;","",'Q 6'!D297))</f>
        <v/>
      </c>
    </row>
    <row r="6802" spans="1:9" x14ac:dyDescent="0.3">
      <c r="A6802" t="s">
        <v>2014</v>
      </c>
      <c r="B6802" t="s">
        <v>2015</v>
      </c>
      <c r="C6802">
        <v>4</v>
      </c>
      <c r="D6802" t="s">
        <v>1447</v>
      </c>
      <c r="E6802" t="s">
        <v>2017</v>
      </c>
      <c r="F6802" t="s">
        <v>1806</v>
      </c>
      <c r="I6802" s="165" t="str">
        <f>IF(ISBLANK('Q 6'!D298),"",IF('Q 6'!D298="&lt;please select&gt;","",'Q 6'!D298))</f>
        <v/>
      </c>
    </row>
    <row r="6803" spans="1:9" x14ac:dyDescent="0.3">
      <c r="A6803" t="s">
        <v>2014</v>
      </c>
      <c r="B6803" t="s">
        <v>2015</v>
      </c>
      <c r="C6803">
        <v>5</v>
      </c>
      <c r="D6803" t="s">
        <v>1447</v>
      </c>
      <c r="E6803" t="s">
        <v>2017</v>
      </c>
      <c r="F6803" t="s">
        <v>1806</v>
      </c>
      <c r="I6803" s="165" t="str">
        <f>IF(ISBLANK('Q 6'!D299),"",IF('Q 6'!D299="&lt;please select&gt;","",'Q 6'!D299))</f>
        <v/>
      </c>
    </row>
    <row r="6804" spans="1:9" x14ac:dyDescent="0.3">
      <c r="A6804" t="s">
        <v>2014</v>
      </c>
      <c r="B6804" t="s">
        <v>2015</v>
      </c>
      <c r="C6804">
        <v>6</v>
      </c>
      <c r="D6804" t="s">
        <v>1447</v>
      </c>
      <c r="E6804" t="s">
        <v>2017</v>
      </c>
      <c r="F6804" t="s">
        <v>1806</v>
      </c>
      <c r="I6804" s="165" t="str">
        <f>IF(ISBLANK('Q 6'!D300),"",IF('Q 6'!D300="&lt;please select&gt;","",'Q 6'!D300))</f>
        <v/>
      </c>
    </row>
    <row r="6805" spans="1:9" x14ac:dyDescent="0.3">
      <c r="A6805" t="s">
        <v>2014</v>
      </c>
      <c r="B6805" t="s">
        <v>2015</v>
      </c>
      <c r="C6805">
        <v>7</v>
      </c>
      <c r="D6805" t="s">
        <v>1447</v>
      </c>
      <c r="E6805" t="s">
        <v>2017</v>
      </c>
      <c r="F6805" t="s">
        <v>1806</v>
      </c>
      <c r="I6805" s="165" t="str">
        <f>IF(ISBLANK('Q 6'!D301),"",IF('Q 6'!D301="&lt;please select&gt;","",'Q 6'!D301))</f>
        <v/>
      </c>
    </row>
    <row r="6806" spans="1:9" x14ac:dyDescent="0.3">
      <c r="A6806" t="s">
        <v>2014</v>
      </c>
      <c r="B6806" t="s">
        <v>2015</v>
      </c>
      <c r="C6806">
        <v>8</v>
      </c>
      <c r="D6806" t="s">
        <v>1447</v>
      </c>
      <c r="E6806" t="s">
        <v>2017</v>
      </c>
      <c r="F6806" t="s">
        <v>1806</v>
      </c>
      <c r="I6806" s="165" t="str">
        <f>IF(ISBLANK('Q 6'!D302),"",IF('Q 6'!D302="&lt;please select&gt;","",'Q 6'!D302))</f>
        <v/>
      </c>
    </row>
    <row r="6807" spans="1:9" x14ac:dyDescent="0.3">
      <c r="A6807" t="s">
        <v>2014</v>
      </c>
      <c r="B6807" t="s">
        <v>2015</v>
      </c>
      <c r="C6807">
        <v>9</v>
      </c>
      <c r="D6807" t="s">
        <v>1447</v>
      </c>
      <c r="E6807" t="s">
        <v>2017</v>
      </c>
      <c r="F6807" t="s">
        <v>1806</v>
      </c>
      <c r="I6807" s="165" t="str">
        <f>IF(ISBLANK('Q 6'!D303),"",IF('Q 6'!D303="&lt;please select&gt;","",'Q 6'!D303))</f>
        <v/>
      </c>
    </row>
    <row r="6808" spans="1:9" x14ac:dyDescent="0.3">
      <c r="A6808" t="s">
        <v>2014</v>
      </c>
      <c r="B6808" t="s">
        <v>2015</v>
      </c>
      <c r="C6808">
        <v>10</v>
      </c>
      <c r="D6808" t="s">
        <v>1447</v>
      </c>
      <c r="E6808" t="s">
        <v>2017</v>
      </c>
      <c r="F6808" t="s">
        <v>1806</v>
      </c>
      <c r="I6808" s="165" t="str">
        <f>IF(ISBLANK('Q 6'!D304),"",IF('Q 6'!D304="&lt;please select&gt;","",'Q 6'!D304))</f>
        <v/>
      </c>
    </row>
    <row r="6809" spans="1:9" x14ac:dyDescent="0.3">
      <c r="A6809" t="s">
        <v>2014</v>
      </c>
      <c r="B6809" t="s">
        <v>2015</v>
      </c>
      <c r="C6809">
        <v>11</v>
      </c>
      <c r="D6809" t="s">
        <v>1447</v>
      </c>
      <c r="E6809" t="s">
        <v>2017</v>
      </c>
      <c r="F6809" t="s">
        <v>1806</v>
      </c>
      <c r="I6809" s="165" t="str">
        <f>IF(ISBLANK('Q 6'!D305),"",IF('Q 6'!D305="&lt;please select&gt;","",'Q 6'!D305))</f>
        <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
      </c>
    </row>
    <row r="6821" spans="1:11" x14ac:dyDescent="0.3">
      <c r="A6821" t="s">
        <v>2014</v>
      </c>
      <c r="B6821" t="s">
        <v>2015</v>
      </c>
      <c r="C6821">
        <v>2</v>
      </c>
      <c r="D6821" t="s">
        <v>1447</v>
      </c>
      <c r="E6821" t="s">
        <v>1978</v>
      </c>
      <c r="F6821" t="s">
        <v>1737</v>
      </c>
      <c r="K6821" t="str">
        <f>IF(ISBLANK('Q 6'!E296),"",IF('Q 6'!E296="&lt;please select&gt;","",'Q 6'!E296))</f>
        <v/>
      </c>
    </row>
    <row r="6822" spans="1:11" x14ac:dyDescent="0.3">
      <c r="A6822" t="s">
        <v>2014</v>
      </c>
      <c r="B6822" t="s">
        <v>2015</v>
      </c>
      <c r="C6822">
        <v>3</v>
      </c>
      <c r="D6822" t="s">
        <v>1447</v>
      </c>
      <c r="E6822" t="s">
        <v>1978</v>
      </c>
      <c r="F6822" t="s">
        <v>1737</v>
      </c>
      <c r="K6822" t="str">
        <f>IF(ISBLANK('Q 6'!E297),"",IF('Q 6'!E297="&lt;please select&gt;","",'Q 6'!E297))</f>
        <v/>
      </c>
    </row>
    <row r="6823" spans="1:11" x14ac:dyDescent="0.3">
      <c r="A6823" t="s">
        <v>2014</v>
      </c>
      <c r="B6823" t="s">
        <v>2015</v>
      </c>
      <c r="C6823">
        <v>4</v>
      </c>
      <c r="D6823" t="s">
        <v>1447</v>
      </c>
      <c r="E6823" t="s">
        <v>1978</v>
      </c>
      <c r="F6823" t="s">
        <v>1737</v>
      </c>
      <c r="K6823" t="str">
        <f>IF(ISBLANK('Q 6'!E298),"",IF('Q 6'!E298="&lt;please select&gt;","",'Q 6'!E298))</f>
        <v/>
      </c>
    </row>
    <row r="6824" spans="1:11" x14ac:dyDescent="0.3">
      <c r="A6824" t="s">
        <v>2014</v>
      </c>
      <c r="B6824" t="s">
        <v>2015</v>
      </c>
      <c r="C6824">
        <v>5</v>
      </c>
      <c r="D6824" t="s">
        <v>1447</v>
      </c>
      <c r="E6824" t="s">
        <v>1978</v>
      </c>
      <c r="F6824" t="s">
        <v>1737</v>
      </c>
      <c r="K6824" t="str">
        <f>IF(ISBLANK('Q 6'!E299),"",IF('Q 6'!E299="&lt;please select&gt;","",'Q 6'!E299))</f>
        <v/>
      </c>
    </row>
    <row r="6825" spans="1:11" x14ac:dyDescent="0.3">
      <c r="A6825" t="s">
        <v>2014</v>
      </c>
      <c r="B6825" t="s">
        <v>2015</v>
      </c>
      <c r="C6825">
        <v>6</v>
      </c>
      <c r="D6825" t="s">
        <v>1447</v>
      </c>
      <c r="E6825" t="s">
        <v>1978</v>
      </c>
      <c r="F6825" t="s">
        <v>1737</v>
      </c>
      <c r="K6825" t="str">
        <f>IF(ISBLANK('Q 6'!E300),"",IF('Q 6'!E300="&lt;please select&gt;","",'Q 6'!E300))</f>
        <v/>
      </c>
    </row>
    <row r="6826" spans="1:11" x14ac:dyDescent="0.3">
      <c r="A6826" t="s">
        <v>2014</v>
      </c>
      <c r="B6826" t="s">
        <v>2015</v>
      </c>
      <c r="C6826">
        <v>7</v>
      </c>
      <c r="D6826" t="s">
        <v>1447</v>
      </c>
      <c r="E6826" t="s">
        <v>1978</v>
      </c>
      <c r="F6826" t="s">
        <v>1737</v>
      </c>
      <c r="K6826" t="str">
        <f>IF(ISBLANK('Q 6'!E301),"",IF('Q 6'!E301="&lt;please select&gt;","",'Q 6'!E301))</f>
        <v/>
      </c>
    </row>
    <row r="6827" spans="1:11" x14ac:dyDescent="0.3">
      <c r="A6827" t="s">
        <v>2014</v>
      </c>
      <c r="B6827" t="s">
        <v>2015</v>
      </c>
      <c r="C6827">
        <v>8</v>
      </c>
      <c r="D6827" t="s">
        <v>1447</v>
      </c>
      <c r="E6827" t="s">
        <v>1978</v>
      </c>
      <c r="F6827" t="s">
        <v>1737</v>
      </c>
      <c r="K6827" t="str">
        <f>IF(ISBLANK('Q 6'!E302),"",IF('Q 6'!E302="&lt;please select&gt;","",'Q 6'!E302))</f>
        <v/>
      </c>
    </row>
    <row r="6828" spans="1:11" x14ac:dyDescent="0.3">
      <c r="A6828" t="s">
        <v>2014</v>
      </c>
      <c r="B6828" t="s">
        <v>2015</v>
      </c>
      <c r="C6828">
        <v>9</v>
      </c>
      <c r="D6828" t="s">
        <v>1447</v>
      </c>
      <c r="E6828" t="s">
        <v>1978</v>
      </c>
      <c r="F6828" t="s">
        <v>1737</v>
      </c>
      <c r="K6828" t="str">
        <f>IF(ISBLANK('Q 6'!E303),"",IF('Q 6'!E303="&lt;please select&gt;","",'Q 6'!E303))</f>
        <v/>
      </c>
    </row>
    <row r="6829" spans="1:11" x14ac:dyDescent="0.3">
      <c r="A6829" t="s">
        <v>2014</v>
      </c>
      <c r="B6829" t="s">
        <v>2015</v>
      </c>
      <c r="C6829">
        <v>10</v>
      </c>
      <c r="D6829" t="s">
        <v>1447</v>
      </c>
      <c r="E6829" t="s">
        <v>1978</v>
      </c>
      <c r="F6829" t="s">
        <v>1737</v>
      </c>
      <c r="K6829" t="str">
        <f>IF(ISBLANK('Q 6'!E304),"",IF('Q 6'!E304="&lt;please select&gt;","",'Q 6'!E304))</f>
        <v/>
      </c>
    </row>
    <row r="6830" spans="1:11" x14ac:dyDescent="0.3">
      <c r="A6830" t="s">
        <v>2014</v>
      </c>
      <c r="B6830" t="s">
        <v>2015</v>
      </c>
      <c r="C6830">
        <v>11</v>
      </c>
      <c r="D6830" t="s">
        <v>1447</v>
      </c>
      <c r="E6830" t="s">
        <v>1978</v>
      </c>
      <c r="F6830" t="s">
        <v>1737</v>
      </c>
      <c r="K6830" t="str">
        <f>IF(ISBLANK('Q 6'!E305),"",IF('Q 6'!E305="&lt;please select&gt;","",'Q 6'!E305))</f>
        <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
      </c>
    </row>
    <row r="6842" spans="1:11" x14ac:dyDescent="0.3">
      <c r="A6842" t="s">
        <v>2014</v>
      </c>
      <c r="B6842" t="s">
        <v>2015</v>
      </c>
      <c r="C6842">
        <v>2</v>
      </c>
      <c r="D6842" t="s">
        <v>1447</v>
      </c>
      <c r="E6842" t="s">
        <v>2018</v>
      </c>
      <c r="F6842" t="s">
        <v>1806</v>
      </c>
      <c r="I6842" s="166" t="str">
        <f>IF(ISBLANK('Q 6'!F296),"",IF('Q 6'!F296="&lt;please select&gt;","",'Q 6'!F296))</f>
        <v/>
      </c>
    </row>
    <row r="6843" spans="1:11" x14ac:dyDescent="0.3">
      <c r="A6843" t="s">
        <v>2014</v>
      </c>
      <c r="B6843" t="s">
        <v>2015</v>
      </c>
      <c r="C6843">
        <v>3</v>
      </c>
      <c r="D6843" t="s">
        <v>1447</v>
      </c>
      <c r="E6843" t="s">
        <v>2018</v>
      </c>
      <c r="F6843" t="s">
        <v>1806</v>
      </c>
      <c r="I6843" s="166" t="str">
        <f>IF(ISBLANK('Q 6'!F297),"",IF('Q 6'!F297="&lt;please select&gt;","",'Q 6'!F297))</f>
        <v/>
      </c>
    </row>
    <row r="6844" spans="1:11" x14ac:dyDescent="0.3">
      <c r="A6844" t="s">
        <v>2014</v>
      </c>
      <c r="B6844" t="s">
        <v>2015</v>
      </c>
      <c r="C6844">
        <v>4</v>
      </c>
      <c r="D6844" t="s">
        <v>1447</v>
      </c>
      <c r="E6844" t="s">
        <v>2018</v>
      </c>
      <c r="F6844" t="s">
        <v>1806</v>
      </c>
      <c r="I6844" s="166" t="str">
        <f>IF(ISBLANK('Q 6'!F298),"",IF('Q 6'!F298="&lt;please select&gt;","",'Q 6'!F298))</f>
        <v/>
      </c>
    </row>
    <row r="6845" spans="1:11" x14ac:dyDescent="0.3">
      <c r="A6845" t="s">
        <v>2014</v>
      </c>
      <c r="B6845" t="s">
        <v>2015</v>
      </c>
      <c r="C6845">
        <v>5</v>
      </c>
      <c r="D6845" t="s">
        <v>1447</v>
      </c>
      <c r="E6845" t="s">
        <v>2018</v>
      </c>
      <c r="F6845" t="s">
        <v>1806</v>
      </c>
      <c r="I6845" s="166" t="str">
        <f>IF(ISBLANK('Q 6'!F299),"",IF('Q 6'!F299="&lt;please select&gt;","",'Q 6'!F299))</f>
        <v/>
      </c>
    </row>
    <row r="6846" spans="1:11" x14ac:dyDescent="0.3">
      <c r="A6846" t="s">
        <v>2014</v>
      </c>
      <c r="B6846" t="s">
        <v>2015</v>
      </c>
      <c r="C6846">
        <v>6</v>
      </c>
      <c r="D6846" t="s">
        <v>1447</v>
      </c>
      <c r="E6846" t="s">
        <v>2018</v>
      </c>
      <c r="F6846" t="s">
        <v>1806</v>
      </c>
      <c r="I6846" s="168" t="str">
        <f>IF(ISBLANK('Q 6'!F300),"",IF('Q 6'!F300="&lt;please select&gt;","",'Q 6'!F300))</f>
        <v/>
      </c>
    </row>
    <row r="6847" spans="1:11" x14ac:dyDescent="0.3">
      <c r="A6847" t="s">
        <v>2014</v>
      </c>
      <c r="B6847" t="s">
        <v>2015</v>
      </c>
      <c r="C6847">
        <v>7</v>
      </c>
      <c r="D6847" t="s">
        <v>1447</v>
      </c>
      <c r="E6847" t="s">
        <v>2018</v>
      </c>
      <c r="F6847" t="s">
        <v>1806</v>
      </c>
      <c r="I6847" s="168" t="str">
        <f>IF(ISBLANK('Q 6'!F301),"",IF('Q 6'!F301="&lt;please select&gt;","",'Q 6'!F301))</f>
        <v/>
      </c>
    </row>
    <row r="6848" spans="1:11" x14ac:dyDescent="0.3">
      <c r="A6848" t="s">
        <v>2014</v>
      </c>
      <c r="B6848" t="s">
        <v>2015</v>
      </c>
      <c r="C6848">
        <v>8</v>
      </c>
      <c r="D6848" t="s">
        <v>1447</v>
      </c>
      <c r="E6848" t="s">
        <v>2018</v>
      </c>
      <c r="F6848" t="s">
        <v>1806</v>
      </c>
      <c r="I6848" s="168" t="str">
        <f>IF(ISBLANK('Q 6'!F302),"",IF('Q 6'!F302="&lt;please select&gt;","",'Q 6'!F302))</f>
        <v/>
      </c>
    </row>
    <row r="6849" spans="1:9" x14ac:dyDescent="0.3">
      <c r="A6849" t="s">
        <v>2014</v>
      </c>
      <c r="B6849" t="s">
        <v>2015</v>
      </c>
      <c r="C6849">
        <v>9</v>
      </c>
      <c r="D6849" t="s">
        <v>1447</v>
      </c>
      <c r="E6849" t="s">
        <v>2018</v>
      </c>
      <c r="F6849" t="s">
        <v>1806</v>
      </c>
      <c r="I6849" s="168" t="str">
        <f>IF(ISBLANK('Q 6'!F303),"",IF('Q 6'!F303="&lt;please select&gt;","",'Q 6'!F303))</f>
        <v/>
      </c>
    </row>
    <row r="6850" spans="1:9" x14ac:dyDescent="0.3">
      <c r="A6850" t="s">
        <v>2014</v>
      </c>
      <c r="B6850" t="s">
        <v>2015</v>
      </c>
      <c r="C6850">
        <v>10</v>
      </c>
      <c r="D6850" t="s">
        <v>1447</v>
      </c>
      <c r="E6850" t="s">
        <v>2018</v>
      </c>
      <c r="F6850" t="s">
        <v>1806</v>
      </c>
      <c r="I6850" s="168" t="str">
        <f>IF(ISBLANK('Q 6'!F304),"",IF('Q 6'!F304="&lt;please select&gt;","",'Q 6'!F304))</f>
        <v/>
      </c>
    </row>
    <row r="6851" spans="1:9" x14ac:dyDescent="0.3">
      <c r="A6851" t="s">
        <v>2014</v>
      </c>
      <c r="B6851" t="s">
        <v>2015</v>
      </c>
      <c r="C6851">
        <v>11</v>
      </c>
      <c r="D6851" t="s">
        <v>1447</v>
      </c>
      <c r="E6851" t="s">
        <v>2018</v>
      </c>
      <c r="F6851" t="s">
        <v>1806</v>
      </c>
      <c r="I6851" s="168" t="str">
        <f>IF(ISBLANK('Q 6'!F305),"",IF('Q 6'!F305="&lt;please select&gt;","",'Q 6'!F305))</f>
        <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
      </c>
    </row>
    <row r="6863" spans="1:9" x14ac:dyDescent="0.3">
      <c r="A6863" t="s">
        <v>2014</v>
      </c>
      <c r="B6863" t="s">
        <v>2015</v>
      </c>
      <c r="C6863">
        <v>2</v>
      </c>
      <c r="D6863" t="s">
        <v>1447</v>
      </c>
      <c r="E6863" t="s">
        <v>1980</v>
      </c>
      <c r="F6863" t="s">
        <v>1741</v>
      </c>
      <c r="G6863" t="str">
        <f>IF(ISBLANK('Q 6'!G296),"",IF('Q 6'!G296="&lt;please select&gt;","",'Q 6'!G296))</f>
        <v/>
      </c>
    </row>
    <row r="6864" spans="1:9" x14ac:dyDescent="0.3">
      <c r="A6864" t="s">
        <v>2014</v>
      </c>
      <c r="B6864" t="s">
        <v>2015</v>
      </c>
      <c r="C6864">
        <v>3</v>
      </c>
      <c r="D6864" t="s">
        <v>1447</v>
      </c>
      <c r="E6864" t="s">
        <v>1980</v>
      </c>
      <c r="F6864" t="s">
        <v>1741</v>
      </c>
      <c r="G6864" t="str">
        <f>IF(ISBLANK('Q 6'!G297),"",IF('Q 6'!G297="&lt;please select&gt;","",'Q 6'!G297))</f>
        <v/>
      </c>
    </row>
    <row r="6865" spans="1:7" x14ac:dyDescent="0.3">
      <c r="A6865" t="s">
        <v>2014</v>
      </c>
      <c r="B6865" t="s">
        <v>2015</v>
      </c>
      <c r="C6865">
        <v>4</v>
      </c>
      <c r="D6865" t="s">
        <v>1447</v>
      </c>
      <c r="E6865" t="s">
        <v>1980</v>
      </c>
      <c r="F6865" t="s">
        <v>1741</v>
      </c>
      <c r="G6865" t="str">
        <f>IF(ISBLANK('Q 6'!G298),"",IF('Q 6'!G298="&lt;please select&gt;","",'Q 6'!G298))</f>
        <v/>
      </c>
    </row>
    <row r="6866" spans="1:7" x14ac:dyDescent="0.3">
      <c r="A6866" t="s">
        <v>2014</v>
      </c>
      <c r="B6866" t="s">
        <v>2015</v>
      </c>
      <c r="C6866">
        <v>5</v>
      </c>
      <c r="D6866" t="s">
        <v>1447</v>
      </c>
      <c r="E6866" t="s">
        <v>1980</v>
      </c>
      <c r="F6866" t="s">
        <v>1741</v>
      </c>
      <c r="G6866" t="str">
        <f>IF(ISBLANK('Q 6'!G299),"",IF('Q 6'!G299="&lt;please select&gt;","",'Q 6'!G299))</f>
        <v/>
      </c>
    </row>
    <row r="6867" spans="1:7" x14ac:dyDescent="0.3">
      <c r="A6867" t="s">
        <v>2014</v>
      </c>
      <c r="B6867" t="s">
        <v>2015</v>
      </c>
      <c r="C6867">
        <v>6</v>
      </c>
      <c r="D6867" t="s">
        <v>1447</v>
      </c>
      <c r="E6867" t="s">
        <v>1980</v>
      </c>
      <c r="F6867" t="s">
        <v>1741</v>
      </c>
      <c r="G6867" t="str">
        <f>IF(ISBLANK('Q 6'!G300),"",IF('Q 6'!G300="&lt;please select&gt;","",'Q 6'!G300))</f>
        <v/>
      </c>
    </row>
    <row r="6868" spans="1:7" x14ac:dyDescent="0.3">
      <c r="A6868" t="s">
        <v>2014</v>
      </c>
      <c r="B6868" t="s">
        <v>2015</v>
      </c>
      <c r="C6868">
        <v>7</v>
      </c>
      <c r="D6868" t="s">
        <v>1447</v>
      </c>
      <c r="E6868" t="s">
        <v>1980</v>
      </c>
      <c r="F6868" t="s">
        <v>1741</v>
      </c>
      <c r="G6868" t="str">
        <f>IF(ISBLANK('Q 6'!G301),"",IF('Q 6'!G301="&lt;please select&gt;","",'Q 6'!G301))</f>
        <v/>
      </c>
    </row>
    <row r="6869" spans="1:7" x14ac:dyDescent="0.3">
      <c r="A6869" t="s">
        <v>2014</v>
      </c>
      <c r="B6869" t="s">
        <v>2015</v>
      </c>
      <c r="C6869">
        <v>8</v>
      </c>
      <c r="D6869" t="s">
        <v>1447</v>
      </c>
      <c r="E6869" t="s">
        <v>1980</v>
      </c>
      <c r="F6869" t="s">
        <v>1741</v>
      </c>
      <c r="G6869" t="str">
        <f>IF(ISBLANK('Q 6'!G302),"",IF('Q 6'!G302="&lt;please select&gt;","",'Q 6'!G302))</f>
        <v/>
      </c>
    </row>
    <row r="6870" spans="1:7" x14ac:dyDescent="0.3">
      <c r="A6870" t="s">
        <v>2014</v>
      </c>
      <c r="B6870" t="s">
        <v>2015</v>
      </c>
      <c r="C6870">
        <v>9</v>
      </c>
      <c r="D6870" t="s">
        <v>1447</v>
      </c>
      <c r="E6870" t="s">
        <v>1980</v>
      </c>
      <c r="F6870" t="s">
        <v>1741</v>
      </c>
      <c r="G6870" t="str">
        <f>IF(ISBLANK('Q 6'!G303),"",IF('Q 6'!G303="&lt;please select&gt;","",'Q 6'!G303))</f>
        <v/>
      </c>
    </row>
    <row r="6871" spans="1:7" x14ac:dyDescent="0.3">
      <c r="A6871" t="s">
        <v>2014</v>
      </c>
      <c r="B6871" t="s">
        <v>2015</v>
      </c>
      <c r="C6871">
        <v>10</v>
      </c>
      <c r="D6871" t="s">
        <v>1447</v>
      </c>
      <c r="E6871" t="s">
        <v>1980</v>
      </c>
      <c r="F6871" t="s">
        <v>1741</v>
      </c>
      <c r="G6871" t="str">
        <f>IF(ISBLANK('Q 6'!G304),"",IF('Q 6'!G304="&lt;please select&gt;","",'Q 6'!G304))</f>
        <v/>
      </c>
    </row>
    <row r="6872" spans="1:7" x14ac:dyDescent="0.3">
      <c r="A6872" t="s">
        <v>2014</v>
      </c>
      <c r="B6872" t="s">
        <v>2015</v>
      </c>
      <c r="C6872">
        <v>11</v>
      </c>
      <c r="D6872" t="s">
        <v>1447</v>
      </c>
      <c r="E6872" t="s">
        <v>1980</v>
      </c>
      <c r="F6872" t="s">
        <v>1741</v>
      </c>
      <c r="G6872" t="str">
        <f>IF(ISBLANK('Q 6'!G305),"",IF('Q 6'!G305="&lt;please select&gt;","",'Q 6'!G305))</f>
        <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
      </c>
    </row>
    <row r="6884" spans="1:11" x14ac:dyDescent="0.3">
      <c r="A6884" t="s">
        <v>2014</v>
      </c>
      <c r="B6884" t="s">
        <v>2015</v>
      </c>
      <c r="C6884">
        <v>2</v>
      </c>
      <c r="D6884" t="s">
        <v>1447</v>
      </c>
      <c r="E6884" t="s">
        <v>1981</v>
      </c>
      <c r="F6884" t="s">
        <v>1737</v>
      </c>
      <c r="K6884" t="str">
        <f>IF(ISBLANK('Q 6'!H296),"",IF('Q 6'!H296="&lt;please select&gt;","",'Q 6'!H296))</f>
        <v/>
      </c>
    </row>
    <row r="6885" spans="1:11" x14ac:dyDescent="0.3">
      <c r="A6885" t="s">
        <v>2014</v>
      </c>
      <c r="B6885" t="s">
        <v>2015</v>
      </c>
      <c r="C6885">
        <v>3</v>
      </c>
      <c r="D6885" t="s">
        <v>1447</v>
      </c>
      <c r="E6885" t="s">
        <v>1981</v>
      </c>
      <c r="F6885" t="s">
        <v>1737</v>
      </c>
      <c r="K6885" t="str">
        <f>IF(ISBLANK('Q 6'!H297),"",IF('Q 6'!H297="&lt;please select&gt;","",'Q 6'!H297))</f>
        <v/>
      </c>
    </row>
    <row r="6886" spans="1:11" x14ac:dyDescent="0.3">
      <c r="A6886" t="s">
        <v>2014</v>
      </c>
      <c r="B6886" t="s">
        <v>2015</v>
      </c>
      <c r="C6886">
        <v>4</v>
      </c>
      <c r="D6886" t="s">
        <v>1447</v>
      </c>
      <c r="E6886" t="s">
        <v>1981</v>
      </c>
      <c r="F6886" t="s">
        <v>1737</v>
      </c>
      <c r="K6886" t="str">
        <f>IF(ISBLANK('Q 6'!H298),"",IF('Q 6'!H298="&lt;please select&gt;","",'Q 6'!H298))</f>
        <v/>
      </c>
    </row>
    <row r="6887" spans="1:11" x14ac:dyDescent="0.3">
      <c r="A6887" t="s">
        <v>2014</v>
      </c>
      <c r="B6887" t="s">
        <v>2015</v>
      </c>
      <c r="C6887">
        <v>5</v>
      </c>
      <c r="D6887" t="s">
        <v>1447</v>
      </c>
      <c r="E6887" t="s">
        <v>1981</v>
      </c>
      <c r="F6887" t="s">
        <v>1737</v>
      </c>
      <c r="K6887" t="str">
        <f>IF(ISBLANK('Q 6'!H299),"",IF('Q 6'!H299="&lt;please select&gt;","",'Q 6'!H299))</f>
        <v/>
      </c>
    </row>
    <row r="6888" spans="1:11" x14ac:dyDescent="0.3">
      <c r="A6888" t="s">
        <v>2014</v>
      </c>
      <c r="B6888" t="s">
        <v>2015</v>
      </c>
      <c r="C6888">
        <v>6</v>
      </c>
      <c r="D6888" t="s">
        <v>1447</v>
      </c>
      <c r="E6888" t="s">
        <v>1981</v>
      </c>
      <c r="F6888" t="s">
        <v>1737</v>
      </c>
      <c r="K6888" t="str">
        <f>IF(ISBLANK('Q 6'!H300),"",IF('Q 6'!H300="&lt;please select&gt;","",'Q 6'!H300))</f>
        <v/>
      </c>
    </row>
    <row r="6889" spans="1:11" x14ac:dyDescent="0.3">
      <c r="A6889" t="s">
        <v>2014</v>
      </c>
      <c r="B6889" t="s">
        <v>2015</v>
      </c>
      <c r="C6889">
        <v>7</v>
      </c>
      <c r="D6889" t="s">
        <v>1447</v>
      </c>
      <c r="E6889" t="s">
        <v>1981</v>
      </c>
      <c r="F6889" t="s">
        <v>1737</v>
      </c>
      <c r="K6889" t="str">
        <f>IF(ISBLANK('Q 6'!H301),"",IF('Q 6'!H301="&lt;please select&gt;","",'Q 6'!H301))</f>
        <v/>
      </c>
    </row>
    <row r="6890" spans="1:11" x14ac:dyDescent="0.3">
      <c r="A6890" t="s">
        <v>2014</v>
      </c>
      <c r="B6890" t="s">
        <v>2015</v>
      </c>
      <c r="C6890">
        <v>8</v>
      </c>
      <c r="D6890" t="s">
        <v>1447</v>
      </c>
      <c r="E6890" t="s">
        <v>1981</v>
      </c>
      <c r="F6890" t="s">
        <v>1737</v>
      </c>
      <c r="K6890" t="str">
        <f>IF(ISBLANK('Q 6'!H302),"",IF('Q 6'!H302="&lt;please select&gt;","",'Q 6'!H302))</f>
        <v/>
      </c>
    </row>
    <row r="6891" spans="1:11" x14ac:dyDescent="0.3">
      <c r="A6891" t="s">
        <v>2014</v>
      </c>
      <c r="B6891" t="s">
        <v>2015</v>
      </c>
      <c r="C6891">
        <v>9</v>
      </c>
      <c r="D6891" t="s">
        <v>1447</v>
      </c>
      <c r="E6891" t="s">
        <v>1981</v>
      </c>
      <c r="F6891" t="s">
        <v>1737</v>
      </c>
      <c r="K6891" t="str">
        <f>IF(ISBLANK('Q 6'!H303),"",IF('Q 6'!H303="&lt;please select&gt;","",'Q 6'!H303))</f>
        <v/>
      </c>
    </row>
    <row r="6892" spans="1:11" x14ac:dyDescent="0.3">
      <c r="A6892" t="s">
        <v>2014</v>
      </c>
      <c r="B6892" t="s">
        <v>2015</v>
      </c>
      <c r="C6892">
        <v>10</v>
      </c>
      <c r="D6892" t="s">
        <v>1447</v>
      </c>
      <c r="E6892" t="s">
        <v>1981</v>
      </c>
      <c r="F6892" t="s">
        <v>1737</v>
      </c>
      <c r="K6892" t="str">
        <f>IF(ISBLANK('Q 6'!H304),"",IF('Q 6'!H304="&lt;please select&gt;","",'Q 6'!H304))</f>
        <v/>
      </c>
    </row>
    <row r="6893" spans="1:11" x14ac:dyDescent="0.3">
      <c r="A6893" t="s">
        <v>2014</v>
      </c>
      <c r="B6893" t="s">
        <v>2015</v>
      </c>
      <c r="C6893">
        <v>11</v>
      </c>
      <c r="D6893" t="s">
        <v>1447</v>
      </c>
      <c r="E6893" t="s">
        <v>1981</v>
      </c>
      <c r="F6893" t="s">
        <v>1737</v>
      </c>
      <c r="K6893" t="str">
        <f>IF(ISBLANK('Q 6'!H305),"",IF('Q 6'!H305="&lt;please select&gt;","",'Q 6'!H305))</f>
        <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
      </c>
    </row>
    <row r="6905" spans="1:11" x14ac:dyDescent="0.3">
      <c r="A6905" t="s">
        <v>2014</v>
      </c>
      <c r="B6905" t="s">
        <v>2015</v>
      </c>
      <c r="C6905">
        <v>2</v>
      </c>
      <c r="D6905" t="s">
        <v>1419</v>
      </c>
      <c r="E6905" t="s">
        <v>2019</v>
      </c>
      <c r="F6905" t="s">
        <v>1791</v>
      </c>
      <c r="J6905" t="str">
        <f>IF(ISBLANK('Q 6'!I296),"",IF('Q 6'!I296="&lt;please select&gt;","",'Q 6'!I296))</f>
        <v/>
      </c>
    </row>
    <row r="6906" spans="1:11" x14ac:dyDescent="0.3">
      <c r="A6906" t="s">
        <v>2014</v>
      </c>
      <c r="B6906" t="s">
        <v>2015</v>
      </c>
      <c r="C6906">
        <v>3</v>
      </c>
      <c r="D6906" t="s">
        <v>1419</v>
      </c>
      <c r="E6906" t="s">
        <v>2019</v>
      </c>
      <c r="F6906" t="s">
        <v>1791</v>
      </c>
      <c r="J6906" t="str">
        <f>IF(ISBLANK('Q 6'!I297),"",IF('Q 6'!I297="&lt;please select&gt;","",'Q 6'!I297))</f>
        <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
      </c>
    </row>
    <row r="6926" spans="1:10" x14ac:dyDescent="0.3">
      <c r="A6926" t="s">
        <v>2014</v>
      </c>
      <c r="B6926" t="s">
        <v>2020</v>
      </c>
      <c r="C6926">
        <v>2</v>
      </c>
      <c r="D6926" t="s">
        <v>1447</v>
      </c>
      <c r="E6926" t="s">
        <v>1984</v>
      </c>
      <c r="F6926" t="s">
        <v>1748</v>
      </c>
      <c r="H6926" s="165" t="str">
        <f>IF(ISBLANK('Q 6'!H324),"",IF('Q 6'!H324="&lt;please select&gt;","",'Q 6'!H324))</f>
        <v/>
      </c>
    </row>
    <row r="6927" spans="1:10" x14ac:dyDescent="0.3">
      <c r="A6927" t="s">
        <v>2014</v>
      </c>
      <c r="B6927" t="s">
        <v>2020</v>
      </c>
      <c r="C6927">
        <v>3</v>
      </c>
      <c r="D6927" t="s">
        <v>1447</v>
      </c>
      <c r="E6927" t="s">
        <v>1984</v>
      </c>
      <c r="F6927" t="s">
        <v>1748</v>
      </c>
      <c r="H6927" s="165" t="str">
        <f>IF(ISBLANK('Q 6'!H325),"",IF('Q 6'!H325="&lt;please select&gt;","",'Q 6'!H325))</f>
        <v/>
      </c>
    </row>
    <row r="6928" spans="1:10" x14ac:dyDescent="0.3">
      <c r="A6928" t="s">
        <v>2014</v>
      </c>
      <c r="B6928" t="s">
        <v>2020</v>
      </c>
      <c r="C6928">
        <v>4</v>
      </c>
      <c r="D6928" t="s">
        <v>1447</v>
      </c>
      <c r="E6928" t="s">
        <v>1984</v>
      </c>
      <c r="F6928" t="s">
        <v>1748</v>
      </c>
      <c r="H6928" s="165" t="str">
        <f>IF(ISBLANK('Q 6'!H326),"",IF('Q 6'!H326="&lt;please select&gt;","",'Q 6'!H326))</f>
        <v/>
      </c>
    </row>
    <row r="6929" spans="1:11" x14ac:dyDescent="0.3">
      <c r="A6929" t="s">
        <v>2021</v>
      </c>
      <c r="B6929" t="s">
        <v>2022</v>
      </c>
      <c r="C6929">
        <v>0</v>
      </c>
      <c r="D6929" t="s">
        <v>1447</v>
      </c>
      <c r="E6929" t="s">
        <v>2022</v>
      </c>
      <c r="F6929" t="s">
        <v>1759</v>
      </c>
      <c r="K6929" t="str">
        <f>IF(ISBLANK('Q 6'!$I$328),"",IF('Q 6'!$I$328="&lt;please select&gt;","",'Q 6'!$I$328))</f>
        <v>No</v>
      </c>
    </row>
    <row r="6930" spans="1:11" x14ac:dyDescent="0.3">
      <c r="A6930" t="s">
        <v>2021</v>
      </c>
      <c r="B6930" t="s">
        <v>2023</v>
      </c>
      <c r="C6930">
        <v>1</v>
      </c>
      <c r="D6930" t="s">
        <v>1447</v>
      </c>
      <c r="E6930" t="s">
        <v>1989</v>
      </c>
      <c r="F6930" t="s">
        <v>1737</v>
      </c>
      <c r="K6930" t="str">
        <f>IF(ISBLANK('Q 6'!C332),"",IF('Q 6'!C332="&lt;please select&gt;","",'Q 6'!C332))</f>
        <v/>
      </c>
    </row>
    <row r="6931" spans="1:11" x14ac:dyDescent="0.3">
      <c r="A6931" t="s">
        <v>2021</v>
      </c>
      <c r="B6931" t="s">
        <v>2023</v>
      </c>
      <c r="C6931">
        <v>2</v>
      </c>
      <c r="D6931" t="s">
        <v>1447</v>
      </c>
      <c r="E6931" t="s">
        <v>1989</v>
      </c>
      <c r="F6931" t="s">
        <v>1737</v>
      </c>
      <c r="K6931" t="str">
        <f>IF(ISBLANK('Q 6'!C333),"",IF('Q 6'!C333="&lt;please select&gt;","",'Q 6'!C333))</f>
        <v/>
      </c>
    </row>
    <row r="6932" spans="1:11" x14ac:dyDescent="0.3">
      <c r="A6932" t="s">
        <v>2021</v>
      </c>
      <c r="B6932" t="s">
        <v>2023</v>
      </c>
      <c r="C6932">
        <v>3</v>
      </c>
      <c r="D6932" t="s">
        <v>1447</v>
      </c>
      <c r="E6932" t="s">
        <v>1989</v>
      </c>
      <c r="F6932" t="s">
        <v>1737</v>
      </c>
      <c r="K6932" t="str">
        <f>IF(ISBLANK('Q 6'!C334),"",IF('Q 6'!C334="&lt;please select&gt;","",'Q 6'!C334))</f>
        <v/>
      </c>
    </row>
    <row r="6933" spans="1:11" x14ac:dyDescent="0.3">
      <c r="A6933" t="s">
        <v>2021</v>
      </c>
      <c r="B6933" t="s">
        <v>2023</v>
      </c>
      <c r="C6933">
        <v>4</v>
      </c>
      <c r="D6933" t="s">
        <v>1447</v>
      </c>
      <c r="E6933" t="s">
        <v>1989</v>
      </c>
      <c r="F6933" t="s">
        <v>1737</v>
      </c>
      <c r="K6933" t="str">
        <f>IF(ISBLANK('Q 6'!C335),"",IF('Q 6'!C335="&lt;please select&gt;","",'Q 6'!C335))</f>
        <v/>
      </c>
    </row>
    <row r="6934" spans="1:11" x14ac:dyDescent="0.3">
      <c r="A6934" t="s">
        <v>2021</v>
      </c>
      <c r="B6934" t="s">
        <v>2023</v>
      </c>
      <c r="C6934">
        <v>1</v>
      </c>
      <c r="D6934" t="s">
        <v>1447</v>
      </c>
      <c r="E6934" t="s">
        <v>2024</v>
      </c>
      <c r="F6934" t="s">
        <v>1748</v>
      </c>
      <c r="H6934" s="165" t="str">
        <f>IF(ISBLANK('Q 6'!F332),"",IF('Q 6'!F332="&lt;please select&gt;","",'Q 6'!F332))</f>
        <v/>
      </c>
    </row>
    <row r="6935" spans="1:11" x14ac:dyDescent="0.3">
      <c r="A6935" t="s">
        <v>2021</v>
      </c>
      <c r="B6935" t="s">
        <v>2023</v>
      </c>
      <c r="C6935">
        <v>2</v>
      </c>
      <c r="D6935" t="s">
        <v>1447</v>
      </c>
      <c r="E6935" t="s">
        <v>2024</v>
      </c>
      <c r="F6935" t="s">
        <v>1748</v>
      </c>
      <c r="H6935" s="165" t="str">
        <f>IF(ISBLANK('Q 6'!F333),"",IF('Q 6'!F333="&lt;please select&gt;","",'Q 6'!F333))</f>
        <v/>
      </c>
    </row>
    <row r="6936" spans="1:11" x14ac:dyDescent="0.3">
      <c r="A6936" t="s">
        <v>2021</v>
      </c>
      <c r="B6936" t="s">
        <v>2023</v>
      </c>
      <c r="C6936">
        <v>3</v>
      </c>
      <c r="D6936" t="s">
        <v>1447</v>
      </c>
      <c r="E6936" t="s">
        <v>2024</v>
      </c>
      <c r="F6936" t="s">
        <v>1748</v>
      </c>
      <c r="H6936" s="165" t="str">
        <f>IF(ISBLANK('Q 6'!F334),"",IF('Q 6'!F334="&lt;please select&gt;","",'Q 6'!F334))</f>
        <v/>
      </c>
    </row>
    <row r="6937" spans="1:11" x14ac:dyDescent="0.3">
      <c r="A6937" t="s">
        <v>2021</v>
      </c>
      <c r="B6937" t="s">
        <v>2023</v>
      </c>
      <c r="C6937">
        <v>4</v>
      </c>
      <c r="D6937" t="s">
        <v>1447</v>
      </c>
      <c r="E6937" t="s">
        <v>2024</v>
      </c>
      <c r="F6937" t="s">
        <v>1748</v>
      </c>
      <c r="H6937" s="165" t="str">
        <f>IF(ISBLANK('Q 6'!F335),"",IF('Q 6'!F335="&lt;please select&gt;","",'Q 6'!F335))</f>
        <v/>
      </c>
    </row>
    <row r="6938" spans="1:11" x14ac:dyDescent="0.3">
      <c r="A6938" t="s">
        <v>2021</v>
      </c>
      <c r="B6938" t="s">
        <v>2023</v>
      </c>
      <c r="C6938">
        <v>1</v>
      </c>
      <c r="D6938" t="s">
        <v>1447</v>
      </c>
      <c r="E6938" t="s">
        <v>1972</v>
      </c>
      <c r="F6938" t="s">
        <v>1748</v>
      </c>
      <c r="H6938" s="165" t="str">
        <f>IF(ISBLANK('Q 6'!G332),"",IF('Q 6'!G332="&lt;please select&gt;","",'Q 6'!G332))</f>
        <v/>
      </c>
    </row>
    <row r="6939" spans="1:11" x14ac:dyDescent="0.3">
      <c r="A6939" t="s">
        <v>2021</v>
      </c>
      <c r="B6939" t="s">
        <v>2023</v>
      </c>
      <c r="C6939">
        <v>2</v>
      </c>
      <c r="D6939" t="s">
        <v>1447</v>
      </c>
      <c r="E6939" t="s">
        <v>1972</v>
      </c>
      <c r="F6939" t="s">
        <v>1748</v>
      </c>
      <c r="H6939" s="165" t="str">
        <f>IF(ISBLANK('Q 6'!G333),"",IF('Q 6'!G333="&lt;please select&gt;","",'Q 6'!G333))</f>
        <v/>
      </c>
    </row>
    <row r="6940" spans="1:11" x14ac:dyDescent="0.3">
      <c r="A6940" t="s">
        <v>2021</v>
      </c>
      <c r="B6940" t="s">
        <v>2023</v>
      </c>
      <c r="C6940">
        <v>3</v>
      </c>
      <c r="D6940" t="s">
        <v>1447</v>
      </c>
      <c r="E6940" t="s">
        <v>1972</v>
      </c>
      <c r="F6940" t="s">
        <v>1748</v>
      </c>
      <c r="H6940" s="165" t="str">
        <f>IF(ISBLANK('Q 6'!G334),"",IF('Q 6'!G334="&lt;please select&gt;","",'Q 6'!G334))</f>
        <v/>
      </c>
    </row>
    <row r="6941" spans="1:11" x14ac:dyDescent="0.3">
      <c r="A6941" t="s">
        <v>2021</v>
      </c>
      <c r="B6941" t="s">
        <v>2023</v>
      </c>
      <c r="C6941">
        <v>4</v>
      </c>
      <c r="D6941" t="s">
        <v>1447</v>
      </c>
      <c r="E6941" t="s">
        <v>1972</v>
      </c>
      <c r="F6941" t="s">
        <v>1748</v>
      </c>
      <c r="H6941" s="165" t="str">
        <f>IF(ISBLANK('Q 6'!G335),"",IF('Q 6'!G335="&lt;please select&gt;","",'Q 6'!G335))</f>
        <v/>
      </c>
    </row>
    <row r="6942" spans="1:11" x14ac:dyDescent="0.3">
      <c r="A6942" t="s">
        <v>2021</v>
      </c>
      <c r="B6942" t="s">
        <v>2023</v>
      </c>
      <c r="C6942">
        <v>1</v>
      </c>
      <c r="D6942" t="s">
        <v>1447</v>
      </c>
      <c r="E6942" t="s">
        <v>1990</v>
      </c>
      <c r="F6942" t="s">
        <v>1806</v>
      </c>
      <c r="I6942" s="166" t="str">
        <f>IF(ISBLANK('Q 6'!H332),"",IF('Q 6'!H332="&lt;please select&gt;","",'Q 6'!H332))</f>
        <v/>
      </c>
    </row>
    <row r="6943" spans="1:11" x14ac:dyDescent="0.3">
      <c r="A6943" t="s">
        <v>2021</v>
      </c>
      <c r="B6943" t="s">
        <v>2023</v>
      </c>
      <c r="C6943">
        <v>2</v>
      </c>
      <c r="D6943" t="s">
        <v>1447</v>
      </c>
      <c r="E6943" t="s">
        <v>1990</v>
      </c>
      <c r="F6943" t="s">
        <v>1806</v>
      </c>
      <c r="I6943" s="166" t="str">
        <f>IF(ISBLANK('Q 6'!H333),"",IF('Q 6'!H333="&lt;please select&gt;","",'Q 6'!H333))</f>
        <v/>
      </c>
    </row>
    <row r="6944" spans="1:11" x14ac:dyDescent="0.3">
      <c r="A6944" t="s">
        <v>2021</v>
      </c>
      <c r="B6944" t="s">
        <v>2023</v>
      </c>
      <c r="C6944">
        <v>3</v>
      </c>
      <c r="D6944" t="s">
        <v>1447</v>
      </c>
      <c r="E6944" t="s">
        <v>1990</v>
      </c>
      <c r="F6944" t="s">
        <v>1806</v>
      </c>
      <c r="I6944" s="166" t="str">
        <f>IF(ISBLANK('Q 6'!H334),"",IF('Q 6'!H334="&lt;please select&gt;","",'Q 6'!H334))</f>
        <v/>
      </c>
    </row>
    <row r="6945" spans="1:11" x14ac:dyDescent="0.3">
      <c r="A6945" t="s">
        <v>2021</v>
      </c>
      <c r="B6945" t="s">
        <v>2023</v>
      </c>
      <c r="C6945">
        <v>4</v>
      </c>
      <c r="D6945" t="s">
        <v>1447</v>
      </c>
      <c r="E6945" t="s">
        <v>1990</v>
      </c>
      <c r="F6945" t="s">
        <v>1806</v>
      </c>
      <c r="I6945" s="166" t="str">
        <f>IF(ISBLANK('Q 6'!H335),"",IF('Q 6'!H335="&lt;please select&gt;","",'Q 6'!H335))</f>
        <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No</v>
      </c>
    </row>
    <row r="6959" spans="1:11" x14ac:dyDescent="0.3">
      <c r="A6959" t="s">
        <v>2026</v>
      </c>
      <c r="B6959" t="s">
        <v>2028</v>
      </c>
      <c r="C6959">
        <v>1</v>
      </c>
      <c r="D6959" t="s">
        <v>1447</v>
      </c>
      <c r="E6959" t="s">
        <v>1994</v>
      </c>
      <c r="F6959" t="s">
        <v>1806</v>
      </c>
      <c r="I6959" s="166" t="str">
        <f>IF(ISBLANK('Q 6'!G352),"",IF('Q 6'!G352="&lt;please select&gt;","",'Q 6'!G352))</f>
        <v/>
      </c>
    </row>
    <row r="6960" spans="1:11" x14ac:dyDescent="0.3">
      <c r="A6960" t="s">
        <v>2026</v>
      </c>
      <c r="B6960" t="s">
        <v>2028</v>
      </c>
      <c r="C6960">
        <v>2</v>
      </c>
      <c r="D6960" t="s">
        <v>1447</v>
      </c>
      <c r="E6960" t="s">
        <v>1994</v>
      </c>
      <c r="F6960" t="s">
        <v>1806</v>
      </c>
      <c r="I6960" s="166" t="str">
        <f>IF(ISBLANK('Q 6'!G353),"",IF('Q 6'!G353="&lt;please select&gt;","",'Q 6'!G353))</f>
        <v/>
      </c>
    </row>
    <row r="6961" spans="1:11" x14ac:dyDescent="0.3">
      <c r="A6961" t="s">
        <v>2026</v>
      </c>
      <c r="B6961" t="s">
        <v>2028</v>
      </c>
      <c r="C6961">
        <v>3</v>
      </c>
      <c r="D6961" t="s">
        <v>1447</v>
      </c>
      <c r="E6961" t="s">
        <v>1994</v>
      </c>
      <c r="F6961" t="s">
        <v>1806</v>
      </c>
      <c r="I6961" s="166" t="str">
        <f>IF(ISBLANK('Q 6'!G354),"",IF('Q 6'!G354="&lt;please select&gt;","",'Q 6'!G354))</f>
        <v/>
      </c>
    </row>
    <row r="6962" spans="1:11" x14ac:dyDescent="0.3">
      <c r="A6962" t="s">
        <v>2026</v>
      </c>
      <c r="B6962" t="s">
        <v>2028</v>
      </c>
      <c r="C6962">
        <v>4</v>
      </c>
      <c r="D6962" t="s">
        <v>1447</v>
      </c>
      <c r="E6962" t="s">
        <v>1994</v>
      </c>
      <c r="F6962" t="s">
        <v>1806</v>
      </c>
      <c r="I6962" s="166" t="str">
        <f>IF(ISBLANK('Q 6'!G355),"",IF('Q 6'!G355="&lt;please select&gt;","",'Q 6'!G355))</f>
        <v/>
      </c>
    </row>
    <row r="6963" spans="1:11" x14ac:dyDescent="0.3">
      <c r="A6963" t="s">
        <v>2026</v>
      </c>
      <c r="B6963" t="s">
        <v>2028</v>
      </c>
      <c r="C6963">
        <v>3</v>
      </c>
      <c r="D6963" t="s">
        <v>1447</v>
      </c>
      <c r="E6963" t="s">
        <v>1995</v>
      </c>
      <c r="F6963" t="s">
        <v>1791</v>
      </c>
      <c r="J6963" t="str">
        <f>IF(ISBLANK('Q 6'!$H$354),"",IF('Q 6'!$H$354="&lt;please select&gt;","",'Q 6'!$H$354))</f>
        <v/>
      </c>
    </row>
    <row r="6964" spans="1:11" x14ac:dyDescent="0.3">
      <c r="A6964" t="s">
        <v>2026</v>
      </c>
      <c r="B6964" t="s">
        <v>2028</v>
      </c>
      <c r="C6964">
        <v>4</v>
      </c>
      <c r="D6964" t="s">
        <v>1447</v>
      </c>
      <c r="E6964" t="s">
        <v>1995</v>
      </c>
      <c r="F6964" t="s">
        <v>1791</v>
      </c>
      <c r="J6964" t="str">
        <f>IF(ISBLANK('Q 6'!$I$355),"",IF('Q 6'!$I$355="&lt;please select&gt;","",'Q 6'!$I$355))</f>
        <v/>
      </c>
    </row>
    <row r="6965" spans="1:11" x14ac:dyDescent="0.3">
      <c r="A6965" t="s">
        <v>2026</v>
      </c>
      <c r="B6965" t="s">
        <v>2028</v>
      </c>
      <c r="C6965">
        <v>4</v>
      </c>
      <c r="D6965" t="s">
        <v>1447</v>
      </c>
      <c r="E6965" t="s">
        <v>1996</v>
      </c>
      <c r="F6965" t="s">
        <v>1737</v>
      </c>
      <c r="K6965" t="str">
        <f>IF(ISBLANK('Q 6'!$H$355),"",IF('Q 6'!$H$355="&lt;please select&gt;","",'Q 6'!$H$355))</f>
        <v/>
      </c>
    </row>
    <row r="6966" spans="1:11" x14ac:dyDescent="0.3">
      <c r="A6966" t="s">
        <v>2026</v>
      </c>
      <c r="B6966" t="s">
        <v>2029</v>
      </c>
      <c r="C6966">
        <v>1</v>
      </c>
      <c r="D6966" t="s">
        <v>1447</v>
      </c>
      <c r="E6966" t="s">
        <v>1998</v>
      </c>
      <c r="F6966" t="s">
        <v>1748</v>
      </c>
      <c r="H6966" s="165" t="str">
        <f>IF(ISBLANK('Q 6'!$G$356),"",IF('Q 6'!$G$356="&lt;please select&gt;","",'Q 6'!$G$356))</f>
        <v/>
      </c>
    </row>
    <row r="6967" spans="1:11" x14ac:dyDescent="0.3">
      <c r="A6967" t="s">
        <v>2026</v>
      </c>
      <c r="B6967" t="s">
        <v>2029</v>
      </c>
      <c r="C6967">
        <v>2</v>
      </c>
      <c r="D6967" t="s">
        <v>1447</v>
      </c>
      <c r="E6967" t="s">
        <v>1998</v>
      </c>
      <c r="F6967" t="s">
        <v>1748</v>
      </c>
      <c r="H6967" s="165" t="str">
        <f>IF(ISBLANK('Q 6'!$G$357),"",IF('Q 6'!$G$357="&lt;please select&gt;","",'Q 6'!$G$357))</f>
        <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
      </c>
    </row>
    <row r="6970" spans="1:11" x14ac:dyDescent="0.3">
      <c r="A6970" t="s">
        <v>2026</v>
      </c>
      <c r="B6970" t="s">
        <v>2030</v>
      </c>
      <c r="C6970">
        <v>2</v>
      </c>
      <c r="D6970" t="s">
        <v>1419</v>
      </c>
      <c r="E6970" t="s">
        <v>2000</v>
      </c>
      <c r="F6970" t="s">
        <v>1791</v>
      </c>
      <c r="J6970" t="str">
        <f>IF(ISBLANK('Q 6'!$G$359),"",IF('Q 6'!$G$359="&lt;please select&gt;","",'Q 6'!$G$359))</f>
        <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
      </c>
    </row>
    <row r="6982" spans="1:11" x14ac:dyDescent="0.3">
      <c r="A6982" t="s">
        <v>2034</v>
      </c>
      <c r="B6982" t="s">
        <v>2035</v>
      </c>
      <c r="C6982">
        <v>0</v>
      </c>
      <c r="D6982" t="s">
        <v>1447</v>
      </c>
      <c r="E6982" t="s">
        <v>2035</v>
      </c>
      <c r="F6982" t="s">
        <v>1759</v>
      </c>
      <c r="K6982" t="str">
        <f>IF(ISBLANK('Q 6'!$I$373),"",IF('Q 6'!$I$373="&lt;please select&gt;","",'Q 6'!$I$373))</f>
        <v>No</v>
      </c>
    </row>
    <row r="6983" spans="1:11" x14ac:dyDescent="0.3">
      <c r="A6983" t="s">
        <v>2034</v>
      </c>
      <c r="B6983" t="s">
        <v>2036</v>
      </c>
      <c r="C6983">
        <v>0</v>
      </c>
      <c r="D6983" t="s">
        <v>1447</v>
      </c>
      <c r="E6983" t="s">
        <v>2036</v>
      </c>
      <c r="F6983" t="s">
        <v>1748</v>
      </c>
      <c r="H6983" t="str">
        <f>IF(ISBLANK('Q 6'!$H$375),"",IF('Q 6'!$H$375="&lt;please select&gt;","",'Q 6'!$H$375))</f>
        <v/>
      </c>
    </row>
    <row r="6984" spans="1:11" x14ac:dyDescent="0.3">
      <c r="A6984" t="s">
        <v>2037</v>
      </c>
      <c r="B6984" t="s">
        <v>2038</v>
      </c>
      <c r="C6984">
        <v>0</v>
      </c>
      <c r="D6984" t="s">
        <v>1447</v>
      </c>
      <c r="E6984" t="s">
        <v>2038</v>
      </c>
      <c r="F6984" t="s">
        <v>1759</v>
      </c>
      <c r="K6984" t="str">
        <f>IF(ISBLANK('Q 6'!$I$377),"",IF('Q 6'!$I$377="&lt;please select&gt;","",'Q 6'!$I$377))</f>
        <v>No</v>
      </c>
    </row>
    <row r="6985" spans="1:11" x14ac:dyDescent="0.3">
      <c r="A6985" t="s">
        <v>2037</v>
      </c>
      <c r="B6985" t="s">
        <v>2039</v>
      </c>
      <c r="C6985">
        <v>1</v>
      </c>
      <c r="D6985" t="s">
        <v>1447</v>
      </c>
      <c r="E6985" t="s">
        <v>2010</v>
      </c>
      <c r="F6985" t="s">
        <v>1741</v>
      </c>
      <c r="G6985" t="str">
        <f>IF(ISBLANK('Q 6'!C383),"",IF('Q 6'!C383="&lt;please select&gt;","",'Q 6'!C383))</f>
        <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0</v>
      </c>
    </row>
    <row r="7084" spans="1:8" x14ac:dyDescent="0.3">
      <c r="A7084" t="s">
        <v>2048</v>
      </c>
      <c r="B7084" t="s">
        <v>2050</v>
      </c>
      <c r="C7084">
        <v>1</v>
      </c>
      <c r="D7084" t="s">
        <v>1447</v>
      </c>
      <c r="E7084" t="s">
        <v>2016</v>
      </c>
      <c r="F7084" t="s">
        <v>1741</v>
      </c>
      <c r="G7084" t="str">
        <f>IF(ISBLANK('Q 7'!C27),"",IF('Q 7'!C27="&lt;please select&gt;","",'Q 7'!C27))</f>
        <v/>
      </c>
    </row>
    <row r="7085" spans="1:8" x14ac:dyDescent="0.3">
      <c r="A7085" t="s">
        <v>2048</v>
      </c>
      <c r="B7085" t="s">
        <v>2050</v>
      </c>
      <c r="C7085">
        <v>2</v>
      </c>
      <c r="D7085" t="s">
        <v>1447</v>
      </c>
      <c r="E7085" t="s">
        <v>2016</v>
      </c>
      <c r="F7085" t="s">
        <v>1741</v>
      </c>
      <c r="G7085" t="str">
        <f>IF(ISBLANK('Q 7'!C28),"",IF('Q 7'!C28="&lt;please select&gt;","",'Q 7'!C28))</f>
        <v/>
      </c>
    </row>
    <row r="7086" spans="1:8" x14ac:dyDescent="0.3">
      <c r="A7086" t="s">
        <v>2048</v>
      </c>
      <c r="B7086" t="s">
        <v>2050</v>
      </c>
      <c r="C7086">
        <v>3</v>
      </c>
      <c r="D7086" t="s">
        <v>1447</v>
      </c>
      <c r="E7086" t="s">
        <v>2016</v>
      </c>
      <c r="F7086" t="s">
        <v>1741</v>
      </c>
      <c r="G7086" t="str">
        <f>IF(ISBLANK('Q 7'!C29),"",IF('Q 7'!C29="&lt;please select&gt;","",'Q 7'!C29))</f>
        <v/>
      </c>
    </row>
    <row r="7087" spans="1:8" x14ac:dyDescent="0.3">
      <c r="A7087" t="s">
        <v>2048</v>
      </c>
      <c r="B7087" t="s">
        <v>2050</v>
      </c>
      <c r="C7087">
        <v>4</v>
      </c>
      <c r="D7087" t="s">
        <v>1447</v>
      </c>
      <c r="E7087" t="s">
        <v>2016</v>
      </c>
      <c r="F7087" t="s">
        <v>1741</v>
      </c>
      <c r="G7087" t="str">
        <f>IF(ISBLANK('Q 7'!C30),"",IF('Q 7'!C30="&lt;please select&gt;","",'Q 7'!C30))</f>
        <v/>
      </c>
    </row>
    <row r="7088" spans="1:8" x14ac:dyDescent="0.3">
      <c r="A7088" t="s">
        <v>2048</v>
      </c>
      <c r="B7088" t="s">
        <v>2050</v>
      </c>
      <c r="C7088">
        <v>5</v>
      </c>
      <c r="D7088" t="s">
        <v>1447</v>
      </c>
      <c r="E7088" t="s">
        <v>2016</v>
      </c>
      <c r="F7088" t="s">
        <v>1741</v>
      </c>
      <c r="G7088" t="str">
        <f>IF(ISBLANK('Q 7'!C31),"",IF('Q 7'!C31="&lt;please select&gt;","",'Q 7'!C31))</f>
        <v/>
      </c>
    </row>
    <row r="7089" spans="1:7" x14ac:dyDescent="0.3">
      <c r="A7089" t="s">
        <v>2048</v>
      </c>
      <c r="B7089" t="s">
        <v>2050</v>
      </c>
      <c r="C7089">
        <v>6</v>
      </c>
      <c r="D7089" t="s">
        <v>1447</v>
      </c>
      <c r="E7089" t="s">
        <v>2016</v>
      </c>
      <c r="F7089" t="s">
        <v>1741</v>
      </c>
      <c r="G7089" t="str">
        <f>IF(ISBLANK('Q 7'!C32),"",IF('Q 7'!C32="&lt;please select&gt;","",'Q 7'!C32))</f>
        <v/>
      </c>
    </row>
    <row r="7090" spans="1:7" x14ac:dyDescent="0.3">
      <c r="A7090" t="s">
        <v>2048</v>
      </c>
      <c r="B7090" t="s">
        <v>2050</v>
      </c>
      <c r="C7090">
        <v>7</v>
      </c>
      <c r="D7090" t="s">
        <v>1447</v>
      </c>
      <c r="E7090" t="s">
        <v>2016</v>
      </c>
      <c r="F7090" t="s">
        <v>1741</v>
      </c>
      <c r="G7090" t="str">
        <f>IF(ISBLANK('Q 7'!C33),"",IF('Q 7'!C33="&lt;please select&gt;","",'Q 7'!C33))</f>
        <v/>
      </c>
    </row>
    <row r="7091" spans="1:7" x14ac:dyDescent="0.3">
      <c r="A7091" t="s">
        <v>2048</v>
      </c>
      <c r="B7091" t="s">
        <v>2050</v>
      </c>
      <c r="C7091">
        <v>8</v>
      </c>
      <c r="D7091" t="s">
        <v>1447</v>
      </c>
      <c r="E7091" t="s">
        <v>2016</v>
      </c>
      <c r="F7091" t="s">
        <v>1741</v>
      </c>
      <c r="G7091" t="str">
        <f>IF(ISBLANK('Q 7'!C34),"",IF('Q 7'!C34="&lt;please select&gt;","",'Q 7'!C34))</f>
        <v/>
      </c>
    </row>
    <row r="7092" spans="1:7" x14ac:dyDescent="0.3">
      <c r="A7092" t="s">
        <v>2048</v>
      </c>
      <c r="B7092" t="s">
        <v>2050</v>
      </c>
      <c r="C7092">
        <v>9</v>
      </c>
      <c r="D7092" t="s">
        <v>1447</v>
      </c>
      <c r="E7092" t="s">
        <v>2016</v>
      </c>
      <c r="F7092" t="s">
        <v>1741</v>
      </c>
      <c r="G7092" t="str">
        <f>IF(ISBLANK('Q 7'!C35),"",IF('Q 7'!C35="&lt;please select&gt;","",'Q 7'!C35))</f>
        <v/>
      </c>
    </row>
    <row r="7093" spans="1:7" x14ac:dyDescent="0.3">
      <c r="A7093" t="s">
        <v>2048</v>
      </c>
      <c r="B7093" t="s">
        <v>2050</v>
      </c>
      <c r="C7093">
        <v>10</v>
      </c>
      <c r="D7093" t="s">
        <v>1447</v>
      </c>
      <c r="E7093" t="s">
        <v>2016</v>
      </c>
      <c r="F7093" t="s">
        <v>1741</v>
      </c>
      <c r="G7093" t="str">
        <f>IF(ISBLANK('Q 7'!C36),"",IF('Q 7'!C36="&lt;please select&gt;","",'Q 7'!C36))</f>
        <v/>
      </c>
    </row>
    <row r="7094" spans="1:7" x14ac:dyDescent="0.3">
      <c r="A7094" t="s">
        <v>2048</v>
      </c>
      <c r="B7094" t="s">
        <v>2050</v>
      </c>
      <c r="C7094">
        <v>11</v>
      </c>
      <c r="D7094" t="s">
        <v>1447</v>
      </c>
      <c r="E7094" t="s">
        <v>2016</v>
      </c>
      <c r="F7094" t="s">
        <v>1741</v>
      </c>
      <c r="G7094" t="str">
        <f>IF(ISBLANK('Q 7'!C37),"",IF('Q 7'!C37="&lt;please select&gt;","",'Q 7'!C37))</f>
        <v/>
      </c>
    </row>
    <row r="7095" spans="1:7" x14ac:dyDescent="0.3">
      <c r="A7095" t="s">
        <v>2048</v>
      </c>
      <c r="B7095" t="s">
        <v>2050</v>
      </c>
      <c r="C7095">
        <v>12</v>
      </c>
      <c r="D7095" t="s">
        <v>1447</v>
      </c>
      <c r="E7095" t="s">
        <v>2016</v>
      </c>
      <c r="F7095" t="s">
        <v>1741</v>
      </c>
      <c r="G7095" t="str">
        <f>IF(ISBLANK('Q 7'!C38),"",IF('Q 7'!C38="&lt;please select&gt;","",'Q 7'!C38))</f>
        <v/>
      </c>
    </row>
    <row r="7096" spans="1:7" x14ac:dyDescent="0.3">
      <c r="A7096" t="s">
        <v>2048</v>
      </c>
      <c r="B7096" t="s">
        <v>2050</v>
      </c>
      <c r="C7096">
        <v>13</v>
      </c>
      <c r="D7096" t="s">
        <v>1447</v>
      </c>
      <c r="E7096" t="s">
        <v>2016</v>
      </c>
      <c r="F7096" t="s">
        <v>1741</v>
      </c>
      <c r="G7096" t="str">
        <f>IF(ISBLANK('Q 7'!C39),"",IF('Q 7'!C39="&lt;please select&gt;","",'Q 7'!C39))</f>
        <v/>
      </c>
    </row>
    <row r="7097" spans="1:7" x14ac:dyDescent="0.3">
      <c r="A7097" t="s">
        <v>2048</v>
      </c>
      <c r="B7097" t="s">
        <v>2050</v>
      </c>
      <c r="C7097">
        <v>14</v>
      </c>
      <c r="D7097" t="s">
        <v>1447</v>
      </c>
      <c r="E7097" t="s">
        <v>2016</v>
      </c>
      <c r="F7097" t="s">
        <v>1741</v>
      </c>
      <c r="G7097" t="str">
        <f>IF(ISBLANK('Q 7'!C40),"",IF('Q 7'!C40="&lt;please select&gt;","",'Q 7'!C40))</f>
        <v/>
      </c>
    </row>
    <row r="7098" spans="1:7" x14ac:dyDescent="0.3">
      <c r="A7098" t="s">
        <v>2048</v>
      </c>
      <c r="B7098" t="s">
        <v>2050</v>
      </c>
      <c r="C7098">
        <v>15</v>
      </c>
      <c r="D7098" t="s">
        <v>1447</v>
      </c>
      <c r="E7098" t="s">
        <v>2016</v>
      </c>
      <c r="F7098" t="s">
        <v>1741</v>
      </c>
      <c r="G7098" t="str">
        <f>IF(ISBLANK('Q 7'!C41),"",IF('Q 7'!C41="&lt;please select&gt;","",'Q 7'!C41))</f>
        <v/>
      </c>
    </row>
    <row r="7099" spans="1:7" x14ac:dyDescent="0.3">
      <c r="A7099" t="s">
        <v>2048</v>
      </c>
      <c r="B7099" t="s">
        <v>2050</v>
      </c>
      <c r="C7099">
        <v>16</v>
      </c>
      <c r="D7099" t="s">
        <v>1447</v>
      </c>
      <c r="E7099" t="s">
        <v>2016</v>
      </c>
      <c r="F7099" t="s">
        <v>1741</v>
      </c>
      <c r="G7099" t="str">
        <f>IF(ISBLANK('Q 7'!C42),"",IF('Q 7'!C42="&lt;please select&gt;","",'Q 7'!C42))</f>
        <v/>
      </c>
    </row>
    <row r="7100" spans="1:7" x14ac:dyDescent="0.3">
      <c r="A7100" t="s">
        <v>2048</v>
      </c>
      <c r="B7100" t="s">
        <v>2050</v>
      </c>
      <c r="C7100">
        <v>17</v>
      </c>
      <c r="D7100" t="s">
        <v>1447</v>
      </c>
      <c r="E7100" t="s">
        <v>2016</v>
      </c>
      <c r="F7100" t="s">
        <v>1741</v>
      </c>
      <c r="G7100" t="str">
        <f>IF(ISBLANK('Q 7'!C43),"",IF('Q 7'!C43="&lt;please select&gt;","",'Q 7'!C43))</f>
        <v/>
      </c>
    </row>
    <row r="7101" spans="1:7" x14ac:dyDescent="0.3">
      <c r="A7101" t="s">
        <v>2048</v>
      </c>
      <c r="B7101" t="s">
        <v>2050</v>
      </c>
      <c r="C7101">
        <v>18</v>
      </c>
      <c r="D7101" t="s">
        <v>1447</v>
      </c>
      <c r="E7101" t="s">
        <v>2016</v>
      </c>
      <c r="F7101" t="s">
        <v>1741</v>
      </c>
      <c r="G7101" t="str">
        <f>IF(ISBLANK('Q 7'!C44),"",IF('Q 7'!C44="&lt;please select&gt;","",'Q 7'!C44))</f>
        <v/>
      </c>
    </row>
    <row r="7102" spans="1:7" x14ac:dyDescent="0.3">
      <c r="A7102" t="s">
        <v>2048</v>
      </c>
      <c r="B7102" t="s">
        <v>2050</v>
      </c>
      <c r="C7102">
        <v>19</v>
      </c>
      <c r="D7102" t="s">
        <v>1447</v>
      </c>
      <c r="E7102" t="s">
        <v>2016</v>
      </c>
      <c r="F7102" t="s">
        <v>1741</v>
      </c>
      <c r="G7102" t="str">
        <f>IF(ISBLANK('Q 7'!C45),"",IF('Q 7'!C45="&lt;please select&gt;","",'Q 7'!C45))</f>
        <v/>
      </c>
    </row>
    <row r="7103" spans="1:7" x14ac:dyDescent="0.3">
      <c r="A7103" t="s">
        <v>2048</v>
      </c>
      <c r="B7103" t="s">
        <v>2050</v>
      </c>
      <c r="C7103">
        <v>20</v>
      </c>
      <c r="D7103" t="s">
        <v>1447</v>
      </c>
      <c r="E7103" t="s">
        <v>2016</v>
      </c>
      <c r="F7103" t="s">
        <v>1741</v>
      </c>
      <c r="G7103" t="str">
        <f>IF(ISBLANK('Q 7'!C46),"",IF('Q 7'!C46="&lt;please select&gt;","",'Q 7'!C46))</f>
        <v/>
      </c>
    </row>
    <row r="7104" spans="1:7" x14ac:dyDescent="0.3">
      <c r="A7104" t="s">
        <v>2048</v>
      </c>
      <c r="B7104" t="s">
        <v>2050</v>
      </c>
      <c r="C7104">
        <v>21</v>
      </c>
      <c r="D7104" t="s">
        <v>1447</v>
      </c>
      <c r="E7104" t="s">
        <v>2016</v>
      </c>
      <c r="F7104" t="s">
        <v>1741</v>
      </c>
      <c r="G7104" t="str">
        <f>IF(ISBLANK('Q 7'!C47),"",IF('Q 7'!C47="&lt;please select&gt;","",'Q 7'!C47))</f>
        <v/>
      </c>
    </row>
    <row r="7105" spans="1:7" x14ac:dyDescent="0.3">
      <c r="A7105" t="s">
        <v>2048</v>
      </c>
      <c r="B7105" t="s">
        <v>2050</v>
      </c>
      <c r="C7105">
        <v>22</v>
      </c>
      <c r="D7105" t="s">
        <v>1447</v>
      </c>
      <c r="E7105" t="s">
        <v>2016</v>
      </c>
      <c r="F7105" t="s">
        <v>1741</v>
      </c>
      <c r="G7105" t="str">
        <f>IF(ISBLANK('Q 7'!C48),"",IF('Q 7'!C48="&lt;please select&gt;","",'Q 7'!C48))</f>
        <v/>
      </c>
    </row>
    <row r="7106" spans="1:7" x14ac:dyDescent="0.3">
      <c r="A7106" t="s">
        <v>2048</v>
      </c>
      <c r="B7106" t="s">
        <v>2050</v>
      </c>
      <c r="C7106">
        <v>23</v>
      </c>
      <c r="D7106" t="s">
        <v>1447</v>
      </c>
      <c r="E7106" t="s">
        <v>2016</v>
      </c>
      <c r="F7106" t="s">
        <v>1741</v>
      </c>
      <c r="G7106" t="str">
        <f>IF(ISBLANK('Q 7'!C49),"",IF('Q 7'!C49="&lt;please select&gt;","",'Q 7'!C49))</f>
        <v/>
      </c>
    </row>
    <row r="7107" spans="1:7" x14ac:dyDescent="0.3">
      <c r="A7107" t="s">
        <v>2048</v>
      </c>
      <c r="B7107" t="s">
        <v>2050</v>
      </c>
      <c r="C7107">
        <v>24</v>
      </c>
      <c r="D7107" t="s">
        <v>1447</v>
      </c>
      <c r="E7107" t="s">
        <v>2016</v>
      </c>
      <c r="F7107" t="s">
        <v>1741</v>
      </c>
      <c r="G7107" t="str">
        <f>IF(ISBLANK('Q 7'!C50),"",IF('Q 7'!C50="&lt;please select&gt;","",'Q 7'!C50))</f>
        <v/>
      </c>
    </row>
    <row r="7108" spans="1:7" x14ac:dyDescent="0.3">
      <c r="A7108" t="s">
        <v>2048</v>
      </c>
      <c r="B7108" t="s">
        <v>2050</v>
      </c>
      <c r="C7108">
        <v>25</v>
      </c>
      <c r="D7108" t="s">
        <v>1447</v>
      </c>
      <c r="E7108" t="s">
        <v>2016</v>
      </c>
      <c r="F7108" t="s">
        <v>1741</v>
      </c>
      <c r="G7108" t="str">
        <f>IF(ISBLANK('Q 7'!C51),"",IF('Q 7'!C51="&lt;please select&gt;","",'Q 7'!C51))</f>
        <v/>
      </c>
    </row>
    <row r="7109" spans="1:7" x14ac:dyDescent="0.3">
      <c r="A7109" t="s">
        <v>2048</v>
      </c>
      <c r="B7109" t="s">
        <v>2050</v>
      </c>
      <c r="C7109">
        <v>26</v>
      </c>
      <c r="D7109" t="s">
        <v>1447</v>
      </c>
      <c r="E7109" t="s">
        <v>2016</v>
      </c>
      <c r="F7109" t="s">
        <v>1741</v>
      </c>
      <c r="G7109" t="str">
        <f>IF(ISBLANK('Q 7'!C52),"",IF('Q 7'!C52="&lt;please select&gt;","",'Q 7'!C52))</f>
        <v/>
      </c>
    </row>
    <row r="7110" spans="1:7" x14ac:dyDescent="0.3">
      <c r="A7110" t="s">
        <v>2048</v>
      </c>
      <c r="B7110" t="s">
        <v>2050</v>
      </c>
      <c r="C7110">
        <v>27</v>
      </c>
      <c r="D7110" t="s">
        <v>1447</v>
      </c>
      <c r="E7110" t="s">
        <v>2016</v>
      </c>
      <c r="F7110" t="s">
        <v>1741</v>
      </c>
      <c r="G7110" t="str">
        <f>IF(ISBLANK('Q 7'!C53),"",IF('Q 7'!C53="&lt;please select&gt;","",'Q 7'!C53))</f>
        <v/>
      </c>
    </row>
    <row r="7111" spans="1:7" x14ac:dyDescent="0.3">
      <c r="A7111" t="s">
        <v>2048</v>
      </c>
      <c r="B7111" t="s">
        <v>2050</v>
      </c>
      <c r="C7111">
        <v>28</v>
      </c>
      <c r="D7111" t="s">
        <v>1447</v>
      </c>
      <c r="E7111" t="s">
        <v>2016</v>
      </c>
      <c r="F7111" t="s">
        <v>1741</v>
      </c>
      <c r="G7111" t="str">
        <f>IF(ISBLANK('Q 7'!C54),"",IF('Q 7'!C54="&lt;please select&gt;","",'Q 7'!C54))</f>
        <v/>
      </c>
    </row>
    <row r="7112" spans="1:7" x14ac:dyDescent="0.3">
      <c r="A7112" t="s">
        <v>2048</v>
      </c>
      <c r="B7112" t="s">
        <v>2050</v>
      </c>
      <c r="C7112">
        <v>29</v>
      </c>
      <c r="D7112" t="s">
        <v>1447</v>
      </c>
      <c r="E7112" t="s">
        <v>2016</v>
      </c>
      <c r="F7112" t="s">
        <v>1741</v>
      </c>
      <c r="G7112" t="str">
        <f>IF(ISBLANK('Q 7'!C55),"",IF('Q 7'!C55="&lt;please select&gt;","",'Q 7'!C55))</f>
        <v/>
      </c>
    </row>
    <row r="7113" spans="1:7" x14ac:dyDescent="0.3">
      <c r="A7113" t="s">
        <v>2048</v>
      </c>
      <c r="B7113" t="s">
        <v>2050</v>
      </c>
      <c r="C7113">
        <v>30</v>
      </c>
      <c r="D7113" t="s">
        <v>1447</v>
      </c>
      <c r="E7113" t="s">
        <v>2016</v>
      </c>
      <c r="F7113" t="s">
        <v>1741</v>
      </c>
      <c r="G7113" t="str">
        <f>IF(ISBLANK('Q 7'!C56),"",IF('Q 7'!C56="&lt;please select&gt;","",'Q 7'!C56))</f>
        <v/>
      </c>
    </row>
    <row r="7114" spans="1:7" x14ac:dyDescent="0.3">
      <c r="A7114" t="s">
        <v>2048</v>
      </c>
      <c r="B7114" t="s">
        <v>2050</v>
      </c>
      <c r="C7114">
        <v>31</v>
      </c>
      <c r="D7114" t="s">
        <v>1447</v>
      </c>
      <c r="E7114" t="s">
        <v>2016</v>
      </c>
      <c r="F7114" t="s">
        <v>1741</v>
      </c>
      <c r="G7114" t="str">
        <f>IF(ISBLANK('Q 7'!C57),"",IF('Q 7'!C57="&lt;please select&gt;","",'Q 7'!C57))</f>
        <v/>
      </c>
    </row>
    <row r="7115" spans="1:7" x14ac:dyDescent="0.3">
      <c r="A7115" t="s">
        <v>2048</v>
      </c>
      <c r="B7115" t="s">
        <v>2050</v>
      </c>
      <c r="C7115">
        <v>32</v>
      </c>
      <c r="D7115" t="s">
        <v>1447</v>
      </c>
      <c r="E7115" t="s">
        <v>2016</v>
      </c>
      <c r="F7115" t="s">
        <v>1741</v>
      </c>
      <c r="G7115" t="str">
        <f>IF(ISBLANK('Q 7'!C58),"",IF('Q 7'!C58="&lt;please select&gt;","",'Q 7'!C58))</f>
        <v/>
      </c>
    </row>
    <row r="7116" spans="1:7" x14ac:dyDescent="0.3">
      <c r="A7116" t="s">
        <v>2048</v>
      </c>
      <c r="B7116" t="s">
        <v>2050</v>
      </c>
      <c r="C7116">
        <v>33</v>
      </c>
      <c r="D7116" t="s">
        <v>1447</v>
      </c>
      <c r="E7116" t="s">
        <v>2016</v>
      </c>
      <c r="F7116" t="s">
        <v>1741</v>
      </c>
      <c r="G7116" t="str">
        <f>IF(ISBLANK('Q 7'!C59),"",IF('Q 7'!C59="&lt;please select&gt;","",'Q 7'!C59))</f>
        <v/>
      </c>
    </row>
    <row r="7117" spans="1:7" x14ac:dyDescent="0.3">
      <c r="A7117" t="s">
        <v>2048</v>
      </c>
      <c r="B7117" t="s">
        <v>2050</v>
      </c>
      <c r="C7117">
        <v>34</v>
      </c>
      <c r="D7117" t="s">
        <v>1447</v>
      </c>
      <c r="E7117" t="s">
        <v>2016</v>
      </c>
      <c r="F7117" t="s">
        <v>1741</v>
      </c>
      <c r="G7117" t="str">
        <f>IF(ISBLANK('Q 7'!C60),"",IF('Q 7'!C60="&lt;please select&gt;","",'Q 7'!C60))</f>
        <v/>
      </c>
    </row>
    <row r="7118" spans="1:7" x14ac:dyDescent="0.3">
      <c r="A7118" t="s">
        <v>2048</v>
      </c>
      <c r="B7118" t="s">
        <v>2050</v>
      </c>
      <c r="C7118">
        <v>35</v>
      </c>
      <c r="D7118" t="s">
        <v>1447</v>
      </c>
      <c r="E7118" t="s">
        <v>2016</v>
      </c>
      <c r="F7118" t="s">
        <v>1741</v>
      </c>
      <c r="G7118" t="str">
        <f>IF(ISBLANK('Q 7'!C61),"",IF('Q 7'!C61="&lt;please select&gt;","",'Q 7'!C61))</f>
        <v/>
      </c>
    </row>
    <row r="7119" spans="1:7" x14ac:dyDescent="0.3">
      <c r="A7119" t="s">
        <v>2048</v>
      </c>
      <c r="B7119" t="s">
        <v>2050</v>
      </c>
      <c r="C7119">
        <v>36</v>
      </c>
      <c r="D7119" t="s">
        <v>1447</v>
      </c>
      <c r="E7119" t="s">
        <v>2016</v>
      </c>
      <c r="F7119" t="s">
        <v>1741</v>
      </c>
      <c r="G7119" t="str">
        <f>IF(ISBLANK('Q 7'!C62),"",IF('Q 7'!C62="&lt;please select&gt;","",'Q 7'!C62))</f>
        <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
      </c>
    </row>
    <row r="7125" spans="1:7" x14ac:dyDescent="0.3">
      <c r="A7125" t="s">
        <v>2048</v>
      </c>
      <c r="B7125" t="s">
        <v>2050</v>
      </c>
      <c r="C7125">
        <v>2</v>
      </c>
      <c r="D7125" t="s">
        <v>1447</v>
      </c>
      <c r="E7125" t="s">
        <v>2051</v>
      </c>
      <c r="F7125" t="s">
        <v>1741</v>
      </c>
      <c r="G7125" t="str">
        <f>IF(ISBLANK('Q 7'!G28),"",IF('Q 7'!G28="&lt;please select&gt;","",'Q 7'!G28))</f>
        <v/>
      </c>
    </row>
    <row r="7126" spans="1:7" x14ac:dyDescent="0.3">
      <c r="A7126" t="s">
        <v>2048</v>
      </c>
      <c r="B7126" t="s">
        <v>2050</v>
      </c>
      <c r="C7126">
        <v>3</v>
      </c>
      <c r="D7126" t="s">
        <v>1447</v>
      </c>
      <c r="E7126" t="s">
        <v>2051</v>
      </c>
      <c r="F7126" t="s">
        <v>1741</v>
      </c>
      <c r="G7126" t="str">
        <f>IF(ISBLANK('Q 7'!G29),"",IF('Q 7'!G29="&lt;please select&gt;","",'Q 7'!G29))</f>
        <v/>
      </c>
    </row>
    <row r="7127" spans="1:7" x14ac:dyDescent="0.3">
      <c r="A7127" t="s">
        <v>2048</v>
      </c>
      <c r="B7127" t="s">
        <v>2050</v>
      </c>
      <c r="C7127">
        <v>4</v>
      </c>
      <c r="D7127" t="s">
        <v>1447</v>
      </c>
      <c r="E7127" t="s">
        <v>2051</v>
      </c>
      <c r="F7127" t="s">
        <v>1741</v>
      </c>
      <c r="G7127" t="str">
        <f>IF(ISBLANK('Q 7'!G30),"",IF('Q 7'!G30="&lt;please select&gt;","",'Q 7'!G30))</f>
        <v/>
      </c>
    </row>
    <row r="7128" spans="1:7" x14ac:dyDescent="0.3">
      <c r="A7128" t="s">
        <v>2048</v>
      </c>
      <c r="B7128" t="s">
        <v>2050</v>
      </c>
      <c r="C7128">
        <v>5</v>
      </c>
      <c r="D7128" t="s">
        <v>1447</v>
      </c>
      <c r="E7128" t="s">
        <v>2051</v>
      </c>
      <c r="F7128" t="s">
        <v>1741</v>
      </c>
      <c r="G7128" t="str">
        <f>IF(ISBLANK('Q 7'!G31),"",IF('Q 7'!G31="&lt;please select&gt;","",'Q 7'!G31))</f>
        <v/>
      </c>
    </row>
    <row r="7129" spans="1:7" x14ac:dyDescent="0.3">
      <c r="A7129" t="s">
        <v>2048</v>
      </c>
      <c r="B7129" t="s">
        <v>2050</v>
      </c>
      <c r="C7129">
        <v>6</v>
      </c>
      <c r="D7129" t="s">
        <v>1447</v>
      </c>
      <c r="E7129" t="s">
        <v>2051</v>
      </c>
      <c r="F7129" t="s">
        <v>1741</v>
      </c>
      <c r="G7129" t="str">
        <f>IF(ISBLANK('Q 7'!G32),"",IF('Q 7'!G32="&lt;please select&gt;","",'Q 7'!G32))</f>
        <v/>
      </c>
    </row>
    <row r="7130" spans="1:7" x14ac:dyDescent="0.3">
      <c r="A7130" t="s">
        <v>2048</v>
      </c>
      <c r="B7130" t="s">
        <v>2050</v>
      </c>
      <c r="C7130">
        <v>7</v>
      </c>
      <c r="D7130" t="s">
        <v>1447</v>
      </c>
      <c r="E7130" t="s">
        <v>2051</v>
      </c>
      <c r="F7130" t="s">
        <v>1741</v>
      </c>
      <c r="G7130" t="str">
        <f>IF(ISBLANK('Q 7'!G33),"",IF('Q 7'!G33="&lt;please select&gt;","",'Q 7'!G33))</f>
        <v/>
      </c>
    </row>
    <row r="7131" spans="1:7" x14ac:dyDescent="0.3">
      <c r="A7131" t="s">
        <v>2048</v>
      </c>
      <c r="B7131" t="s">
        <v>2050</v>
      </c>
      <c r="C7131">
        <v>8</v>
      </c>
      <c r="D7131" t="s">
        <v>1447</v>
      </c>
      <c r="E7131" t="s">
        <v>2051</v>
      </c>
      <c r="F7131" t="s">
        <v>1741</v>
      </c>
      <c r="G7131" t="str">
        <f>IF(ISBLANK('Q 7'!G34),"",IF('Q 7'!G34="&lt;please select&gt;","",'Q 7'!G34))</f>
        <v/>
      </c>
    </row>
    <row r="7132" spans="1:7" x14ac:dyDescent="0.3">
      <c r="A7132" t="s">
        <v>2048</v>
      </c>
      <c r="B7132" t="s">
        <v>2050</v>
      </c>
      <c r="C7132">
        <v>9</v>
      </c>
      <c r="D7132" t="s">
        <v>1447</v>
      </c>
      <c r="E7132" t="s">
        <v>2051</v>
      </c>
      <c r="F7132" t="s">
        <v>1741</v>
      </c>
      <c r="G7132" t="str">
        <f>IF(ISBLANK('Q 7'!G35),"",IF('Q 7'!G35="&lt;please select&gt;","",'Q 7'!G35))</f>
        <v/>
      </c>
    </row>
    <row r="7133" spans="1:7" x14ac:dyDescent="0.3">
      <c r="A7133" t="s">
        <v>2048</v>
      </c>
      <c r="B7133" t="s">
        <v>2050</v>
      </c>
      <c r="C7133">
        <v>10</v>
      </c>
      <c r="D7133" t="s">
        <v>1447</v>
      </c>
      <c r="E7133" t="s">
        <v>2051</v>
      </c>
      <c r="F7133" t="s">
        <v>1741</v>
      </c>
      <c r="G7133" t="str">
        <f>IF(ISBLANK('Q 7'!G36),"",IF('Q 7'!G36="&lt;please select&gt;","",'Q 7'!G36))</f>
        <v/>
      </c>
    </row>
    <row r="7134" spans="1:7" x14ac:dyDescent="0.3">
      <c r="A7134" t="s">
        <v>2048</v>
      </c>
      <c r="B7134" t="s">
        <v>2050</v>
      </c>
      <c r="C7134">
        <v>11</v>
      </c>
      <c r="D7134" t="s">
        <v>1447</v>
      </c>
      <c r="E7134" t="s">
        <v>2051</v>
      </c>
      <c r="F7134" t="s">
        <v>1741</v>
      </c>
      <c r="G7134" t="str">
        <f>IF(ISBLANK('Q 7'!G37),"",IF('Q 7'!G37="&lt;please select&gt;","",'Q 7'!G37))</f>
        <v/>
      </c>
    </row>
    <row r="7135" spans="1:7" x14ac:dyDescent="0.3">
      <c r="A7135" t="s">
        <v>2048</v>
      </c>
      <c r="B7135" t="s">
        <v>2050</v>
      </c>
      <c r="C7135">
        <v>12</v>
      </c>
      <c r="D7135" t="s">
        <v>1447</v>
      </c>
      <c r="E7135" t="s">
        <v>2051</v>
      </c>
      <c r="F7135" t="s">
        <v>1741</v>
      </c>
      <c r="G7135" t="str">
        <f>IF(ISBLANK('Q 7'!G38),"",IF('Q 7'!G38="&lt;please select&gt;","",'Q 7'!G38))</f>
        <v/>
      </c>
    </row>
    <row r="7136" spans="1:7" x14ac:dyDescent="0.3">
      <c r="A7136" t="s">
        <v>2048</v>
      </c>
      <c r="B7136" t="s">
        <v>2050</v>
      </c>
      <c r="C7136">
        <v>13</v>
      </c>
      <c r="D7136" t="s">
        <v>1447</v>
      </c>
      <c r="E7136" t="s">
        <v>2051</v>
      </c>
      <c r="F7136" t="s">
        <v>1741</v>
      </c>
      <c r="G7136" t="str">
        <f>IF(ISBLANK('Q 7'!G39),"",IF('Q 7'!G39="&lt;please select&gt;","",'Q 7'!G39))</f>
        <v/>
      </c>
    </row>
    <row r="7137" spans="1:7" x14ac:dyDescent="0.3">
      <c r="A7137" t="s">
        <v>2048</v>
      </c>
      <c r="B7137" t="s">
        <v>2050</v>
      </c>
      <c r="C7137">
        <v>14</v>
      </c>
      <c r="D7137" t="s">
        <v>1447</v>
      </c>
      <c r="E7137" t="s">
        <v>2051</v>
      </c>
      <c r="F7137" t="s">
        <v>1741</v>
      </c>
      <c r="G7137" t="str">
        <f>IF(ISBLANK('Q 7'!G40),"",IF('Q 7'!G40="&lt;please select&gt;","",'Q 7'!G40))</f>
        <v/>
      </c>
    </row>
    <row r="7138" spans="1:7" x14ac:dyDescent="0.3">
      <c r="A7138" t="s">
        <v>2048</v>
      </c>
      <c r="B7138" t="s">
        <v>2050</v>
      </c>
      <c r="C7138">
        <v>15</v>
      </c>
      <c r="D7138" t="s">
        <v>1447</v>
      </c>
      <c r="E7138" t="s">
        <v>2051</v>
      </c>
      <c r="F7138" t="s">
        <v>1741</v>
      </c>
      <c r="G7138" t="str">
        <f>IF(ISBLANK('Q 7'!G41),"",IF('Q 7'!G41="&lt;please select&gt;","",'Q 7'!G41))</f>
        <v/>
      </c>
    </row>
    <row r="7139" spans="1:7" x14ac:dyDescent="0.3">
      <c r="A7139" t="s">
        <v>2048</v>
      </c>
      <c r="B7139" t="s">
        <v>2050</v>
      </c>
      <c r="C7139">
        <v>16</v>
      </c>
      <c r="D7139" t="s">
        <v>1447</v>
      </c>
      <c r="E7139" t="s">
        <v>2051</v>
      </c>
      <c r="F7139" t="s">
        <v>1741</v>
      </c>
      <c r="G7139" t="str">
        <f>IF(ISBLANK('Q 7'!G42),"",IF('Q 7'!G42="&lt;please select&gt;","",'Q 7'!G42))</f>
        <v/>
      </c>
    </row>
    <row r="7140" spans="1:7" x14ac:dyDescent="0.3">
      <c r="A7140" t="s">
        <v>2048</v>
      </c>
      <c r="B7140" t="s">
        <v>2050</v>
      </c>
      <c r="C7140">
        <v>17</v>
      </c>
      <c r="D7140" t="s">
        <v>1447</v>
      </c>
      <c r="E7140" t="s">
        <v>2051</v>
      </c>
      <c r="F7140" t="s">
        <v>1741</v>
      </c>
      <c r="G7140" t="str">
        <f>IF(ISBLANK('Q 7'!G43),"",IF('Q 7'!G43="&lt;please select&gt;","",'Q 7'!G43))</f>
        <v/>
      </c>
    </row>
    <row r="7141" spans="1:7" x14ac:dyDescent="0.3">
      <c r="A7141" t="s">
        <v>2048</v>
      </c>
      <c r="B7141" t="s">
        <v>2050</v>
      </c>
      <c r="C7141">
        <v>18</v>
      </c>
      <c r="D7141" t="s">
        <v>1447</v>
      </c>
      <c r="E7141" t="s">
        <v>2051</v>
      </c>
      <c r="F7141" t="s">
        <v>1741</v>
      </c>
      <c r="G7141" t="str">
        <f>IF(ISBLANK('Q 7'!G44),"",IF('Q 7'!G44="&lt;please select&gt;","",'Q 7'!G44))</f>
        <v/>
      </c>
    </row>
    <row r="7142" spans="1:7" x14ac:dyDescent="0.3">
      <c r="A7142" t="s">
        <v>2048</v>
      </c>
      <c r="B7142" t="s">
        <v>2050</v>
      </c>
      <c r="C7142">
        <v>19</v>
      </c>
      <c r="D7142" t="s">
        <v>1447</v>
      </c>
      <c r="E7142" t="s">
        <v>2051</v>
      </c>
      <c r="F7142" t="s">
        <v>1741</v>
      </c>
      <c r="G7142" t="str">
        <f>IF(ISBLANK('Q 7'!G45),"",IF('Q 7'!G45="&lt;please select&gt;","",'Q 7'!G45))</f>
        <v/>
      </c>
    </row>
    <row r="7143" spans="1:7" x14ac:dyDescent="0.3">
      <c r="A7143" t="s">
        <v>2048</v>
      </c>
      <c r="B7143" t="s">
        <v>2050</v>
      </c>
      <c r="C7143">
        <v>20</v>
      </c>
      <c r="D7143" t="s">
        <v>1447</v>
      </c>
      <c r="E7143" t="s">
        <v>2051</v>
      </c>
      <c r="F7143" t="s">
        <v>1741</v>
      </c>
      <c r="G7143" t="str">
        <f>IF(ISBLANK('Q 7'!G46),"",IF('Q 7'!G46="&lt;please select&gt;","",'Q 7'!G46))</f>
        <v/>
      </c>
    </row>
    <row r="7144" spans="1:7" x14ac:dyDescent="0.3">
      <c r="A7144" t="s">
        <v>2048</v>
      </c>
      <c r="B7144" t="s">
        <v>2050</v>
      </c>
      <c r="C7144">
        <v>21</v>
      </c>
      <c r="D7144" t="s">
        <v>1447</v>
      </c>
      <c r="E7144" t="s">
        <v>2051</v>
      </c>
      <c r="F7144" t="s">
        <v>1741</v>
      </c>
      <c r="G7144" t="str">
        <f>IF(ISBLANK('Q 7'!G47),"",IF('Q 7'!G47="&lt;please select&gt;","",'Q 7'!G47))</f>
        <v/>
      </c>
    </row>
    <row r="7145" spans="1:7" x14ac:dyDescent="0.3">
      <c r="A7145" t="s">
        <v>2048</v>
      </c>
      <c r="B7145" t="s">
        <v>2050</v>
      </c>
      <c r="C7145">
        <v>22</v>
      </c>
      <c r="D7145" t="s">
        <v>1447</v>
      </c>
      <c r="E7145" t="s">
        <v>2051</v>
      </c>
      <c r="F7145" t="s">
        <v>1741</v>
      </c>
      <c r="G7145" t="str">
        <f>IF(ISBLANK('Q 7'!G48),"",IF('Q 7'!G48="&lt;please select&gt;","",'Q 7'!G48))</f>
        <v/>
      </c>
    </row>
    <row r="7146" spans="1:7" x14ac:dyDescent="0.3">
      <c r="A7146" t="s">
        <v>2048</v>
      </c>
      <c r="B7146" t="s">
        <v>2050</v>
      </c>
      <c r="C7146">
        <v>23</v>
      </c>
      <c r="D7146" t="s">
        <v>1447</v>
      </c>
      <c r="E7146" t="s">
        <v>2051</v>
      </c>
      <c r="F7146" t="s">
        <v>1741</v>
      </c>
      <c r="G7146" t="str">
        <f>IF(ISBLANK('Q 7'!G49),"",IF('Q 7'!G49="&lt;please select&gt;","",'Q 7'!G49))</f>
        <v/>
      </c>
    </row>
    <row r="7147" spans="1:7" x14ac:dyDescent="0.3">
      <c r="A7147" t="s">
        <v>2048</v>
      </c>
      <c r="B7147" t="s">
        <v>2050</v>
      </c>
      <c r="C7147">
        <v>24</v>
      </c>
      <c r="D7147" t="s">
        <v>1447</v>
      </c>
      <c r="E7147" t="s">
        <v>2051</v>
      </c>
      <c r="F7147" t="s">
        <v>1741</v>
      </c>
      <c r="G7147" t="str">
        <f>IF(ISBLANK('Q 7'!G50),"",IF('Q 7'!G50="&lt;please select&gt;","",'Q 7'!G50))</f>
        <v/>
      </c>
    </row>
    <row r="7148" spans="1:7" x14ac:dyDescent="0.3">
      <c r="A7148" t="s">
        <v>2048</v>
      </c>
      <c r="B7148" t="s">
        <v>2050</v>
      </c>
      <c r="C7148">
        <v>25</v>
      </c>
      <c r="D7148" t="s">
        <v>1447</v>
      </c>
      <c r="E7148" t="s">
        <v>2051</v>
      </c>
      <c r="F7148" t="s">
        <v>1741</v>
      </c>
      <c r="G7148" t="str">
        <f>IF(ISBLANK('Q 7'!G51),"",IF('Q 7'!G51="&lt;please select&gt;","",'Q 7'!G51))</f>
        <v/>
      </c>
    </row>
    <row r="7149" spans="1:7" x14ac:dyDescent="0.3">
      <c r="A7149" t="s">
        <v>2048</v>
      </c>
      <c r="B7149" t="s">
        <v>2050</v>
      </c>
      <c r="C7149">
        <v>26</v>
      </c>
      <c r="D7149" t="s">
        <v>1447</v>
      </c>
      <c r="E7149" t="s">
        <v>2051</v>
      </c>
      <c r="F7149" t="s">
        <v>1741</v>
      </c>
      <c r="G7149" t="str">
        <f>IF(ISBLANK('Q 7'!G52),"",IF('Q 7'!G52="&lt;please select&gt;","",'Q 7'!G52))</f>
        <v/>
      </c>
    </row>
    <row r="7150" spans="1:7" x14ac:dyDescent="0.3">
      <c r="A7150" t="s">
        <v>2048</v>
      </c>
      <c r="B7150" t="s">
        <v>2050</v>
      </c>
      <c r="C7150">
        <v>27</v>
      </c>
      <c r="D7150" t="s">
        <v>1447</v>
      </c>
      <c r="E7150" t="s">
        <v>2051</v>
      </c>
      <c r="F7150" t="s">
        <v>1741</v>
      </c>
      <c r="G7150" t="str">
        <f>IF(ISBLANK('Q 7'!G53),"",IF('Q 7'!G53="&lt;please select&gt;","",'Q 7'!G53))</f>
        <v/>
      </c>
    </row>
    <row r="7151" spans="1:7" x14ac:dyDescent="0.3">
      <c r="A7151" t="s">
        <v>2048</v>
      </c>
      <c r="B7151" t="s">
        <v>2050</v>
      </c>
      <c r="C7151">
        <v>28</v>
      </c>
      <c r="D7151" t="s">
        <v>1447</v>
      </c>
      <c r="E7151" t="s">
        <v>2051</v>
      </c>
      <c r="F7151" t="s">
        <v>1741</v>
      </c>
      <c r="G7151" t="str">
        <f>IF(ISBLANK('Q 7'!G54),"",IF('Q 7'!G54="&lt;please select&gt;","",'Q 7'!G54))</f>
        <v/>
      </c>
    </row>
    <row r="7152" spans="1:7" x14ac:dyDescent="0.3">
      <c r="A7152" t="s">
        <v>2048</v>
      </c>
      <c r="B7152" t="s">
        <v>2050</v>
      </c>
      <c r="C7152">
        <v>29</v>
      </c>
      <c r="D7152" t="s">
        <v>1447</v>
      </c>
      <c r="E7152" t="s">
        <v>2051</v>
      </c>
      <c r="F7152" t="s">
        <v>1741</v>
      </c>
      <c r="G7152" t="str">
        <f>IF(ISBLANK('Q 7'!G55),"",IF('Q 7'!G55="&lt;please select&gt;","",'Q 7'!G55))</f>
        <v/>
      </c>
    </row>
    <row r="7153" spans="1:11" x14ac:dyDescent="0.3">
      <c r="A7153" t="s">
        <v>2048</v>
      </c>
      <c r="B7153" t="s">
        <v>2050</v>
      </c>
      <c r="C7153">
        <v>30</v>
      </c>
      <c r="D7153" t="s">
        <v>1447</v>
      </c>
      <c r="E7153" t="s">
        <v>2051</v>
      </c>
      <c r="F7153" t="s">
        <v>1741</v>
      </c>
      <c r="G7153" t="str">
        <f>IF(ISBLANK('Q 7'!G56),"",IF('Q 7'!G56="&lt;please select&gt;","",'Q 7'!G56))</f>
        <v/>
      </c>
    </row>
    <row r="7154" spans="1:11" x14ac:dyDescent="0.3">
      <c r="A7154" t="s">
        <v>2048</v>
      </c>
      <c r="B7154" t="s">
        <v>2050</v>
      </c>
      <c r="C7154">
        <v>31</v>
      </c>
      <c r="D7154" t="s">
        <v>1447</v>
      </c>
      <c r="E7154" t="s">
        <v>2051</v>
      </c>
      <c r="F7154" t="s">
        <v>1741</v>
      </c>
      <c r="G7154" t="str">
        <f>IF(ISBLANK('Q 7'!G57),"",IF('Q 7'!G57="&lt;please select&gt;","",'Q 7'!G57))</f>
        <v/>
      </c>
    </row>
    <row r="7155" spans="1:11" x14ac:dyDescent="0.3">
      <c r="A7155" t="s">
        <v>2048</v>
      </c>
      <c r="B7155" t="s">
        <v>2050</v>
      </c>
      <c r="C7155">
        <v>32</v>
      </c>
      <c r="D7155" t="s">
        <v>1447</v>
      </c>
      <c r="E7155" t="s">
        <v>2051</v>
      </c>
      <c r="F7155" t="s">
        <v>1741</v>
      </c>
      <c r="G7155" t="str">
        <f>IF(ISBLANK('Q 7'!G58),"",IF('Q 7'!G58="&lt;please select&gt;","",'Q 7'!G58))</f>
        <v/>
      </c>
    </row>
    <row r="7156" spans="1:11" x14ac:dyDescent="0.3">
      <c r="A7156" t="s">
        <v>2048</v>
      </c>
      <c r="B7156" t="s">
        <v>2050</v>
      </c>
      <c r="C7156">
        <v>33</v>
      </c>
      <c r="D7156" t="s">
        <v>1447</v>
      </c>
      <c r="E7156" t="s">
        <v>2051</v>
      </c>
      <c r="F7156" t="s">
        <v>1741</v>
      </c>
      <c r="G7156" t="str">
        <f>IF(ISBLANK('Q 7'!G59),"",IF('Q 7'!G59="&lt;please select&gt;","",'Q 7'!G59))</f>
        <v/>
      </c>
    </row>
    <row r="7157" spans="1:11" x14ac:dyDescent="0.3">
      <c r="A7157" t="s">
        <v>2048</v>
      </c>
      <c r="B7157" t="s">
        <v>2050</v>
      </c>
      <c r="C7157">
        <v>34</v>
      </c>
      <c r="D7157" t="s">
        <v>1447</v>
      </c>
      <c r="E7157" t="s">
        <v>2051</v>
      </c>
      <c r="F7157" t="s">
        <v>1741</v>
      </c>
      <c r="G7157" t="str">
        <f>IF(ISBLANK('Q 7'!G60),"",IF('Q 7'!G60="&lt;please select&gt;","",'Q 7'!G60))</f>
        <v/>
      </c>
    </row>
    <row r="7158" spans="1:11" x14ac:dyDescent="0.3">
      <c r="A7158" t="s">
        <v>2048</v>
      </c>
      <c r="B7158" t="s">
        <v>2050</v>
      </c>
      <c r="C7158">
        <v>35</v>
      </c>
      <c r="D7158" t="s">
        <v>1447</v>
      </c>
      <c r="E7158" t="s">
        <v>2051</v>
      </c>
      <c r="F7158" t="s">
        <v>1741</v>
      </c>
      <c r="G7158" t="str">
        <f>IF(ISBLANK('Q 7'!G61),"",IF('Q 7'!G61="&lt;please select&gt;","",'Q 7'!G61))</f>
        <v/>
      </c>
    </row>
    <row r="7159" spans="1:11" x14ac:dyDescent="0.3">
      <c r="A7159" t="s">
        <v>2048</v>
      </c>
      <c r="B7159" t="s">
        <v>2050</v>
      </c>
      <c r="C7159">
        <v>36</v>
      </c>
      <c r="D7159" t="s">
        <v>1447</v>
      </c>
      <c r="E7159" t="s">
        <v>2051</v>
      </c>
      <c r="F7159" t="s">
        <v>1741</v>
      </c>
      <c r="G7159" t="str">
        <f>IF(ISBLANK('Q 7'!G62),"",IF('Q 7'!G62="&lt;please select&gt;","",'Q 7'!G62))</f>
        <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
      </c>
    </row>
    <row r="7169" spans="1:11" x14ac:dyDescent="0.3">
      <c r="A7169" t="s">
        <v>2052</v>
      </c>
      <c r="B7169" t="s">
        <v>2054</v>
      </c>
      <c r="C7169">
        <v>1</v>
      </c>
      <c r="D7169" t="s">
        <v>1447</v>
      </c>
      <c r="E7169" t="s">
        <v>1837</v>
      </c>
      <c r="F7169" t="s">
        <v>1741</v>
      </c>
      <c r="G7169" t="str">
        <f>IF(ISBLANK('Q 8'!G9),"",IF('Q 8'!G9="&lt;please select&gt;","",'Q 8'!G9))</f>
        <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
      </c>
    </row>
    <row r="7173" spans="1:11" x14ac:dyDescent="0.3">
      <c r="A7173" t="s">
        <v>2055</v>
      </c>
      <c r="B7173" t="s">
        <v>2056</v>
      </c>
      <c r="C7173">
        <v>0</v>
      </c>
      <c r="D7173" t="s">
        <v>1447</v>
      </c>
      <c r="E7173" t="s">
        <v>2056</v>
      </c>
      <c r="F7173" t="s">
        <v>1759</v>
      </c>
      <c r="K7173" t="str">
        <f>IF(ISBLANK('Q 8'!I17),"",IF('Q 8'!I17="&lt;please select&gt;","",'Q 8'!I17))</f>
        <v>No</v>
      </c>
    </row>
    <row r="7174" spans="1:11" x14ac:dyDescent="0.3">
      <c r="A7174" t="s">
        <v>2055</v>
      </c>
      <c r="B7174" t="s">
        <v>2057</v>
      </c>
      <c r="C7174">
        <v>1</v>
      </c>
      <c r="D7174" t="s">
        <v>1447</v>
      </c>
      <c r="E7174" t="s">
        <v>2058</v>
      </c>
      <c r="F7174" t="s">
        <v>1806</v>
      </c>
      <c r="I7174" s="165" t="str">
        <f>IF(ISBLANK('Q 8'!G20),"",IF('Q 8'!G20="&lt;please select&gt;","",'Q 8'!G20))</f>
        <v/>
      </c>
    </row>
    <row r="7175" spans="1:11" x14ac:dyDescent="0.3">
      <c r="A7175" t="s">
        <v>2055</v>
      </c>
      <c r="B7175" t="s">
        <v>2057</v>
      </c>
      <c r="C7175">
        <v>2</v>
      </c>
      <c r="D7175" t="s">
        <v>1447</v>
      </c>
      <c r="E7175" t="s">
        <v>2058</v>
      </c>
      <c r="F7175" t="s">
        <v>1806</v>
      </c>
      <c r="I7175" s="165" t="str">
        <f>IF(ISBLANK('Q 8'!G21),"",IF('Q 8'!G21="&lt;please select&gt;","",'Q 8'!G21))</f>
        <v/>
      </c>
    </row>
    <row r="7176" spans="1:11" x14ac:dyDescent="0.3">
      <c r="A7176" t="s">
        <v>2055</v>
      </c>
      <c r="B7176" t="s">
        <v>2057</v>
      </c>
      <c r="C7176">
        <v>3</v>
      </c>
      <c r="D7176" t="s">
        <v>1419</v>
      </c>
      <c r="E7176" t="s">
        <v>2058</v>
      </c>
      <c r="F7176" t="s">
        <v>1806</v>
      </c>
      <c r="I7176" s="165" t="str">
        <f>IF(ISBLANK('Q 8'!G22),"",IF('Q 8'!G22="&lt;please select&gt;","",'Q 8'!G22))</f>
        <v/>
      </c>
    </row>
    <row r="7177" spans="1:11" x14ac:dyDescent="0.3">
      <c r="A7177" t="s">
        <v>2055</v>
      </c>
      <c r="B7177" t="s">
        <v>2057</v>
      </c>
      <c r="C7177">
        <v>4</v>
      </c>
      <c r="D7177" t="s">
        <v>1419</v>
      </c>
      <c r="E7177" t="s">
        <v>2058</v>
      </c>
      <c r="F7177" t="s">
        <v>1806</v>
      </c>
      <c r="I7177" s="165" t="str">
        <f>IF(ISBLANK('Q 8'!G23),"",IF('Q 8'!G23="&lt;please select&gt;","",'Q 8'!G23))</f>
        <v/>
      </c>
    </row>
    <row r="7178" spans="1:11" x14ac:dyDescent="0.3">
      <c r="A7178" t="s">
        <v>2055</v>
      </c>
      <c r="B7178" t="s">
        <v>2057</v>
      </c>
      <c r="C7178">
        <v>5</v>
      </c>
      <c r="D7178" t="s">
        <v>1419</v>
      </c>
      <c r="E7178" t="s">
        <v>2058</v>
      </c>
      <c r="F7178" t="s">
        <v>1806</v>
      </c>
      <c r="I7178" s="165" t="str">
        <f>IF(ISBLANK('Q 8'!G24),"",IF('Q 8'!G24="&lt;please select&gt;","",'Q 8'!G24))</f>
        <v/>
      </c>
    </row>
    <row r="7179" spans="1:11" x14ac:dyDescent="0.3">
      <c r="A7179" t="s">
        <v>2055</v>
      </c>
      <c r="B7179" t="s">
        <v>2057</v>
      </c>
      <c r="C7179">
        <v>6</v>
      </c>
      <c r="D7179" t="s">
        <v>1419</v>
      </c>
      <c r="E7179" t="s">
        <v>2058</v>
      </c>
      <c r="F7179" t="s">
        <v>1806</v>
      </c>
      <c r="I7179" s="165" t="str">
        <f>IF(ISBLANK('Q 8'!G25),"",IF('Q 8'!G25="&lt;please select&gt;","",'Q 8'!G25))</f>
        <v/>
      </c>
    </row>
    <row r="7180" spans="1:11" x14ac:dyDescent="0.3">
      <c r="A7180" t="s">
        <v>2055</v>
      </c>
      <c r="B7180" t="s">
        <v>2057</v>
      </c>
      <c r="C7180">
        <v>3</v>
      </c>
      <c r="D7180" t="s">
        <v>1419</v>
      </c>
      <c r="E7180" t="s">
        <v>2059</v>
      </c>
      <c r="F7180" t="s">
        <v>1791</v>
      </c>
      <c r="J7180" t="str">
        <f>IF(ISBLANK('Q 8'!E22),"",IF('Q 8'!E22="&lt;please select&gt;","",'Q 8'!E22))</f>
        <v/>
      </c>
    </row>
    <row r="7181" spans="1:11" x14ac:dyDescent="0.3">
      <c r="A7181" t="s">
        <v>2055</v>
      </c>
      <c r="B7181" t="s">
        <v>2057</v>
      </c>
      <c r="C7181">
        <v>4</v>
      </c>
      <c r="D7181" t="s">
        <v>1419</v>
      </c>
      <c r="E7181" t="s">
        <v>2059</v>
      </c>
      <c r="F7181" t="s">
        <v>1791</v>
      </c>
      <c r="J7181" t="str">
        <f>IF(ISBLANK('Q 8'!E23),"",IF('Q 8'!E23="&lt;please select&gt;","",'Q 8'!E23))</f>
        <v/>
      </c>
    </row>
    <row r="7182" spans="1:11" x14ac:dyDescent="0.3">
      <c r="A7182" t="s">
        <v>2055</v>
      </c>
      <c r="B7182" t="s">
        <v>2057</v>
      </c>
      <c r="C7182">
        <v>5</v>
      </c>
      <c r="D7182" t="s">
        <v>1419</v>
      </c>
      <c r="E7182" t="s">
        <v>2059</v>
      </c>
      <c r="F7182" t="s">
        <v>1791</v>
      </c>
      <c r="J7182" t="str">
        <f>IF(ISBLANK('Q 8'!E24),"",IF('Q 8'!E24="&lt;please select&gt;","",'Q 8'!E24))</f>
        <v/>
      </c>
    </row>
    <row r="7183" spans="1:11" x14ac:dyDescent="0.3">
      <c r="A7183" t="s">
        <v>2055</v>
      </c>
      <c r="B7183" t="s">
        <v>2057</v>
      </c>
      <c r="C7183">
        <v>6</v>
      </c>
      <c r="D7183" t="s">
        <v>1419</v>
      </c>
      <c r="E7183" t="s">
        <v>2059</v>
      </c>
      <c r="F7183" t="s">
        <v>1791</v>
      </c>
      <c r="J7183" t="str">
        <f>IF(ISBLANK('Q 8'!E25),"",IF('Q 8'!E25="&lt;please select&gt;","",'Q 8'!E25))</f>
        <v/>
      </c>
    </row>
    <row r="7184" spans="1:11" x14ac:dyDescent="0.3">
      <c r="A7184" t="s">
        <v>2060</v>
      </c>
      <c r="B7184" t="s">
        <v>2061</v>
      </c>
      <c r="C7184">
        <v>0</v>
      </c>
      <c r="D7184" t="s">
        <v>1447</v>
      </c>
      <c r="E7184" t="s">
        <v>2061</v>
      </c>
      <c r="F7184" t="s">
        <v>1759</v>
      </c>
      <c r="K7184" t="str">
        <f>IF(ISBLANK('Q 8'!$I$29),"",IF('Q 8'!$I$29="&lt;please select&gt;","",'Q 8'!$I$29))</f>
        <v>No</v>
      </c>
    </row>
    <row r="7185" spans="1:11" x14ac:dyDescent="0.3">
      <c r="A7185" t="s">
        <v>2062</v>
      </c>
      <c r="B7185" t="s">
        <v>2063</v>
      </c>
      <c r="C7185">
        <v>1</v>
      </c>
      <c r="D7185" t="s">
        <v>1447</v>
      </c>
      <c r="E7185" t="s">
        <v>1798</v>
      </c>
      <c r="F7185" t="s">
        <v>1748</v>
      </c>
      <c r="H7185" s="165" t="str">
        <f>IF(ISBLANK('Q 8'!$G33),"",IF('Q 8'!$G33="&lt;please select&gt;","",'Q 8'!$G33))</f>
        <v>0</v>
      </c>
    </row>
    <row r="7186" spans="1:11" x14ac:dyDescent="0.3">
      <c r="A7186" t="s">
        <v>2062</v>
      </c>
      <c r="B7186" t="s">
        <v>2063</v>
      </c>
      <c r="C7186">
        <v>2</v>
      </c>
      <c r="D7186" t="s">
        <v>1447</v>
      </c>
      <c r="E7186" t="s">
        <v>1798</v>
      </c>
      <c r="F7186" t="s">
        <v>1748</v>
      </c>
      <c r="H7186" s="165" t="str">
        <f>IF(ISBLANK('Q 8'!$G34),"",IF('Q 8'!$G34="&lt;please select&gt;","",'Q 8'!$G34))</f>
        <v>24</v>
      </c>
    </row>
    <row r="7187" spans="1:11" x14ac:dyDescent="0.3">
      <c r="A7187" t="s">
        <v>2062</v>
      </c>
      <c r="B7187" t="s">
        <v>2063</v>
      </c>
      <c r="C7187">
        <v>3</v>
      </c>
      <c r="D7187" t="s">
        <v>1447</v>
      </c>
      <c r="E7187" t="s">
        <v>1798</v>
      </c>
      <c r="F7187" t="s">
        <v>1748</v>
      </c>
      <c r="H7187" s="165" t="str">
        <f>IF(ISBLANK('Q 8'!$G35),"",IF('Q 8'!$G35="&lt;please select&gt;","",'Q 8'!$G35))</f>
        <v>0</v>
      </c>
    </row>
    <row r="7188" spans="1:11" x14ac:dyDescent="0.3">
      <c r="A7188" t="s">
        <v>2064</v>
      </c>
      <c r="B7188" t="s">
        <v>2065</v>
      </c>
      <c r="C7188">
        <v>0</v>
      </c>
      <c r="D7188" t="s">
        <v>1447</v>
      </c>
      <c r="E7188" t="s">
        <v>2065</v>
      </c>
      <c r="F7188" t="s">
        <v>1759</v>
      </c>
      <c r="K7188" t="str">
        <f>IF(ISBLANK('Q 8'!$I$37),"",IF('Q 8'!$I$37="&lt;please select&gt;","",'Q 8'!$I$37))</f>
        <v>No</v>
      </c>
    </row>
    <row r="7189" spans="1:11" x14ac:dyDescent="0.3">
      <c r="A7189" t="s">
        <v>2064</v>
      </c>
      <c r="B7189" t="s">
        <v>2066</v>
      </c>
      <c r="C7189">
        <v>1</v>
      </c>
      <c r="D7189" t="s">
        <v>1447</v>
      </c>
      <c r="E7189" t="s">
        <v>2067</v>
      </c>
      <c r="F7189" t="s">
        <v>1748</v>
      </c>
      <c r="H7189" s="165" t="str">
        <f>IF(ISBLANK('Q 8'!$C$40),"",IF('Q 8'!$C$40="&lt;please select&gt;","",'Q 8'!$C$40))</f>
        <v/>
      </c>
    </row>
    <row r="7190" spans="1:11" x14ac:dyDescent="0.3">
      <c r="A7190" t="s">
        <v>2064</v>
      </c>
      <c r="B7190" t="s">
        <v>2066</v>
      </c>
      <c r="C7190">
        <v>1</v>
      </c>
      <c r="D7190" t="s">
        <v>1447</v>
      </c>
      <c r="E7190" t="s">
        <v>2068</v>
      </c>
      <c r="F7190" t="s">
        <v>1748</v>
      </c>
      <c r="H7190" s="165" t="str">
        <f>IF(ISBLANK('Q 8'!$G$40),"",IF('Q 8'!$G$40="&lt;please select&gt;","",'Q 8'!$G$40))</f>
        <v/>
      </c>
    </row>
    <row r="7191" spans="1:11" x14ac:dyDescent="0.3">
      <c r="A7191" t="s">
        <v>2064</v>
      </c>
      <c r="B7191" t="s">
        <v>2069</v>
      </c>
      <c r="C7191">
        <v>0</v>
      </c>
      <c r="D7191" t="s">
        <v>1447</v>
      </c>
      <c r="E7191" t="s">
        <v>2069</v>
      </c>
      <c r="F7191" t="s">
        <v>1759</v>
      </c>
      <c r="K7191" t="str">
        <f>IF(ISBLANK('Q 8'!$I$42),"",IF('Q 8'!$I$42="&lt;please select&gt;","",'Q 8'!$I$42))</f>
        <v>No</v>
      </c>
    </row>
    <row r="7192" spans="1:11" x14ac:dyDescent="0.3">
      <c r="A7192" t="s">
        <v>2064</v>
      </c>
      <c r="B7192" t="s">
        <v>2070</v>
      </c>
      <c r="C7192">
        <v>1</v>
      </c>
      <c r="D7192" t="s">
        <v>1447</v>
      </c>
      <c r="E7192" t="s">
        <v>2067</v>
      </c>
      <c r="F7192" t="s">
        <v>1748</v>
      </c>
      <c r="H7192" s="165" t="str">
        <f>IF(ISBLANK('Q 8'!$C$45),"",IF('Q 8'!$C$45="&lt;please select&gt;","",'Q 8'!$C$45))</f>
        <v/>
      </c>
    </row>
    <row r="7193" spans="1:11" x14ac:dyDescent="0.3">
      <c r="A7193" t="s">
        <v>2064</v>
      </c>
      <c r="B7193" t="s">
        <v>2070</v>
      </c>
      <c r="C7193">
        <v>1</v>
      </c>
      <c r="D7193" t="s">
        <v>1447</v>
      </c>
      <c r="E7193" t="s">
        <v>2068</v>
      </c>
      <c r="F7193" t="s">
        <v>1748</v>
      </c>
      <c r="H7193" s="165" t="str">
        <f>IF(ISBLANK('Q 8'!$G$45),"",IF('Q 8'!$G$45="&lt;please select&gt;","",'Q 8'!$G$45))</f>
        <v/>
      </c>
    </row>
    <row r="7194" spans="1:11" x14ac:dyDescent="0.3">
      <c r="A7194" t="s">
        <v>2064</v>
      </c>
      <c r="B7194" t="s">
        <v>2071</v>
      </c>
      <c r="C7194">
        <v>0</v>
      </c>
      <c r="D7194" t="s">
        <v>1447</v>
      </c>
      <c r="E7194" t="s">
        <v>2071</v>
      </c>
      <c r="F7194" t="s">
        <v>1759</v>
      </c>
      <c r="K7194" t="str">
        <f>IF(ISBLANK('Q 8'!$I$47),"",IF('Q 8'!$I$47="&lt;please select&gt;","",'Q 8'!$I$47))</f>
        <v>No</v>
      </c>
    </row>
    <row r="7195" spans="1:11" x14ac:dyDescent="0.3">
      <c r="A7195" t="s">
        <v>2064</v>
      </c>
      <c r="B7195" t="s">
        <v>2072</v>
      </c>
      <c r="C7195">
        <v>1</v>
      </c>
      <c r="D7195" t="s">
        <v>1447</v>
      </c>
      <c r="E7195" t="s">
        <v>2067</v>
      </c>
      <c r="F7195" t="s">
        <v>1748</v>
      </c>
      <c r="H7195" s="165" t="str">
        <f>IF(ISBLANK('Q 8'!$C$50),"",IF('Q 8'!$C$50="&lt;please select&gt;","",'Q 8'!$C$50))</f>
        <v/>
      </c>
    </row>
    <row r="7196" spans="1:11" x14ac:dyDescent="0.3">
      <c r="A7196" t="s">
        <v>2064</v>
      </c>
      <c r="B7196" t="s">
        <v>2072</v>
      </c>
      <c r="C7196">
        <v>1</v>
      </c>
      <c r="D7196" t="s">
        <v>1447</v>
      </c>
      <c r="E7196" t="s">
        <v>2068</v>
      </c>
      <c r="F7196" t="s">
        <v>1748</v>
      </c>
      <c r="H7196" s="165" t="str">
        <f>IF(ISBLANK('Q 8'!$G$50),"",IF('Q 8'!$G$50="&lt;please select&gt;","",'Q 8'!$G$50))</f>
        <v/>
      </c>
    </row>
    <row r="7197" spans="1:11" x14ac:dyDescent="0.3">
      <c r="A7197" t="s">
        <v>2073</v>
      </c>
      <c r="B7197" t="s">
        <v>2074</v>
      </c>
      <c r="C7197">
        <v>1</v>
      </c>
      <c r="D7197" t="s">
        <v>1447</v>
      </c>
      <c r="E7197" t="s">
        <v>1798</v>
      </c>
      <c r="F7197" t="s">
        <v>1748</v>
      </c>
      <c r="H7197" s="165" t="str">
        <f>IF(ISBLANK('Q 8'!$G54),"",IF('Q 8'!$G54="&lt;please select&gt;","",'Q 8'!$G54))</f>
        <v/>
      </c>
    </row>
    <row r="7198" spans="1:11" x14ac:dyDescent="0.3">
      <c r="A7198" t="s">
        <v>2073</v>
      </c>
      <c r="B7198" t="s">
        <v>2074</v>
      </c>
      <c r="C7198">
        <v>2</v>
      </c>
      <c r="D7198" t="s">
        <v>1447</v>
      </c>
      <c r="E7198" t="s">
        <v>1798</v>
      </c>
      <c r="F7198" t="s">
        <v>1748</v>
      </c>
      <c r="H7198" s="165" t="str">
        <f>IF(ISBLANK('Q 8'!$G55),"",IF('Q 8'!$G55="&lt;please select&gt;","",'Q 8'!$G55))</f>
        <v/>
      </c>
    </row>
    <row r="7199" spans="1:11" x14ac:dyDescent="0.3">
      <c r="A7199" t="s">
        <v>2073</v>
      </c>
      <c r="B7199" t="s">
        <v>2074</v>
      </c>
      <c r="C7199">
        <v>3</v>
      </c>
      <c r="D7199" t="s">
        <v>1447</v>
      </c>
      <c r="E7199" t="s">
        <v>1798</v>
      </c>
      <c r="F7199" t="s">
        <v>1748</v>
      </c>
      <c r="H7199" s="165" t="str">
        <f>IF(ISBLANK('Q 8'!$G56),"",IF('Q 8'!$G56="&lt;please select&gt;","",'Q 8'!$G56))</f>
        <v/>
      </c>
    </row>
    <row r="7200" spans="1:11" x14ac:dyDescent="0.3">
      <c r="A7200" t="s">
        <v>2073</v>
      </c>
      <c r="B7200" t="s">
        <v>2074</v>
      </c>
      <c r="C7200">
        <v>4</v>
      </c>
      <c r="D7200" t="s">
        <v>1447</v>
      </c>
      <c r="E7200" t="s">
        <v>1798</v>
      </c>
      <c r="F7200" t="s">
        <v>1748</v>
      </c>
      <c r="H7200" s="165" t="str">
        <f>IF(ISBLANK('Q 8'!$G57),"",IF('Q 8'!$G57="&lt;please select&gt;","",'Q 8'!$G57))</f>
        <v/>
      </c>
    </row>
    <row r="7201" spans="1:11" x14ac:dyDescent="0.3">
      <c r="A7201" t="s">
        <v>2073</v>
      </c>
      <c r="B7201" t="s">
        <v>2074</v>
      </c>
      <c r="C7201">
        <v>5</v>
      </c>
      <c r="D7201" t="s">
        <v>1447</v>
      </c>
      <c r="E7201" t="s">
        <v>1798</v>
      </c>
      <c r="F7201" t="s">
        <v>1748</v>
      </c>
      <c r="H7201" s="165" t="str">
        <f>IF(ISBLANK('Q 8'!$G58),"",IF('Q 8'!$G58="&lt;please select&gt;","",'Q 8'!$G58))</f>
        <v/>
      </c>
    </row>
    <row r="7202" spans="1:11" x14ac:dyDescent="0.3">
      <c r="A7202" t="s">
        <v>2073</v>
      </c>
      <c r="B7202" t="s">
        <v>2074</v>
      </c>
      <c r="C7202">
        <v>6</v>
      </c>
      <c r="D7202" t="s">
        <v>1419</v>
      </c>
      <c r="E7202" t="s">
        <v>1798</v>
      </c>
      <c r="F7202" t="s">
        <v>1748</v>
      </c>
      <c r="H7202" s="165" t="str">
        <f>IF(ISBLANK('Q 8'!$G59),"",IF('Q 8'!$G59="&lt;please select&gt;","",'Q 8'!$G59))</f>
        <v/>
      </c>
    </row>
    <row r="7203" spans="1:11" x14ac:dyDescent="0.3">
      <c r="A7203" t="s">
        <v>2073</v>
      </c>
      <c r="B7203" t="s">
        <v>2074</v>
      </c>
      <c r="C7203">
        <v>7</v>
      </c>
      <c r="D7203" t="s">
        <v>1419</v>
      </c>
      <c r="E7203" t="s">
        <v>1798</v>
      </c>
      <c r="F7203" t="s">
        <v>1748</v>
      </c>
      <c r="H7203" s="165" t="str">
        <f>IF(ISBLANK('Q 8'!$G60),"",IF('Q 8'!$G60="&lt;please select&gt;","",'Q 8'!$G60))</f>
        <v/>
      </c>
    </row>
    <row r="7204" spans="1:11" x14ac:dyDescent="0.3">
      <c r="A7204" t="s">
        <v>2073</v>
      </c>
      <c r="B7204" t="s">
        <v>2074</v>
      </c>
      <c r="C7204">
        <v>8</v>
      </c>
      <c r="D7204" t="s">
        <v>1419</v>
      </c>
      <c r="E7204" t="s">
        <v>1798</v>
      </c>
      <c r="F7204" t="s">
        <v>1748</v>
      </c>
      <c r="H7204" s="165" t="str">
        <f>IF(ISBLANK('Q 8'!$G61),"",IF('Q 8'!$G61="&lt;please select&gt;","",'Q 8'!$G61))</f>
        <v/>
      </c>
    </row>
    <row r="7205" spans="1:11" x14ac:dyDescent="0.3">
      <c r="A7205" t="s">
        <v>2073</v>
      </c>
      <c r="B7205" t="s">
        <v>2074</v>
      </c>
      <c r="C7205">
        <v>9</v>
      </c>
      <c r="D7205" t="s">
        <v>1419</v>
      </c>
      <c r="E7205" t="s">
        <v>1798</v>
      </c>
      <c r="F7205" t="s">
        <v>1748</v>
      </c>
      <c r="H7205" s="165" t="str">
        <f>IF(ISBLANK('Q 8'!$G62),"",IF('Q 8'!$G62="&lt;please select&gt;","",'Q 8'!$G62))</f>
        <v/>
      </c>
    </row>
    <row r="7206" spans="1:11" x14ac:dyDescent="0.3">
      <c r="A7206" t="s">
        <v>2073</v>
      </c>
      <c r="B7206" t="s">
        <v>2074</v>
      </c>
      <c r="C7206">
        <v>6</v>
      </c>
      <c r="D7206" t="s">
        <v>1419</v>
      </c>
      <c r="E7206" t="s">
        <v>2075</v>
      </c>
      <c r="F7206" t="s">
        <v>1791</v>
      </c>
      <c r="J7206" t="str">
        <f>IF(ISBLANK('Q 8'!E59),"",IF('Q 8'!E59="&lt;please select&gt;","",'Q 8'!E59))</f>
        <v/>
      </c>
    </row>
    <row r="7207" spans="1:11" x14ac:dyDescent="0.3">
      <c r="A7207" t="s">
        <v>2073</v>
      </c>
      <c r="B7207" t="s">
        <v>2074</v>
      </c>
      <c r="C7207">
        <v>7</v>
      </c>
      <c r="D7207" t="s">
        <v>1419</v>
      </c>
      <c r="E7207" t="s">
        <v>2075</v>
      </c>
      <c r="F7207" t="s">
        <v>1791</v>
      </c>
      <c r="J7207" t="str">
        <f>IF(ISBLANK('Q 8'!E60),"",IF('Q 8'!E60="&lt;please select&gt;","",'Q 8'!E60))</f>
        <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
      </c>
    </row>
    <row r="7214" spans="1:11" x14ac:dyDescent="0.3">
      <c r="A7214" t="s">
        <v>2080</v>
      </c>
      <c r="B7214" t="s">
        <v>2081</v>
      </c>
      <c r="C7214">
        <v>2</v>
      </c>
      <c r="D7214" t="s">
        <v>1447</v>
      </c>
      <c r="E7214" t="s">
        <v>1798</v>
      </c>
      <c r="F7214" t="s">
        <v>1748</v>
      </c>
      <c r="H7214" s="165" t="str">
        <f>IF(ISBLANK('Q 8'!$H76),"",IF('Q 8'!$H76="&lt;please select&gt;","",'Q 8'!$H76))</f>
        <v/>
      </c>
    </row>
    <row r="7215" spans="1:11" x14ac:dyDescent="0.3">
      <c r="A7215" t="s">
        <v>2080</v>
      </c>
      <c r="B7215" t="s">
        <v>2081</v>
      </c>
      <c r="C7215">
        <v>3</v>
      </c>
      <c r="D7215" t="s">
        <v>1447</v>
      </c>
      <c r="E7215" t="s">
        <v>1798</v>
      </c>
      <c r="F7215" t="s">
        <v>1748</v>
      </c>
      <c r="H7215" s="165" t="str">
        <f>IF(ISBLANK('Q 8'!$H77),"",IF('Q 8'!$H77="&lt;please select&gt;","",'Q 8'!$H77))</f>
        <v/>
      </c>
    </row>
    <row r="7216" spans="1:11" x14ac:dyDescent="0.3">
      <c r="A7216" t="s">
        <v>2082</v>
      </c>
      <c r="B7216" t="s">
        <v>2083</v>
      </c>
      <c r="C7216">
        <v>0</v>
      </c>
      <c r="D7216" t="s">
        <v>1447</v>
      </c>
      <c r="E7216" t="s">
        <v>2083</v>
      </c>
      <c r="F7216" t="s">
        <v>1759</v>
      </c>
      <c r="K7216" t="str">
        <f>IF(ISBLANK('Q 8'!$I$80),"",IF('Q 8'!$I$80="&lt;please select&gt;","",'Q 8'!$I$80))</f>
        <v>No</v>
      </c>
    </row>
    <row r="7217" spans="1:11" x14ac:dyDescent="0.3">
      <c r="A7217" t="s">
        <v>2082</v>
      </c>
      <c r="B7217" t="s">
        <v>2084</v>
      </c>
      <c r="C7217">
        <v>1</v>
      </c>
      <c r="D7217" t="s">
        <v>1447</v>
      </c>
      <c r="E7217" t="s">
        <v>1988</v>
      </c>
      <c r="F7217" t="s">
        <v>1737</v>
      </c>
      <c r="K7217" t="str">
        <f>IF(ISBLANK('Q 8'!$C83),"",IF('Q 8'!$C83="&lt;please select&gt;","",'Q 8'!$C83))</f>
        <v/>
      </c>
    </row>
    <row r="7218" spans="1:11" x14ac:dyDescent="0.3">
      <c r="A7218" t="s">
        <v>2082</v>
      </c>
      <c r="B7218" t="s">
        <v>2084</v>
      </c>
      <c r="C7218">
        <v>2</v>
      </c>
      <c r="D7218" t="s">
        <v>1447</v>
      </c>
      <c r="E7218" t="s">
        <v>1988</v>
      </c>
      <c r="F7218" t="s">
        <v>1737</v>
      </c>
      <c r="K7218" t="str">
        <f>IF(ISBLANK('Q 8'!$C84),"",IF('Q 8'!$C84="&lt;please select&gt;","",'Q 8'!$C84))</f>
        <v/>
      </c>
    </row>
    <row r="7219" spans="1:11" x14ac:dyDescent="0.3">
      <c r="A7219" t="s">
        <v>2082</v>
      </c>
      <c r="B7219" t="s">
        <v>2084</v>
      </c>
      <c r="C7219">
        <v>3</v>
      </c>
      <c r="D7219" t="s">
        <v>1447</v>
      </c>
      <c r="E7219" t="s">
        <v>1988</v>
      </c>
      <c r="F7219" t="s">
        <v>1737</v>
      </c>
      <c r="K7219" t="str">
        <f>IF(ISBLANK('Q 8'!$C85),"",IF('Q 8'!$C85="&lt;please select&gt;","",'Q 8'!$C85))</f>
        <v/>
      </c>
    </row>
    <row r="7220" spans="1:11" x14ac:dyDescent="0.3">
      <c r="A7220" t="s">
        <v>2082</v>
      </c>
      <c r="B7220" t="s">
        <v>2084</v>
      </c>
      <c r="C7220">
        <v>4</v>
      </c>
      <c r="D7220" t="s">
        <v>1447</v>
      </c>
      <c r="E7220" t="s">
        <v>1988</v>
      </c>
      <c r="F7220" t="s">
        <v>1737</v>
      </c>
      <c r="K7220" t="str">
        <f>IF(ISBLANK('Q 8'!$C86),"",IF('Q 8'!$C86="&lt;please select&gt;","",'Q 8'!$C86))</f>
        <v/>
      </c>
    </row>
    <row r="7221" spans="1:11" x14ac:dyDescent="0.3">
      <c r="A7221" t="s">
        <v>2082</v>
      </c>
      <c r="B7221" t="s">
        <v>2084</v>
      </c>
      <c r="C7221">
        <v>5</v>
      </c>
      <c r="D7221" t="s">
        <v>1447</v>
      </c>
      <c r="E7221" t="s">
        <v>1988</v>
      </c>
      <c r="F7221" t="s">
        <v>1737</v>
      </c>
      <c r="K7221" t="str">
        <f>IF(ISBLANK('Q 8'!$C87),"",IF('Q 8'!$C87="&lt;please select&gt;","",'Q 8'!$C87))</f>
        <v/>
      </c>
    </row>
    <row r="7222" spans="1:11" x14ac:dyDescent="0.3">
      <c r="A7222" t="s">
        <v>2082</v>
      </c>
      <c r="B7222" t="s">
        <v>2084</v>
      </c>
      <c r="C7222">
        <v>6</v>
      </c>
      <c r="D7222" t="s">
        <v>1447</v>
      </c>
      <c r="E7222" t="s">
        <v>1988</v>
      </c>
      <c r="F7222" t="s">
        <v>1737</v>
      </c>
      <c r="K7222" t="str">
        <f>IF(ISBLANK('Q 8'!$C88),"",IF('Q 8'!$C88="&lt;please select&gt;","",'Q 8'!$C88))</f>
        <v/>
      </c>
    </row>
    <row r="7223" spans="1:11" x14ac:dyDescent="0.3">
      <c r="A7223" t="s">
        <v>2082</v>
      </c>
      <c r="B7223" t="s">
        <v>2084</v>
      </c>
      <c r="C7223">
        <v>7</v>
      </c>
      <c r="D7223" t="s">
        <v>1447</v>
      </c>
      <c r="E7223" t="s">
        <v>1988</v>
      </c>
      <c r="F7223" t="s">
        <v>1737</v>
      </c>
      <c r="K7223" t="str">
        <f>IF(ISBLANK('Q 8'!$C89),"",IF('Q 8'!$C89="&lt;please select&gt;","",'Q 8'!$C89))</f>
        <v/>
      </c>
    </row>
    <row r="7224" spans="1:11" x14ac:dyDescent="0.3">
      <c r="A7224" t="s">
        <v>2082</v>
      </c>
      <c r="B7224" t="s">
        <v>2084</v>
      </c>
      <c r="C7224">
        <v>8</v>
      </c>
      <c r="D7224" t="s">
        <v>1447</v>
      </c>
      <c r="E7224" t="s">
        <v>1988</v>
      </c>
      <c r="F7224" t="s">
        <v>1737</v>
      </c>
      <c r="K7224" t="str">
        <f>IF(ISBLANK('Q 8'!$C90),"",IF('Q 8'!$C90="&lt;please select&gt;","",'Q 8'!$C90))</f>
        <v/>
      </c>
    </row>
    <row r="7225" spans="1:11" x14ac:dyDescent="0.3">
      <c r="A7225" t="s">
        <v>2082</v>
      </c>
      <c r="B7225" t="s">
        <v>2084</v>
      </c>
      <c r="C7225">
        <v>9</v>
      </c>
      <c r="D7225" t="s">
        <v>1447</v>
      </c>
      <c r="E7225" t="s">
        <v>1988</v>
      </c>
      <c r="F7225" t="s">
        <v>1737</v>
      </c>
      <c r="K7225" t="str">
        <f>IF(ISBLANK('Q 8'!$C91),"",IF('Q 8'!$C91="&lt;please select&gt;","",'Q 8'!$C91))</f>
        <v/>
      </c>
    </row>
    <row r="7226" spans="1:11" x14ac:dyDescent="0.3">
      <c r="A7226" t="s">
        <v>2082</v>
      </c>
      <c r="B7226" t="s">
        <v>2084</v>
      </c>
      <c r="C7226">
        <v>10</v>
      </c>
      <c r="D7226" t="s">
        <v>1447</v>
      </c>
      <c r="E7226" t="s">
        <v>1988</v>
      </c>
      <c r="F7226" t="s">
        <v>1737</v>
      </c>
      <c r="K7226" t="str">
        <f>IF(ISBLANK('Q 8'!$C92),"",IF('Q 8'!$C92="&lt;please select&gt;","",'Q 8'!$C92))</f>
        <v/>
      </c>
    </row>
    <row r="7227" spans="1:11" x14ac:dyDescent="0.3">
      <c r="A7227" t="s">
        <v>2082</v>
      </c>
      <c r="B7227" t="s">
        <v>2084</v>
      </c>
      <c r="C7227">
        <v>11</v>
      </c>
      <c r="D7227" t="s">
        <v>1447</v>
      </c>
      <c r="E7227" t="s">
        <v>1988</v>
      </c>
      <c r="F7227" t="s">
        <v>1737</v>
      </c>
      <c r="K7227" t="str">
        <f>IF(ISBLANK('Q 8'!$C93),"",IF('Q 8'!$C93="&lt;please select&gt;","",'Q 8'!$C93))</f>
        <v/>
      </c>
    </row>
    <row r="7228" spans="1:11" x14ac:dyDescent="0.3">
      <c r="A7228" t="s">
        <v>2082</v>
      </c>
      <c r="B7228" t="s">
        <v>2084</v>
      </c>
      <c r="C7228">
        <v>12</v>
      </c>
      <c r="D7228" t="s">
        <v>1447</v>
      </c>
      <c r="E7228" t="s">
        <v>1988</v>
      </c>
      <c r="F7228" t="s">
        <v>1737</v>
      </c>
      <c r="K7228" t="str">
        <f>IF(ISBLANK('Q 8'!$C94),"",IF('Q 8'!$C94="&lt;please select&gt;","",'Q 8'!$C94))</f>
        <v/>
      </c>
    </row>
    <row r="7229" spans="1:11" x14ac:dyDescent="0.3">
      <c r="A7229" t="s">
        <v>2082</v>
      </c>
      <c r="B7229" t="s">
        <v>2084</v>
      </c>
      <c r="C7229">
        <v>13</v>
      </c>
      <c r="D7229" t="s">
        <v>1447</v>
      </c>
      <c r="E7229" t="s">
        <v>1988</v>
      </c>
      <c r="F7229" t="s">
        <v>1737</v>
      </c>
      <c r="K7229" t="str">
        <f>IF(ISBLANK('Q 8'!$C95),"",IF('Q 8'!$C95="&lt;please select&gt;","",'Q 8'!$C95))</f>
        <v/>
      </c>
    </row>
    <row r="7230" spans="1:11" x14ac:dyDescent="0.3">
      <c r="A7230" t="s">
        <v>2082</v>
      </c>
      <c r="B7230" t="s">
        <v>2084</v>
      </c>
      <c r="C7230">
        <v>14</v>
      </c>
      <c r="D7230" t="s">
        <v>1447</v>
      </c>
      <c r="E7230" t="s">
        <v>1988</v>
      </c>
      <c r="F7230" t="s">
        <v>1737</v>
      </c>
      <c r="K7230" t="str">
        <f>IF(ISBLANK('Q 8'!$C96),"",IF('Q 8'!$C96="&lt;please select&gt;","",'Q 8'!$C96))</f>
        <v/>
      </c>
    </row>
    <row r="7231" spans="1:11" x14ac:dyDescent="0.3">
      <c r="A7231" t="s">
        <v>2082</v>
      </c>
      <c r="B7231" t="s">
        <v>2084</v>
      </c>
      <c r="C7231">
        <v>15</v>
      </c>
      <c r="D7231" t="s">
        <v>1447</v>
      </c>
      <c r="E7231" t="s">
        <v>1988</v>
      </c>
      <c r="F7231" t="s">
        <v>1737</v>
      </c>
      <c r="K7231" t="str">
        <f>IF(ISBLANK('Q 8'!$C97),"",IF('Q 8'!$C97="&lt;please select&gt;","",'Q 8'!$C97))</f>
        <v/>
      </c>
    </row>
    <row r="7232" spans="1:11" x14ac:dyDescent="0.3">
      <c r="A7232" t="s">
        <v>2082</v>
      </c>
      <c r="B7232" t="s">
        <v>2084</v>
      </c>
      <c r="C7232">
        <v>16</v>
      </c>
      <c r="D7232" t="s">
        <v>1447</v>
      </c>
      <c r="E7232" t="s">
        <v>1988</v>
      </c>
      <c r="F7232" t="s">
        <v>1737</v>
      </c>
      <c r="K7232" t="str">
        <f>IF(ISBLANK('Q 8'!$C98),"",IF('Q 8'!$C98="&lt;please select&gt;","",'Q 8'!$C98))</f>
        <v/>
      </c>
    </row>
    <row r="7233" spans="1:11" x14ac:dyDescent="0.3">
      <c r="A7233" t="s">
        <v>2082</v>
      </c>
      <c r="B7233" t="s">
        <v>2084</v>
      </c>
      <c r="C7233">
        <v>17</v>
      </c>
      <c r="D7233" t="s">
        <v>1447</v>
      </c>
      <c r="E7233" t="s">
        <v>1988</v>
      </c>
      <c r="F7233" t="s">
        <v>1737</v>
      </c>
      <c r="K7233" t="str">
        <f>IF(ISBLANK('Q 8'!$C99),"",IF('Q 8'!$C99="&lt;please select&gt;","",'Q 8'!$C99))</f>
        <v/>
      </c>
    </row>
    <row r="7234" spans="1:11" x14ac:dyDescent="0.3">
      <c r="A7234" t="s">
        <v>2082</v>
      </c>
      <c r="B7234" t="s">
        <v>2084</v>
      </c>
      <c r="C7234">
        <v>18</v>
      </c>
      <c r="D7234" t="s">
        <v>1447</v>
      </c>
      <c r="E7234" t="s">
        <v>1988</v>
      </c>
      <c r="F7234" t="s">
        <v>1737</v>
      </c>
      <c r="K7234" t="str">
        <f>IF(ISBLANK('Q 8'!$C100),"",IF('Q 8'!$C100="&lt;please select&gt;","",'Q 8'!$C100))</f>
        <v/>
      </c>
    </row>
    <row r="7235" spans="1:11" x14ac:dyDescent="0.3">
      <c r="A7235" t="s">
        <v>2082</v>
      </c>
      <c r="B7235" t="s">
        <v>2084</v>
      </c>
      <c r="C7235">
        <v>19</v>
      </c>
      <c r="D7235" t="s">
        <v>1447</v>
      </c>
      <c r="E7235" t="s">
        <v>1988</v>
      </c>
      <c r="F7235" t="s">
        <v>1737</v>
      </c>
      <c r="K7235" t="str">
        <f>IF(ISBLANK('Q 8'!$C101),"",IF('Q 8'!$C101="&lt;please select&gt;","",'Q 8'!$C101))</f>
        <v/>
      </c>
    </row>
    <row r="7236" spans="1:11" x14ac:dyDescent="0.3">
      <c r="A7236" t="s">
        <v>2082</v>
      </c>
      <c r="B7236" t="s">
        <v>2084</v>
      </c>
      <c r="C7236">
        <v>20</v>
      </c>
      <c r="D7236" t="s">
        <v>1447</v>
      </c>
      <c r="E7236" t="s">
        <v>1988</v>
      </c>
      <c r="F7236" t="s">
        <v>1737</v>
      </c>
      <c r="K7236" t="str">
        <f>IF(ISBLANK('Q 8'!$C102),"",IF('Q 8'!$C102="&lt;please select&gt;","",'Q 8'!$C102))</f>
        <v/>
      </c>
    </row>
    <row r="7237" spans="1:11" x14ac:dyDescent="0.3">
      <c r="A7237" t="s">
        <v>2082</v>
      </c>
      <c r="B7237" t="s">
        <v>2084</v>
      </c>
      <c r="C7237">
        <v>21</v>
      </c>
      <c r="D7237" t="s">
        <v>1447</v>
      </c>
      <c r="E7237" t="s">
        <v>1988</v>
      </c>
      <c r="F7237" t="s">
        <v>1737</v>
      </c>
      <c r="K7237" t="str">
        <f>IF(ISBLANK('Q 8'!$C103),"",IF('Q 8'!$C103="&lt;please select&gt;","",'Q 8'!$C103))</f>
        <v/>
      </c>
    </row>
    <row r="7238" spans="1:11" x14ac:dyDescent="0.3">
      <c r="A7238" t="s">
        <v>2082</v>
      </c>
      <c r="B7238" t="s">
        <v>2084</v>
      </c>
      <c r="C7238">
        <v>22</v>
      </c>
      <c r="D7238" t="s">
        <v>1447</v>
      </c>
      <c r="E7238" t="s">
        <v>1988</v>
      </c>
      <c r="F7238" t="s">
        <v>1737</v>
      </c>
      <c r="K7238" t="str">
        <f>IF(ISBLANK('Q 8'!$C104),"",IF('Q 8'!$C104="&lt;please select&gt;","",'Q 8'!$C104))</f>
        <v/>
      </c>
    </row>
    <row r="7239" spans="1:11" x14ac:dyDescent="0.3">
      <c r="A7239" t="s">
        <v>2082</v>
      </c>
      <c r="B7239" t="s">
        <v>2084</v>
      </c>
      <c r="C7239">
        <v>23</v>
      </c>
      <c r="D7239" t="s">
        <v>1447</v>
      </c>
      <c r="E7239" t="s">
        <v>1988</v>
      </c>
      <c r="F7239" t="s">
        <v>1737</v>
      </c>
      <c r="K7239" t="str">
        <f>IF(ISBLANK('Q 8'!$C105),"",IF('Q 8'!$C105="&lt;please select&gt;","",'Q 8'!$C105))</f>
        <v/>
      </c>
    </row>
    <row r="7240" spans="1:11" x14ac:dyDescent="0.3">
      <c r="A7240" t="s">
        <v>2082</v>
      </c>
      <c r="B7240" t="s">
        <v>2084</v>
      </c>
      <c r="C7240">
        <v>24</v>
      </c>
      <c r="D7240" t="s">
        <v>1447</v>
      </c>
      <c r="E7240" t="s">
        <v>1988</v>
      </c>
      <c r="F7240" t="s">
        <v>1737</v>
      </c>
      <c r="K7240" t="str">
        <f>IF(ISBLANK('Q 8'!$C106),"",IF('Q 8'!$C106="&lt;please select&gt;","",'Q 8'!$C106))</f>
        <v/>
      </c>
    </row>
    <row r="7241" spans="1:11" x14ac:dyDescent="0.3">
      <c r="A7241" t="s">
        <v>2082</v>
      </c>
      <c r="B7241" t="s">
        <v>2084</v>
      </c>
      <c r="C7241">
        <v>25</v>
      </c>
      <c r="D7241" t="s">
        <v>1447</v>
      </c>
      <c r="E7241" t="s">
        <v>1988</v>
      </c>
      <c r="F7241" t="s">
        <v>1737</v>
      </c>
      <c r="K7241" t="str">
        <f>IF(ISBLANK('Q 8'!$C107),"",IF('Q 8'!$C107="&lt;please select&gt;","",'Q 8'!$C107))</f>
        <v/>
      </c>
    </row>
    <row r="7242" spans="1:11" x14ac:dyDescent="0.3">
      <c r="A7242" t="s">
        <v>2082</v>
      </c>
      <c r="B7242" t="s">
        <v>2084</v>
      </c>
      <c r="C7242">
        <v>26</v>
      </c>
      <c r="D7242" t="s">
        <v>1447</v>
      </c>
      <c r="E7242" t="s">
        <v>1988</v>
      </c>
      <c r="F7242" t="s">
        <v>1737</v>
      </c>
      <c r="K7242" t="str">
        <f>IF(ISBLANK('Q 8'!$C108),"",IF('Q 8'!$C108="&lt;please select&gt;","",'Q 8'!$C108))</f>
        <v/>
      </c>
    </row>
    <row r="7243" spans="1:11" x14ac:dyDescent="0.3">
      <c r="A7243" t="s">
        <v>2082</v>
      </c>
      <c r="B7243" t="s">
        <v>2084</v>
      </c>
      <c r="C7243">
        <v>27</v>
      </c>
      <c r="D7243" t="s">
        <v>1447</v>
      </c>
      <c r="E7243" t="s">
        <v>1988</v>
      </c>
      <c r="F7243" t="s">
        <v>1737</v>
      </c>
      <c r="K7243" t="str">
        <f>IF(ISBLANK('Q 8'!$C109),"",IF('Q 8'!$C109="&lt;please select&gt;","",'Q 8'!$C109))</f>
        <v/>
      </c>
    </row>
    <row r="7244" spans="1:11" x14ac:dyDescent="0.3">
      <c r="A7244" t="s">
        <v>2082</v>
      </c>
      <c r="B7244" t="s">
        <v>2084</v>
      </c>
      <c r="C7244">
        <v>28</v>
      </c>
      <c r="D7244" t="s">
        <v>1447</v>
      </c>
      <c r="E7244" t="s">
        <v>1988</v>
      </c>
      <c r="F7244" t="s">
        <v>1737</v>
      </c>
      <c r="K7244" t="str">
        <f>IF(ISBLANK('Q 8'!$C110),"",IF('Q 8'!$C110="&lt;please select&gt;","",'Q 8'!$C110))</f>
        <v/>
      </c>
    </row>
    <row r="7245" spans="1:11" x14ac:dyDescent="0.3">
      <c r="A7245" t="s">
        <v>2082</v>
      </c>
      <c r="B7245" t="s">
        <v>2084</v>
      </c>
      <c r="C7245">
        <v>29</v>
      </c>
      <c r="D7245" t="s">
        <v>1447</v>
      </c>
      <c r="E7245" t="s">
        <v>1988</v>
      </c>
      <c r="F7245" t="s">
        <v>1737</v>
      </c>
      <c r="K7245" t="str">
        <f>IF(ISBLANK('Q 8'!$C111),"",IF('Q 8'!$C111="&lt;please select&gt;","",'Q 8'!$C111))</f>
        <v/>
      </c>
    </row>
    <row r="7246" spans="1:11" x14ac:dyDescent="0.3">
      <c r="A7246" t="s">
        <v>2082</v>
      </c>
      <c r="B7246" t="s">
        <v>2084</v>
      </c>
      <c r="C7246">
        <v>30</v>
      </c>
      <c r="D7246" t="s">
        <v>1447</v>
      </c>
      <c r="E7246" t="s">
        <v>1988</v>
      </c>
      <c r="F7246" t="s">
        <v>1737</v>
      </c>
      <c r="K7246" t="str">
        <f>IF(ISBLANK('Q 8'!$C112),"",IF('Q 8'!$C112="&lt;please select&gt;","",'Q 8'!$C112))</f>
        <v/>
      </c>
    </row>
    <row r="7247" spans="1:11" x14ac:dyDescent="0.3">
      <c r="A7247" t="s">
        <v>2082</v>
      </c>
      <c r="B7247" t="s">
        <v>2084</v>
      </c>
      <c r="C7247">
        <v>31</v>
      </c>
      <c r="D7247" t="s">
        <v>1447</v>
      </c>
      <c r="E7247" t="s">
        <v>1988</v>
      </c>
      <c r="F7247" t="s">
        <v>1737</v>
      </c>
      <c r="K7247" t="str">
        <f>IF(ISBLANK('Q 8'!$C113),"",IF('Q 8'!$C113="&lt;please select&gt;","",'Q 8'!$C113))</f>
        <v/>
      </c>
    </row>
    <row r="7248" spans="1:11" x14ac:dyDescent="0.3">
      <c r="A7248" t="s">
        <v>2082</v>
      </c>
      <c r="B7248" t="s">
        <v>2084</v>
      </c>
      <c r="C7248">
        <v>32</v>
      </c>
      <c r="D7248" t="s">
        <v>1447</v>
      </c>
      <c r="E7248" t="s">
        <v>1988</v>
      </c>
      <c r="F7248" t="s">
        <v>1737</v>
      </c>
      <c r="K7248" t="str">
        <f>IF(ISBLANK('Q 8'!$C114),"",IF('Q 8'!$C114="&lt;please select&gt;","",'Q 8'!$C114))</f>
        <v/>
      </c>
    </row>
    <row r="7249" spans="1:11" x14ac:dyDescent="0.3">
      <c r="A7249" t="s">
        <v>2082</v>
      </c>
      <c r="B7249" t="s">
        <v>2084</v>
      </c>
      <c r="C7249">
        <v>33</v>
      </c>
      <c r="D7249" t="s">
        <v>1447</v>
      </c>
      <c r="E7249" t="s">
        <v>1988</v>
      </c>
      <c r="F7249" t="s">
        <v>1737</v>
      </c>
      <c r="K7249" t="str">
        <f>IF(ISBLANK('Q 8'!$C115),"",IF('Q 8'!$C115="&lt;please select&gt;","",'Q 8'!$C115))</f>
        <v/>
      </c>
    </row>
    <row r="7250" spans="1:11" x14ac:dyDescent="0.3">
      <c r="A7250" t="s">
        <v>2082</v>
      </c>
      <c r="B7250" t="s">
        <v>2084</v>
      </c>
      <c r="C7250">
        <v>34</v>
      </c>
      <c r="D7250" t="s">
        <v>1447</v>
      </c>
      <c r="E7250" t="s">
        <v>1988</v>
      </c>
      <c r="F7250" t="s">
        <v>1737</v>
      </c>
      <c r="K7250" t="str">
        <f>IF(ISBLANK('Q 8'!$C116),"",IF('Q 8'!$C116="&lt;please select&gt;","",'Q 8'!$C116))</f>
        <v/>
      </c>
    </row>
    <row r="7251" spans="1:11" x14ac:dyDescent="0.3">
      <c r="A7251" t="s">
        <v>2082</v>
      </c>
      <c r="B7251" t="s">
        <v>2084</v>
      </c>
      <c r="C7251">
        <v>35</v>
      </c>
      <c r="D7251" t="s">
        <v>1447</v>
      </c>
      <c r="E7251" t="s">
        <v>1988</v>
      </c>
      <c r="F7251" t="s">
        <v>1737</v>
      </c>
      <c r="K7251" t="str">
        <f>IF(ISBLANK('Q 8'!$C117),"",IF('Q 8'!$C117="&lt;please select&gt;","",'Q 8'!$C117))</f>
        <v/>
      </c>
    </row>
    <row r="7252" spans="1:11" x14ac:dyDescent="0.3">
      <c r="A7252" t="s">
        <v>2082</v>
      </c>
      <c r="B7252" t="s">
        <v>2084</v>
      </c>
      <c r="C7252">
        <v>36</v>
      </c>
      <c r="D7252" t="s">
        <v>1447</v>
      </c>
      <c r="E7252" t="s">
        <v>1988</v>
      </c>
      <c r="F7252" t="s">
        <v>1737</v>
      </c>
      <c r="K7252" t="str">
        <f>IF(ISBLANK('Q 8'!$C118),"",IF('Q 8'!$C118="&lt;please select&gt;","",'Q 8'!$C118))</f>
        <v/>
      </c>
    </row>
    <row r="7253" spans="1:11" x14ac:dyDescent="0.3">
      <c r="A7253" t="s">
        <v>2082</v>
      </c>
      <c r="B7253" t="s">
        <v>2084</v>
      </c>
      <c r="C7253">
        <v>37</v>
      </c>
      <c r="D7253" t="s">
        <v>1447</v>
      </c>
      <c r="E7253" t="s">
        <v>1988</v>
      </c>
      <c r="F7253" t="s">
        <v>1737</v>
      </c>
      <c r="K7253" t="str">
        <f>IF(ISBLANK('Q 8'!$C119),"",IF('Q 8'!$C119="&lt;please select&gt;","",'Q 8'!$C119))</f>
        <v/>
      </c>
    </row>
    <row r="7254" spans="1:11" x14ac:dyDescent="0.3">
      <c r="A7254" t="s">
        <v>2082</v>
      </c>
      <c r="B7254" t="s">
        <v>2084</v>
      </c>
      <c r="C7254">
        <v>38</v>
      </c>
      <c r="D7254" t="s">
        <v>1447</v>
      </c>
      <c r="E7254" t="s">
        <v>1988</v>
      </c>
      <c r="F7254" t="s">
        <v>1737</v>
      </c>
      <c r="K7254" t="str">
        <f>IF(ISBLANK('Q 8'!$C120),"",IF('Q 8'!$C120="&lt;please select&gt;","",'Q 8'!$C120))</f>
        <v/>
      </c>
    </row>
    <row r="7255" spans="1:11" x14ac:dyDescent="0.3">
      <c r="A7255" t="s">
        <v>2082</v>
      </c>
      <c r="B7255" t="s">
        <v>2084</v>
      </c>
      <c r="C7255">
        <v>39</v>
      </c>
      <c r="D7255" t="s">
        <v>1447</v>
      </c>
      <c r="E7255" t="s">
        <v>1988</v>
      </c>
      <c r="F7255" t="s">
        <v>1737</v>
      </c>
      <c r="K7255" t="str">
        <f>IF(ISBLANK('Q 8'!$C121),"",IF('Q 8'!$C121="&lt;please select&gt;","",'Q 8'!$C121))</f>
        <v/>
      </c>
    </row>
    <row r="7256" spans="1:11" x14ac:dyDescent="0.3">
      <c r="A7256" t="s">
        <v>2082</v>
      </c>
      <c r="B7256" t="s">
        <v>2084</v>
      </c>
      <c r="C7256">
        <v>40</v>
      </c>
      <c r="D7256" t="s">
        <v>1447</v>
      </c>
      <c r="E7256" t="s">
        <v>1988</v>
      </c>
      <c r="F7256" t="s">
        <v>1737</v>
      </c>
      <c r="K7256" t="str">
        <f>IF(ISBLANK('Q 8'!$C122),"",IF('Q 8'!$C122="&lt;please select&gt;","",'Q 8'!$C122))</f>
        <v/>
      </c>
    </row>
    <row r="7257" spans="1:11" x14ac:dyDescent="0.3">
      <c r="A7257" t="s">
        <v>2082</v>
      </c>
      <c r="B7257" t="s">
        <v>2084</v>
      </c>
      <c r="C7257">
        <v>41</v>
      </c>
      <c r="D7257" t="s">
        <v>1447</v>
      </c>
      <c r="E7257" t="s">
        <v>1988</v>
      </c>
      <c r="F7257" t="s">
        <v>1737</v>
      </c>
      <c r="K7257" t="str">
        <f>IF(ISBLANK('Q 8'!$C123),"",IF('Q 8'!$C123="&lt;please select&gt;","",'Q 8'!$C123))</f>
        <v/>
      </c>
    </row>
    <row r="7258" spans="1:11" x14ac:dyDescent="0.3">
      <c r="A7258" t="s">
        <v>2082</v>
      </c>
      <c r="B7258" t="s">
        <v>2084</v>
      </c>
      <c r="C7258">
        <v>42</v>
      </c>
      <c r="D7258" t="s">
        <v>1447</v>
      </c>
      <c r="E7258" t="s">
        <v>1988</v>
      </c>
      <c r="F7258" t="s">
        <v>1737</v>
      </c>
      <c r="K7258" t="str">
        <f>IF(ISBLANK('Q 8'!$C124),"",IF('Q 8'!$C124="&lt;please select&gt;","",'Q 8'!$C124))</f>
        <v/>
      </c>
    </row>
    <row r="7259" spans="1:11" x14ac:dyDescent="0.3">
      <c r="A7259" t="s">
        <v>2082</v>
      </c>
      <c r="B7259" t="s">
        <v>2084</v>
      </c>
      <c r="C7259">
        <v>43</v>
      </c>
      <c r="D7259" t="s">
        <v>1447</v>
      </c>
      <c r="E7259" t="s">
        <v>1988</v>
      </c>
      <c r="F7259" t="s">
        <v>1737</v>
      </c>
      <c r="K7259" t="str">
        <f>IF(ISBLANK('Q 8'!$C125),"",IF('Q 8'!$C125="&lt;please select&gt;","",'Q 8'!$C125))</f>
        <v/>
      </c>
    </row>
    <row r="7260" spans="1:11" x14ac:dyDescent="0.3">
      <c r="A7260" t="s">
        <v>2082</v>
      </c>
      <c r="B7260" t="s">
        <v>2084</v>
      </c>
      <c r="C7260">
        <v>44</v>
      </c>
      <c r="D7260" t="s">
        <v>1447</v>
      </c>
      <c r="E7260" t="s">
        <v>1988</v>
      </c>
      <c r="F7260" t="s">
        <v>1737</v>
      </c>
      <c r="K7260" t="str">
        <f>IF(ISBLANK('Q 8'!$C126),"",IF('Q 8'!$C126="&lt;please select&gt;","",'Q 8'!$C126))</f>
        <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
      </c>
    </row>
    <row r="7268" spans="1:11" x14ac:dyDescent="0.3">
      <c r="A7268" t="s">
        <v>2082</v>
      </c>
      <c r="B7268" t="s">
        <v>2084</v>
      </c>
      <c r="C7268">
        <v>2</v>
      </c>
      <c r="D7268" t="s">
        <v>1447</v>
      </c>
      <c r="E7268" t="s">
        <v>1989</v>
      </c>
      <c r="F7268" t="s">
        <v>1737</v>
      </c>
      <c r="K7268" t="str">
        <f>IF(ISBLANK('Q 8'!$E84),"",IF('Q 8'!$E84="&lt;please select&gt;","",'Q 8'!$E84))</f>
        <v/>
      </c>
    </row>
    <row r="7269" spans="1:11" x14ac:dyDescent="0.3">
      <c r="A7269" t="s">
        <v>2082</v>
      </c>
      <c r="B7269" t="s">
        <v>2084</v>
      </c>
      <c r="C7269">
        <v>3</v>
      </c>
      <c r="D7269" t="s">
        <v>1447</v>
      </c>
      <c r="E7269" t="s">
        <v>1989</v>
      </c>
      <c r="F7269" t="s">
        <v>1737</v>
      </c>
      <c r="K7269" t="str">
        <f>IF(ISBLANK('Q 8'!$E85),"",IF('Q 8'!$E85="&lt;please select&gt;","",'Q 8'!$E85))</f>
        <v/>
      </c>
    </row>
    <row r="7270" spans="1:11" x14ac:dyDescent="0.3">
      <c r="A7270" t="s">
        <v>2082</v>
      </c>
      <c r="B7270" t="s">
        <v>2084</v>
      </c>
      <c r="C7270">
        <v>4</v>
      </c>
      <c r="D7270" t="s">
        <v>1447</v>
      </c>
      <c r="E7270" t="s">
        <v>1989</v>
      </c>
      <c r="F7270" t="s">
        <v>1737</v>
      </c>
      <c r="K7270" t="str">
        <f>IF(ISBLANK('Q 8'!$E86),"",IF('Q 8'!$E86="&lt;please select&gt;","",'Q 8'!$E86))</f>
        <v/>
      </c>
    </row>
    <row r="7271" spans="1:11" x14ac:dyDescent="0.3">
      <c r="A7271" t="s">
        <v>2082</v>
      </c>
      <c r="B7271" t="s">
        <v>2084</v>
      </c>
      <c r="C7271">
        <v>5</v>
      </c>
      <c r="D7271" t="s">
        <v>1447</v>
      </c>
      <c r="E7271" t="s">
        <v>1989</v>
      </c>
      <c r="F7271" t="s">
        <v>1737</v>
      </c>
      <c r="K7271" t="str">
        <f>IF(ISBLANK('Q 8'!$E87),"",IF('Q 8'!$E87="&lt;please select&gt;","",'Q 8'!$E87))</f>
        <v/>
      </c>
    </row>
    <row r="7272" spans="1:11" x14ac:dyDescent="0.3">
      <c r="A7272" t="s">
        <v>2082</v>
      </c>
      <c r="B7272" t="s">
        <v>2084</v>
      </c>
      <c r="C7272">
        <v>6</v>
      </c>
      <c r="D7272" t="s">
        <v>1447</v>
      </c>
      <c r="E7272" t="s">
        <v>1989</v>
      </c>
      <c r="F7272" t="s">
        <v>1737</v>
      </c>
      <c r="K7272" t="str">
        <f>IF(ISBLANK('Q 8'!$E88),"",IF('Q 8'!$E88="&lt;please select&gt;","",'Q 8'!$E88))</f>
        <v/>
      </c>
    </row>
    <row r="7273" spans="1:11" x14ac:dyDescent="0.3">
      <c r="A7273" t="s">
        <v>2082</v>
      </c>
      <c r="B7273" t="s">
        <v>2084</v>
      </c>
      <c r="C7273">
        <v>7</v>
      </c>
      <c r="D7273" t="s">
        <v>1447</v>
      </c>
      <c r="E7273" t="s">
        <v>1989</v>
      </c>
      <c r="F7273" t="s">
        <v>1737</v>
      </c>
      <c r="K7273" t="str">
        <f>IF(ISBLANK('Q 8'!$E89),"",IF('Q 8'!$E89="&lt;please select&gt;","",'Q 8'!$E89))</f>
        <v/>
      </c>
    </row>
    <row r="7274" spans="1:11" x14ac:dyDescent="0.3">
      <c r="A7274" t="s">
        <v>2082</v>
      </c>
      <c r="B7274" t="s">
        <v>2084</v>
      </c>
      <c r="C7274">
        <v>8</v>
      </c>
      <c r="D7274" t="s">
        <v>1447</v>
      </c>
      <c r="E7274" t="s">
        <v>1989</v>
      </c>
      <c r="F7274" t="s">
        <v>1737</v>
      </c>
      <c r="K7274" t="str">
        <f>IF(ISBLANK('Q 8'!$E90),"",IF('Q 8'!$E90="&lt;please select&gt;","",'Q 8'!$E90))</f>
        <v/>
      </c>
    </row>
    <row r="7275" spans="1:11" x14ac:dyDescent="0.3">
      <c r="A7275" t="s">
        <v>2082</v>
      </c>
      <c r="B7275" t="s">
        <v>2084</v>
      </c>
      <c r="C7275">
        <v>9</v>
      </c>
      <c r="D7275" t="s">
        <v>1447</v>
      </c>
      <c r="E7275" t="s">
        <v>1989</v>
      </c>
      <c r="F7275" t="s">
        <v>1737</v>
      </c>
      <c r="K7275" t="str">
        <f>IF(ISBLANK('Q 8'!$E91),"",IF('Q 8'!$E91="&lt;please select&gt;","",'Q 8'!$E91))</f>
        <v/>
      </c>
    </row>
    <row r="7276" spans="1:11" x14ac:dyDescent="0.3">
      <c r="A7276" t="s">
        <v>2082</v>
      </c>
      <c r="B7276" t="s">
        <v>2084</v>
      </c>
      <c r="C7276">
        <v>10</v>
      </c>
      <c r="D7276" t="s">
        <v>1447</v>
      </c>
      <c r="E7276" t="s">
        <v>1989</v>
      </c>
      <c r="F7276" t="s">
        <v>1737</v>
      </c>
      <c r="K7276" t="str">
        <f>IF(ISBLANK('Q 8'!$E92),"",IF('Q 8'!$E92="&lt;please select&gt;","",'Q 8'!$E92))</f>
        <v/>
      </c>
    </row>
    <row r="7277" spans="1:11" x14ac:dyDescent="0.3">
      <c r="A7277" t="s">
        <v>2082</v>
      </c>
      <c r="B7277" t="s">
        <v>2084</v>
      </c>
      <c r="C7277">
        <v>11</v>
      </c>
      <c r="D7277" t="s">
        <v>1447</v>
      </c>
      <c r="E7277" t="s">
        <v>1989</v>
      </c>
      <c r="F7277" t="s">
        <v>1737</v>
      </c>
      <c r="K7277" t="str">
        <f>IF(ISBLANK('Q 8'!$E93),"",IF('Q 8'!$E93="&lt;please select&gt;","",'Q 8'!$E93))</f>
        <v/>
      </c>
    </row>
    <row r="7278" spans="1:11" x14ac:dyDescent="0.3">
      <c r="A7278" t="s">
        <v>2082</v>
      </c>
      <c r="B7278" t="s">
        <v>2084</v>
      </c>
      <c r="C7278">
        <v>12</v>
      </c>
      <c r="D7278" t="s">
        <v>1447</v>
      </c>
      <c r="E7278" t="s">
        <v>1989</v>
      </c>
      <c r="F7278" t="s">
        <v>1737</v>
      </c>
      <c r="K7278" t="str">
        <f>IF(ISBLANK('Q 8'!$E94),"",IF('Q 8'!$E94="&lt;please select&gt;","",'Q 8'!$E94))</f>
        <v/>
      </c>
    </row>
    <row r="7279" spans="1:11" x14ac:dyDescent="0.3">
      <c r="A7279" t="s">
        <v>2082</v>
      </c>
      <c r="B7279" t="s">
        <v>2084</v>
      </c>
      <c r="C7279">
        <v>13</v>
      </c>
      <c r="D7279" t="s">
        <v>1447</v>
      </c>
      <c r="E7279" t="s">
        <v>1989</v>
      </c>
      <c r="F7279" t="s">
        <v>1737</v>
      </c>
      <c r="K7279" t="str">
        <f>IF(ISBLANK('Q 8'!$E95),"",IF('Q 8'!$E95="&lt;please select&gt;","",'Q 8'!$E95))</f>
        <v/>
      </c>
    </row>
    <row r="7280" spans="1:11" x14ac:dyDescent="0.3">
      <c r="A7280" t="s">
        <v>2082</v>
      </c>
      <c r="B7280" t="s">
        <v>2084</v>
      </c>
      <c r="C7280">
        <v>14</v>
      </c>
      <c r="D7280" t="s">
        <v>1447</v>
      </c>
      <c r="E7280" t="s">
        <v>1989</v>
      </c>
      <c r="F7280" t="s">
        <v>1737</v>
      </c>
      <c r="K7280" t="str">
        <f>IF(ISBLANK('Q 8'!$E96),"",IF('Q 8'!$E96="&lt;please select&gt;","",'Q 8'!$E96))</f>
        <v/>
      </c>
    </row>
    <row r="7281" spans="1:11" x14ac:dyDescent="0.3">
      <c r="A7281" t="s">
        <v>2082</v>
      </c>
      <c r="B7281" t="s">
        <v>2084</v>
      </c>
      <c r="C7281">
        <v>15</v>
      </c>
      <c r="D7281" t="s">
        <v>1447</v>
      </c>
      <c r="E7281" t="s">
        <v>1989</v>
      </c>
      <c r="F7281" t="s">
        <v>1737</v>
      </c>
      <c r="K7281" t="str">
        <f>IF(ISBLANK('Q 8'!$E97),"",IF('Q 8'!$E97="&lt;please select&gt;","",'Q 8'!$E97))</f>
        <v/>
      </c>
    </row>
    <row r="7282" spans="1:11" x14ac:dyDescent="0.3">
      <c r="A7282" t="s">
        <v>2082</v>
      </c>
      <c r="B7282" t="s">
        <v>2084</v>
      </c>
      <c r="C7282">
        <v>16</v>
      </c>
      <c r="D7282" t="s">
        <v>1447</v>
      </c>
      <c r="E7282" t="s">
        <v>1989</v>
      </c>
      <c r="F7282" t="s">
        <v>1737</v>
      </c>
      <c r="K7282" t="str">
        <f>IF(ISBLANK('Q 8'!$E98),"",IF('Q 8'!$E98="&lt;please select&gt;","",'Q 8'!$E98))</f>
        <v/>
      </c>
    </row>
    <row r="7283" spans="1:11" x14ac:dyDescent="0.3">
      <c r="A7283" t="s">
        <v>2082</v>
      </c>
      <c r="B7283" t="s">
        <v>2084</v>
      </c>
      <c r="C7283">
        <v>17</v>
      </c>
      <c r="D7283" t="s">
        <v>1447</v>
      </c>
      <c r="E7283" t="s">
        <v>1989</v>
      </c>
      <c r="F7283" t="s">
        <v>1737</v>
      </c>
      <c r="K7283" t="str">
        <f>IF(ISBLANK('Q 8'!$E99),"",IF('Q 8'!$E99="&lt;please select&gt;","",'Q 8'!$E99))</f>
        <v/>
      </c>
    </row>
    <row r="7284" spans="1:11" x14ac:dyDescent="0.3">
      <c r="A7284" t="s">
        <v>2082</v>
      </c>
      <c r="B7284" t="s">
        <v>2084</v>
      </c>
      <c r="C7284">
        <v>18</v>
      </c>
      <c r="D7284" t="s">
        <v>1447</v>
      </c>
      <c r="E7284" t="s">
        <v>1989</v>
      </c>
      <c r="F7284" t="s">
        <v>1737</v>
      </c>
      <c r="K7284" t="str">
        <f>IF(ISBLANK('Q 8'!$E100),"",IF('Q 8'!$E100="&lt;please select&gt;","",'Q 8'!$E100))</f>
        <v/>
      </c>
    </row>
    <row r="7285" spans="1:11" x14ac:dyDescent="0.3">
      <c r="A7285" t="s">
        <v>2082</v>
      </c>
      <c r="B7285" t="s">
        <v>2084</v>
      </c>
      <c r="C7285">
        <v>19</v>
      </c>
      <c r="D7285" t="s">
        <v>1447</v>
      </c>
      <c r="E7285" t="s">
        <v>1989</v>
      </c>
      <c r="F7285" t="s">
        <v>1737</v>
      </c>
      <c r="K7285" t="str">
        <f>IF(ISBLANK('Q 8'!$E101),"",IF('Q 8'!$E101="&lt;please select&gt;","",'Q 8'!$E101))</f>
        <v/>
      </c>
    </row>
    <row r="7286" spans="1:11" x14ac:dyDescent="0.3">
      <c r="A7286" t="s">
        <v>2082</v>
      </c>
      <c r="B7286" t="s">
        <v>2084</v>
      </c>
      <c r="C7286">
        <v>20</v>
      </c>
      <c r="D7286" t="s">
        <v>1447</v>
      </c>
      <c r="E7286" t="s">
        <v>1989</v>
      </c>
      <c r="F7286" t="s">
        <v>1737</v>
      </c>
      <c r="K7286" t="str">
        <f>IF(ISBLANK('Q 8'!$E102),"",IF('Q 8'!$E102="&lt;please select&gt;","",'Q 8'!$E102))</f>
        <v/>
      </c>
    </row>
    <row r="7287" spans="1:11" x14ac:dyDescent="0.3">
      <c r="A7287" t="s">
        <v>2082</v>
      </c>
      <c r="B7287" t="s">
        <v>2084</v>
      </c>
      <c r="C7287">
        <v>21</v>
      </c>
      <c r="D7287" t="s">
        <v>1447</v>
      </c>
      <c r="E7287" t="s">
        <v>1989</v>
      </c>
      <c r="F7287" t="s">
        <v>1737</v>
      </c>
      <c r="K7287" t="str">
        <f>IF(ISBLANK('Q 8'!$E103),"",IF('Q 8'!$E103="&lt;please select&gt;","",'Q 8'!$E103))</f>
        <v/>
      </c>
    </row>
    <row r="7288" spans="1:11" x14ac:dyDescent="0.3">
      <c r="A7288" t="s">
        <v>2082</v>
      </c>
      <c r="B7288" t="s">
        <v>2084</v>
      </c>
      <c r="C7288">
        <v>22</v>
      </c>
      <c r="D7288" t="s">
        <v>1447</v>
      </c>
      <c r="E7288" t="s">
        <v>1989</v>
      </c>
      <c r="F7288" t="s">
        <v>1737</v>
      </c>
      <c r="K7288" t="str">
        <f>IF(ISBLANK('Q 8'!$E104),"",IF('Q 8'!$E104="&lt;please select&gt;","",'Q 8'!$E104))</f>
        <v/>
      </c>
    </row>
    <row r="7289" spans="1:11" x14ac:dyDescent="0.3">
      <c r="A7289" t="s">
        <v>2082</v>
      </c>
      <c r="B7289" t="s">
        <v>2084</v>
      </c>
      <c r="C7289">
        <v>23</v>
      </c>
      <c r="D7289" t="s">
        <v>1447</v>
      </c>
      <c r="E7289" t="s">
        <v>1989</v>
      </c>
      <c r="F7289" t="s">
        <v>1737</v>
      </c>
      <c r="K7289" t="str">
        <f>IF(ISBLANK('Q 8'!$E105),"",IF('Q 8'!$E105="&lt;please select&gt;","",'Q 8'!$E105))</f>
        <v/>
      </c>
    </row>
    <row r="7290" spans="1:11" x14ac:dyDescent="0.3">
      <c r="A7290" t="s">
        <v>2082</v>
      </c>
      <c r="B7290" t="s">
        <v>2084</v>
      </c>
      <c r="C7290">
        <v>24</v>
      </c>
      <c r="D7290" t="s">
        <v>1447</v>
      </c>
      <c r="E7290" t="s">
        <v>1989</v>
      </c>
      <c r="F7290" t="s">
        <v>1737</v>
      </c>
      <c r="K7290" t="str">
        <f>IF(ISBLANK('Q 8'!$E106),"",IF('Q 8'!$E106="&lt;please select&gt;","",'Q 8'!$E106))</f>
        <v/>
      </c>
    </row>
    <row r="7291" spans="1:11" x14ac:dyDescent="0.3">
      <c r="A7291" t="s">
        <v>2082</v>
      </c>
      <c r="B7291" t="s">
        <v>2084</v>
      </c>
      <c r="C7291">
        <v>25</v>
      </c>
      <c r="D7291" t="s">
        <v>1447</v>
      </c>
      <c r="E7291" t="s">
        <v>1989</v>
      </c>
      <c r="F7291" t="s">
        <v>1737</v>
      </c>
      <c r="K7291" t="str">
        <f>IF(ISBLANK('Q 8'!$E107),"",IF('Q 8'!$E107="&lt;please select&gt;","",'Q 8'!$E107))</f>
        <v/>
      </c>
    </row>
    <row r="7292" spans="1:11" x14ac:dyDescent="0.3">
      <c r="A7292" t="s">
        <v>2082</v>
      </c>
      <c r="B7292" t="s">
        <v>2084</v>
      </c>
      <c r="C7292">
        <v>26</v>
      </c>
      <c r="D7292" t="s">
        <v>1447</v>
      </c>
      <c r="E7292" t="s">
        <v>1989</v>
      </c>
      <c r="F7292" t="s">
        <v>1737</v>
      </c>
      <c r="K7292" t="str">
        <f>IF(ISBLANK('Q 8'!$E108),"",IF('Q 8'!$E108="&lt;please select&gt;","",'Q 8'!$E108))</f>
        <v/>
      </c>
    </row>
    <row r="7293" spans="1:11" x14ac:dyDescent="0.3">
      <c r="A7293" t="s">
        <v>2082</v>
      </c>
      <c r="B7293" t="s">
        <v>2084</v>
      </c>
      <c r="C7293">
        <v>27</v>
      </c>
      <c r="D7293" t="s">
        <v>1447</v>
      </c>
      <c r="E7293" t="s">
        <v>1989</v>
      </c>
      <c r="F7293" t="s">
        <v>1737</v>
      </c>
      <c r="K7293" t="str">
        <f>IF(ISBLANK('Q 8'!$E109),"",IF('Q 8'!$E109="&lt;please select&gt;","",'Q 8'!$E109))</f>
        <v/>
      </c>
    </row>
    <row r="7294" spans="1:11" x14ac:dyDescent="0.3">
      <c r="A7294" t="s">
        <v>2082</v>
      </c>
      <c r="B7294" t="s">
        <v>2084</v>
      </c>
      <c r="C7294">
        <v>28</v>
      </c>
      <c r="D7294" t="s">
        <v>1447</v>
      </c>
      <c r="E7294" t="s">
        <v>1989</v>
      </c>
      <c r="F7294" t="s">
        <v>1737</v>
      </c>
      <c r="K7294" t="str">
        <f>IF(ISBLANK('Q 8'!$E110),"",IF('Q 8'!$E110="&lt;please select&gt;","",'Q 8'!$E110))</f>
        <v/>
      </c>
    </row>
    <row r="7295" spans="1:11" x14ac:dyDescent="0.3">
      <c r="A7295" t="s">
        <v>2082</v>
      </c>
      <c r="B7295" t="s">
        <v>2084</v>
      </c>
      <c r="C7295">
        <v>29</v>
      </c>
      <c r="D7295" t="s">
        <v>1447</v>
      </c>
      <c r="E7295" t="s">
        <v>1989</v>
      </c>
      <c r="F7295" t="s">
        <v>1737</v>
      </c>
      <c r="K7295" t="str">
        <f>IF(ISBLANK('Q 8'!$E111),"",IF('Q 8'!$E111="&lt;please select&gt;","",'Q 8'!$E111))</f>
        <v/>
      </c>
    </row>
    <row r="7296" spans="1:11" x14ac:dyDescent="0.3">
      <c r="A7296" t="s">
        <v>2082</v>
      </c>
      <c r="B7296" t="s">
        <v>2084</v>
      </c>
      <c r="C7296">
        <v>30</v>
      </c>
      <c r="D7296" t="s">
        <v>1447</v>
      </c>
      <c r="E7296" t="s">
        <v>1989</v>
      </c>
      <c r="F7296" t="s">
        <v>1737</v>
      </c>
      <c r="K7296" t="str">
        <f>IF(ISBLANK('Q 8'!$E112),"",IF('Q 8'!$E112="&lt;please select&gt;","",'Q 8'!$E112))</f>
        <v/>
      </c>
    </row>
    <row r="7297" spans="1:11" x14ac:dyDescent="0.3">
      <c r="A7297" t="s">
        <v>2082</v>
      </c>
      <c r="B7297" t="s">
        <v>2084</v>
      </c>
      <c r="C7297">
        <v>31</v>
      </c>
      <c r="D7297" t="s">
        <v>1447</v>
      </c>
      <c r="E7297" t="s">
        <v>1989</v>
      </c>
      <c r="F7297" t="s">
        <v>1737</v>
      </c>
      <c r="K7297" t="str">
        <f>IF(ISBLANK('Q 8'!$E113),"",IF('Q 8'!$E113="&lt;please select&gt;","",'Q 8'!$E113))</f>
        <v/>
      </c>
    </row>
    <row r="7298" spans="1:11" x14ac:dyDescent="0.3">
      <c r="A7298" t="s">
        <v>2082</v>
      </c>
      <c r="B7298" t="s">
        <v>2084</v>
      </c>
      <c r="C7298">
        <v>32</v>
      </c>
      <c r="D7298" t="s">
        <v>1447</v>
      </c>
      <c r="E7298" t="s">
        <v>1989</v>
      </c>
      <c r="F7298" t="s">
        <v>1737</v>
      </c>
      <c r="K7298" t="str">
        <f>IF(ISBLANK('Q 8'!$E114),"",IF('Q 8'!$E114="&lt;please select&gt;","",'Q 8'!$E114))</f>
        <v/>
      </c>
    </row>
    <row r="7299" spans="1:11" x14ac:dyDescent="0.3">
      <c r="A7299" t="s">
        <v>2082</v>
      </c>
      <c r="B7299" t="s">
        <v>2084</v>
      </c>
      <c r="C7299">
        <v>33</v>
      </c>
      <c r="D7299" t="s">
        <v>1447</v>
      </c>
      <c r="E7299" t="s">
        <v>1989</v>
      </c>
      <c r="F7299" t="s">
        <v>1737</v>
      </c>
      <c r="K7299" t="str">
        <f>IF(ISBLANK('Q 8'!$E115),"",IF('Q 8'!$E115="&lt;please select&gt;","",'Q 8'!$E115))</f>
        <v/>
      </c>
    </row>
    <row r="7300" spans="1:11" x14ac:dyDescent="0.3">
      <c r="A7300" t="s">
        <v>2082</v>
      </c>
      <c r="B7300" t="s">
        <v>2084</v>
      </c>
      <c r="C7300">
        <v>34</v>
      </c>
      <c r="D7300" t="s">
        <v>1447</v>
      </c>
      <c r="E7300" t="s">
        <v>1989</v>
      </c>
      <c r="F7300" t="s">
        <v>1737</v>
      </c>
      <c r="K7300" t="str">
        <f>IF(ISBLANK('Q 8'!$E116),"",IF('Q 8'!$E116="&lt;please select&gt;","",'Q 8'!$E116))</f>
        <v/>
      </c>
    </row>
    <row r="7301" spans="1:11" x14ac:dyDescent="0.3">
      <c r="A7301" t="s">
        <v>2082</v>
      </c>
      <c r="B7301" t="s">
        <v>2084</v>
      </c>
      <c r="C7301">
        <v>35</v>
      </c>
      <c r="D7301" t="s">
        <v>1447</v>
      </c>
      <c r="E7301" t="s">
        <v>1989</v>
      </c>
      <c r="F7301" t="s">
        <v>1737</v>
      </c>
      <c r="K7301" t="str">
        <f>IF(ISBLANK('Q 8'!$E117),"",IF('Q 8'!$E117="&lt;please select&gt;","",'Q 8'!$E117))</f>
        <v/>
      </c>
    </row>
    <row r="7302" spans="1:11" x14ac:dyDescent="0.3">
      <c r="A7302" t="s">
        <v>2082</v>
      </c>
      <c r="B7302" t="s">
        <v>2084</v>
      </c>
      <c r="C7302">
        <v>36</v>
      </c>
      <c r="D7302" t="s">
        <v>1447</v>
      </c>
      <c r="E7302" t="s">
        <v>1989</v>
      </c>
      <c r="F7302" t="s">
        <v>1737</v>
      </c>
      <c r="K7302" t="str">
        <f>IF(ISBLANK('Q 8'!$E118),"",IF('Q 8'!$E118="&lt;please select&gt;","",'Q 8'!$E118))</f>
        <v/>
      </c>
    </row>
    <row r="7303" spans="1:11" x14ac:dyDescent="0.3">
      <c r="A7303" t="s">
        <v>2082</v>
      </c>
      <c r="B7303" t="s">
        <v>2084</v>
      </c>
      <c r="C7303">
        <v>37</v>
      </c>
      <c r="D7303" t="s">
        <v>1447</v>
      </c>
      <c r="E7303" t="s">
        <v>1989</v>
      </c>
      <c r="F7303" t="s">
        <v>1737</v>
      </c>
      <c r="K7303" t="str">
        <f>IF(ISBLANK('Q 8'!$E119),"",IF('Q 8'!$E119="&lt;please select&gt;","",'Q 8'!$E119))</f>
        <v/>
      </c>
    </row>
    <row r="7304" spans="1:11" x14ac:dyDescent="0.3">
      <c r="A7304" t="s">
        <v>2082</v>
      </c>
      <c r="B7304" t="s">
        <v>2084</v>
      </c>
      <c r="C7304">
        <v>38</v>
      </c>
      <c r="D7304" t="s">
        <v>1447</v>
      </c>
      <c r="E7304" t="s">
        <v>1989</v>
      </c>
      <c r="F7304" t="s">
        <v>1737</v>
      </c>
      <c r="K7304" t="str">
        <f>IF(ISBLANK('Q 8'!$E120),"",IF('Q 8'!$E120="&lt;please select&gt;","",'Q 8'!$E120))</f>
        <v/>
      </c>
    </row>
    <row r="7305" spans="1:11" x14ac:dyDescent="0.3">
      <c r="A7305" t="s">
        <v>2082</v>
      </c>
      <c r="B7305" t="s">
        <v>2084</v>
      </c>
      <c r="C7305">
        <v>39</v>
      </c>
      <c r="D7305" t="s">
        <v>1447</v>
      </c>
      <c r="E7305" t="s">
        <v>1989</v>
      </c>
      <c r="F7305" t="s">
        <v>1737</v>
      </c>
      <c r="K7305" t="str">
        <f>IF(ISBLANK('Q 8'!$E121),"",IF('Q 8'!$E121="&lt;please select&gt;","",'Q 8'!$E121))</f>
        <v/>
      </c>
    </row>
    <row r="7306" spans="1:11" x14ac:dyDescent="0.3">
      <c r="A7306" t="s">
        <v>2082</v>
      </c>
      <c r="B7306" t="s">
        <v>2084</v>
      </c>
      <c r="C7306">
        <v>40</v>
      </c>
      <c r="D7306" t="s">
        <v>1447</v>
      </c>
      <c r="E7306" t="s">
        <v>1989</v>
      </c>
      <c r="F7306" t="s">
        <v>1737</v>
      </c>
      <c r="K7306" t="str">
        <f>IF(ISBLANK('Q 8'!$E122),"",IF('Q 8'!$E122="&lt;please select&gt;","",'Q 8'!$E122))</f>
        <v/>
      </c>
    </row>
    <row r="7307" spans="1:11" x14ac:dyDescent="0.3">
      <c r="A7307" t="s">
        <v>2082</v>
      </c>
      <c r="B7307" t="s">
        <v>2084</v>
      </c>
      <c r="C7307">
        <v>41</v>
      </c>
      <c r="D7307" t="s">
        <v>1447</v>
      </c>
      <c r="E7307" t="s">
        <v>1989</v>
      </c>
      <c r="F7307" t="s">
        <v>1737</v>
      </c>
      <c r="K7307" t="str">
        <f>IF(ISBLANK('Q 8'!$E123),"",IF('Q 8'!$E123="&lt;please select&gt;","",'Q 8'!$E123))</f>
        <v/>
      </c>
    </row>
    <row r="7308" spans="1:11" x14ac:dyDescent="0.3">
      <c r="A7308" t="s">
        <v>2082</v>
      </c>
      <c r="B7308" t="s">
        <v>2084</v>
      </c>
      <c r="C7308">
        <v>42</v>
      </c>
      <c r="D7308" t="s">
        <v>1447</v>
      </c>
      <c r="E7308" t="s">
        <v>1989</v>
      </c>
      <c r="F7308" t="s">
        <v>1737</v>
      </c>
      <c r="K7308" t="str">
        <f>IF(ISBLANK('Q 8'!$E124),"",IF('Q 8'!$E124="&lt;please select&gt;","",'Q 8'!$E124))</f>
        <v/>
      </c>
    </row>
    <row r="7309" spans="1:11" x14ac:dyDescent="0.3">
      <c r="A7309" t="s">
        <v>2082</v>
      </c>
      <c r="B7309" t="s">
        <v>2084</v>
      </c>
      <c r="C7309">
        <v>43</v>
      </c>
      <c r="D7309" t="s">
        <v>1447</v>
      </c>
      <c r="E7309" t="s">
        <v>1989</v>
      </c>
      <c r="F7309" t="s">
        <v>1737</v>
      </c>
      <c r="K7309" t="str">
        <f>IF(ISBLANK('Q 8'!$E125),"",IF('Q 8'!$E125="&lt;please select&gt;","",'Q 8'!$E125))</f>
        <v/>
      </c>
    </row>
    <row r="7310" spans="1:11" x14ac:dyDescent="0.3">
      <c r="A7310" t="s">
        <v>2082</v>
      </c>
      <c r="B7310" t="s">
        <v>2084</v>
      </c>
      <c r="C7310">
        <v>44</v>
      </c>
      <c r="D7310" t="s">
        <v>1447</v>
      </c>
      <c r="E7310" t="s">
        <v>1989</v>
      </c>
      <c r="F7310" t="s">
        <v>1737</v>
      </c>
      <c r="K7310" t="str">
        <f>IF(ISBLANK('Q 8'!$E126),"",IF('Q 8'!$E126="&lt;please select&gt;","",'Q 8'!$E126))</f>
        <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
      </c>
    </row>
    <row r="7318" spans="1:11" x14ac:dyDescent="0.3">
      <c r="A7318" t="s">
        <v>2082</v>
      </c>
      <c r="B7318" t="s">
        <v>2084</v>
      </c>
      <c r="C7318">
        <v>2</v>
      </c>
      <c r="D7318" t="s">
        <v>1447</v>
      </c>
      <c r="E7318" t="s">
        <v>1798</v>
      </c>
      <c r="F7318" t="s">
        <v>1748</v>
      </c>
      <c r="H7318" s="165" t="str">
        <f>IF(ISBLANK('Q 8'!F84),"",IF('Q 8'!F84="&lt;please select&gt;","",'Q 8'!F84))</f>
        <v/>
      </c>
    </row>
    <row r="7319" spans="1:11" x14ac:dyDescent="0.3">
      <c r="A7319" t="s">
        <v>2082</v>
      </c>
      <c r="B7319" t="s">
        <v>2084</v>
      </c>
      <c r="C7319">
        <v>3</v>
      </c>
      <c r="D7319" t="s">
        <v>1447</v>
      </c>
      <c r="E7319" t="s">
        <v>1798</v>
      </c>
      <c r="F7319" t="s">
        <v>1748</v>
      </c>
      <c r="H7319" s="165" t="str">
        <f>IF(ISBLANK('Q 8'!F85),"",IF('Q 8'!F85="&lt;please select&gt;","",'Q 8'!F85))</f>
        <v/>
      </c>
    </row>
    <row r="7320" spans="1:11" x14ac:dyDescent="0.3">
      <c r="A7320" t="s">
        <v>2082</v>
      </c>
      <c r="B7320" t="s">
        <v>2084</v>
      </c>
      <c r="C7320">
        <v>4</v>
      </c>
      <c r="D7320" t="s">
        <v>1447</v>
      </c>
      <c r="E7320" t="s">
        <v>1798</v>
      </c>
      <c r="F7320" t="s">
        <v>1748</v>
      </c>
      <c r="H7320" s="165" t="str">
        <f>IF(ISBLANK('Q 8'!F86),"",IF('Q 8'!F86="&lt;please select&gt;","",'Q 8'!F86))</f>
        <v/>
      </c>
    </row>
    <row r="7321" spans="1:11" x14ac:dyDescent="0.3">
      <c r="A7321" t="s">
        <v>2082</v>
      </c>
      <c r="B7321" t="s">
        <v>2084</v>
      </c>
      <c r="C7321">
        <v>5</v>
      </c>
      <c r="D7321" t="s">
        <v>1447</v>
      </c>
      <c r="E7321" t="s">
        <v>1798</v>
      </c>
      <c r="F7321" t="s">
        <v>1748</v>
      </c>
      <c r="H7321" s="165" t="str">
        <f>IF(ISBLANK('Q 8'!F87),"",IF('Q 8'!F87="&lt;please select&gt;","",'Q 8'!F87))</f>
        <v/>
      </c>
    </row>
    <row r="7322" spans="1:11" x14ac:dyDescent="0.3">
      <c r="A7322" t="s">
        <v>2082</v>
      </c>
      <c r="B7322" t="s">
        <v>2084</v>
      </c>
      <c r="C7322">
        <v>6</v>
      </c>
      <c r="D7322" t="s">
        <v>1447</v>
      </c>
      <c r="E7322" t="s">
        <v>1798</v>
      </c>
      <c r="F7322" t="s">
        <v>1748</v>
      </c>
      <c r="H7322" s="165" t="str">
        <f>IF(ISBLANK('Q 8'!F88),"",IF('Q 8'!F88="&lt;please select&gt;","",'Q 8'!F88))</f>
        <v/>
      </c>
    </row>
    <row r="7323" spans="1:11" x14ac:dyDescent="0.3">
      <c r="A7323" t="s">
        <v>2082</v>
      </c>
      <c r="B7323" t="s">
        <v>2084</v>
      </c>
      <c r="C7323">
        <v>7</v>
      </c>
      <c r="D7323" t="s">
        <v>1447</v>
      </c>
      <c r="E7323" t="s">
        <v>1798</v>
      </c>
      <c r="F7323" t="s">
        <v>1748</v>
      </c>
      <c r="H7323" s="165" t="str">
        <f>IF(ISBLANK('Q 8'!F89),"",IF('Q 8'!F89="&lt;please select&gt;","",'Q 8'!F89))</f>
        <v/>
      </c>
    </row>
    <row r="7324" spans="1:11" x14ac:dyDescent="0.3">
      <c r="A7324" t="s">
        <v>2082</v>
      </c>
      <c r="B7324" t="s">
        <v>2084</v>
      </c>
      <c r="C7324">
        <v>8</v>
      </c>
      <c r="D7324" t="s">
        <v>1447</v>
      </c>
      <c r="E7324" t="s">
        <v>1798</v>
      </c>
      <c r="F7324" t="s">
        <v>1748</v>
      </c>
      <c r="H7324" s="165" t="str">
        <f>IF(ISBLANK('Q 8'!F90),"",IF('Q 8'!F90="&lt;please select&gt;","",'Q 8'!F90))</f>
        <v/>
      </c>
    </row>
    <row r="7325" spans="1:11" x14ac:dyDescent="0.3">
      <c r="A7325" t="s">
        <v>2082</v>
      </c>
      <c r="B7325" t="s">
        <v>2084</v>
      </c>
      <c r="C7325">
        <v>9</v>
      </c>
      <c r="D7325" t="s">
        <v>1447</v>
      </c>
      <c r="E7325" t="s">
        <v>1798</v>
      </c>
      <c r="F7325" t="s">
        <v>1748</v>
      </c>
      <c r="H7325" s="165" t="str">
        <f>IF(ISBLANK('Q 8'!F91),"",IF('Q 8'!F91="&lt;please select&gt;","",'Q 8'!F91))</f>
        <v/>
      </c>
    </row>
    <row r="7326" spans="1:11" x14ac:dyDescent="0.3">
      <c r="A7326" t="s">
        <v>2082</v>
      </c>
      <c r="B7326" t="s">
        <v>2084</v>
      </c>
      <c r="C7326">
        <v>10</v>
      </c>
      <c r="D7326" t="s">
        <v>1447</v>
      </c>
      <c r="E7326" t="s">
        <v>1798</v>
      </c>
      <c r="F7326" t="s">
        <v>1748</v>
      </c>
      <c r="H7326" s="165" t="str">
        <f>IF(ISBLANK('Q 8'!F92),"",IF('Q 8'!F92="&lt;please select&gt;","",'Q 8'!F92))</f>
        <v/>
      </c>
    </row>
    <row r="7327" spans="1:11" x14ac:dyDescent="0.3">
      <c r="A7327" t="s">
        <v>2082</v>
      </c>
      <c r="B7327" t="s">
        <v>2084</v>
      </c>
      <c r="C7327">
        <v>11</v>
      </c>
      <c r="D7327" t="s">
        <v>1447</v>
      </c>
      <c r="E7327" t="s">
        <v>1798</v>
      </c>
      <c r="F7327" t="s">
        <v>1748</v>
      </c>
      <c r="H7327" s="165" t="str">
        <f>IF(ISBLANK('Q 8'!F93),"",IF('Q 8'!F93="&lt;please select&gt;","",'Q 8'!F93))</f>
        <v/>
      </c>
    </row>
    <row r="7328" spans="1:11" x14ac:dyDescent="0.3">
      <c r="A7328" t="s">
        <v>2082</v>
      </c>
      <c r="B7328" t="s">
        <v>2084</v>
      </c>
      <c r="C7328">
        <v>12</v>
      </c>
      <c r="D7328" t="s">
        <v>1447</v>
      </c>
      <c r="E7328" t="s">
        <v>1798</v>
      </c>
      <c r="F7328" t="s">
        <v>1748</v>
      </c>
      <c r="H7328" s="165" t="str">
        <f>IF(ISBLANK('Q 8'!F94),"",IF('Q 8'!F94="&lt;please select&gt;","",'Q 8'!F94))</f>
        <v/>
      </c>
    </row>
    <row r="7329" spans="1:8" x14ac:dyDescent="0.3">
      <c r="A7329" t="s">
        <v>2082</v>
      </c>
      <c r="B7329" t="s">
        <v>2084</v>
      </c>
      <c r="C7329">
        <v>13</v>
      </c>
      <c r="D7329" t="s">
        <v>1447</v>
      </c>
      <c r="E7329" t="s">
        <v>1798</v>
      </c>
      <c r="F7329" t="s">
        <v>1748</v>
      </c>
      <c r="H7329" s="165" t="str">
        <f>IF(ISBLANK('Q 8'!F95),"",IF('Q 8'!F95="&lt;please select&gt;","",'Q 8'!F95))</f>
        <v/>
      </c>
    </row>
    <row r="7330" spans="1:8" x14ac:dyDescent="0.3">
      <c r="A7330" t="s">
        <v>2082</v>
      </c>
      <c r="B7330" t="s">
        <v>2084</v>
      </c>
      <c r="C7330">
        <v>14</v>
      </c>
      <c r="D7330" t="s">
        <v>1447</v>
      </c>
      <c r="E7330" t="s">
        <v>1798</v>
      </c>
      <c r="F7330" t="s">
        <v>1748</v>
      </c>
      <c r="H7330" s="165" t="str">
        <f>IF(ISBLANK('Q 8'!F96),"",IF('Q 8'!F96="&lt;please select&gt;","",'Q 8'!F96))</f>
        <v/>
      </c>
    </row>
    <row r="7331" spans="1:8" x14ac:dyDescent="0.3">
      <c r="A7331" t="s">
        <v>2082</v>
      </c>
      <c r="B7331" t="s">
        <v>2084</v>
      </c>
      <c r="C7331">
        <v>15</v>
      </c>
      <c r="D7331" t="s">
        <v>1447</v>
      </c>
      <c r="E7331" t="s">
        <v>1798</v>
      </c>
      <c r="F7331" t="s">
        <v>1748</v>
      </c>
      <c r="H7331" s="165" t="str">
        <f>IF(ISBLANK('Q 8'!F97),"",IF('Q 8'!F97="&lt;please select&gt;","",'Q 8'!F97))</f>
        <v/>
      </c>
    </row>
    <row r="7332" spans="1:8" x14ac:dyDescent="0.3">
      <c r="A7332" t="s">
        <v>2082</v>
      </c>
      <c r="B7332" t="s">
        <v>2084</v>
      </c>
      <c r="C7332">
        <v>16</v>
      </c>
      <c r="D7332" t="s">
        <v>1447</v>
      </c>
      <c r="E7332" t="s">
        <v>1798</v>
      </c>
      <c r="F7332" t="s">
        <v>1748</v>
      </c>
      <c r="H7332" s="165" t="str">
        <f>IF(ISBLANK('Q 8'!F98),"",IF('Q 8'!F98="&lt;please select&gt;","",'Q 8'!F98))</f>
        <v/>
      </c>
    </row>
    <row r="7333" spans="1:8" x14ac:dyDescent="0.3">
      <c r="A7333" t="s">
        <v>2082</v>
      </c>
      <c r="B7333" t="s">
        <v>2084</v>
      </c>
      <c r="C7333">
        <v>17</v>
      </c>
      <c r="D7333" t="s">
        <v>1447</v>
      </c>
      <c r="E7333" t="s">
        <v>1798</v>
      </c>
      <c r="F7333" t="s">
        <v>1748</v>
      </c>
      <c r="H7333" s="165" t="str">
        <f>IF(ISBLANK('Q 8'!F99),"",IF('Q 8'!F99="&lt;please select&gt;","",'Q 8'!F99))</f>
        <v/>
      </c>
    </row>
    <row r="7334" spans="1:8" x14ac:dyDescent="0.3">
      <c r="A7334" t="s">
        <v>2082</v>
      </c>
      <c r="B7334" t="s">
        <v>2084</v>
      </c>
      <c r="C7334">
        <v>18</v>
      </c>
      <c r="D7334" t="s">
        <v>1447</v>
      </c>
      <c r="E7334" t="s">
        <v>1798</v>
      </c>
      <c r="F7334" t="s">
        <v>1748</v>
      </c>
      <c r="H7334" s="165" t="str">
        <f>IF(ISBLANK('Q 8'!F100),"",IF('Q 8'!F100="&lt;please select&gt;","",'Q 8'!F100))</f>
        <v/>
      </c>
    </row>
    <row r="7335" spans="1:8" x14ac:dyDescent="0.3">
      <c r="A7335" t="s">
        <v>2082</v>
      </c>
      <c r="B7335" t="s">
        <v>2084</v>
      </c>
      <c r="C7335">
        <v>19</v>
      </c>
      <c r="D7335" t="s">
        <v>1447</v>
      </c>
      <c r="E7335" t="s">
        <v>1798</v>
      </c>
      <c r="F7335" t="s">
        <v>1748</v>
      </c>
      <c r="H7335" s="165" t="str">
        <f>IF(ISBLANK('Q 8'!F101),"",IF('Q 8'!F101="&lt;please select&gt;","",'Q 8'!F101))</f>
        <v/>
      </c>
    </row>
    <row r="7336" spans="1:8" x14ac:dyDescent="0.3">
      <c r="A7336" t="s">
        <v>2082</v>
      </c>
      <c r="B7336" t="s">
        <v>2084</v>
      </c>
      <c r="C7336">
        <v>20</v>
      </c>
      <c r="D7336" t="s">
        <v>1447</v>
      </c>
      <c r="E7336" t="s">
        <v>1798</v>
      </c>
      <c r="F7336" t="s">
        <v>1748</v>
      </c>
      <c r="H7336" s="165" t="str">
        <f>IF(ISBLANK('Q 8'!F102),"",IF('Q 8'!F102="&lt;please select&gt;","",'Q 8'!F102))</f>
        <v/>
      </c>
    </row>
    <row r="7337" spans="1:8" x14ac:dyDescent="0.3">
      <c r="A7337" t="s">
        <v>2082</v>
      </c>
      <c r="B7337" t="s">
        <v>2084</v>
      </c>
      <c r="C7337">
        <v>21</v>
      </c>
      <c r="D7337" t="s">
        <v>1447</v>
      </c>
      <c r="E7337" t="s">
        <v>1798</v>
      </c>
      <c r="F7337" t="s">
        <v>1748</v>
      </c>
      <c r="H7337" s="165" t="str">
        <f>IF(ISBLANK('Q 8'!F103),"",IF('Q 8'!F103="&lt;please select&gt;","",'Q 8'!F103))</f>
        <v/>
      </c>
    </row>
    <row r="7338" spans="1:8" x14ac:dyDescent="0.3">
      <c r="A7338" t="s">
        <v>2082</v>
      </c>
      <c r="B7338" t="s">
        <v>2084</v>
      </c>
      <c r="C7338">
        <v>22</v>
      </c>
      <c r="D7338" t="s">
        <v>1447</v>
      </c>
      <c r="E7338" t="s">
        <v>1798</v>
      </c>
      <c r="F7338" t="s">
        <v>1748</v>
      </c>
      <c r="H7338" s="165" t="str">
        <f>IF(ISBLANK('Q 8'!F104),"",IF('Q 8'!F104="&lt;please select&gt;","",'Q 8'!F104))</f>
        <v/>
      </c>
    </row>
    <row r="7339" spans="1:8" x14ac:dyDescent="0.3">
      <c r="A7339" t="s">
        <v>2082</v>
      </c>
      <c r="B7339" t="s">
        <v>2084</v>
      </c>
      <c r="C7339">
        <v>23</v>
      </c>
      <c r="D7339" t="s">
        <v>1447</v>
      </c>
      <c r="E7339" t="s">
        <v>1798</v>
      </c>
      <c r="F7339" t="s">
        <v>1748</v>
      </c>
      <c r="H7339" s="165" t="str">
        <f>IF(ISBLANK('Q 8'!F105),"",IF('Q 8'!F105="&lt;please select&gt;","",'Q 8'!F105))</f>
        <v/>
      </c>
    </row>
    <row r="7340" spans="1:8" x14ac:dyDescent="0.3">
      <c r="A7340" t="s">
        <v>2082</v>
      </c>
      <c r="B7340" t="s">
        <v>2084</v>
      </c>
      <c r="C7340">
        <v>24</v>
      </c>
      <c r="D7340" t="s">
        <v>1447</v>
      </c>
      <c r="E7340" t="s">
        <v>1798</v>
      </c>
      <c r="F7340" t="s">
        <v>1748</v>
      </c>
      <c r="H7340" s="165" t="str">
        <f>IF(ISBLANK('Q 8'!F106),"",IF('Q 8'!F106="&lt;please select&gt;","",'Q 8'!F106))</f>
        <v/>
      </c>
    </row>
    <row r="7341" spans="1:8" x14ac:dyDescent="0.3">
      <c r="A7341" t="s">
        <v>2082</v>
      </c>
      <c r="B7341" t="s">
        <v>2084</v>
      </c>
      <c r="C7341">
        <v>25</v>
      </c>
      <c r="D7341" t="s">
        <v>1447</v>
      </c>
      <c r="E7341" t="s">
        <v>1798</v>
      </c>
      <c r="F7341" t="s">
        <v>1748</v>
      </c>
      <c r="H7341" s="165" t="str">
        <f>IF(ISBLANK('Q 8'!F107),"",IF('Q 8'!F107="&lt;please select&gt;","",'Q 8'!F107))</f>
        <v/>
      </c>
    </row>
    <row r="7342" spans="1:8" x14ac:dyDescent="0.3">
      <c r="A7342" t="s">
        <v>2082</v>
      </c>
      <c r="B7342" t="s">
        <v>2084</v>
      </c>
      <c r="C7342">
        <v>26</v>
      </c>
      <c r="D7342" t="s">
        <v>1447</v>
      </c>
      <c r="E7342" t="s">
        <v>1798</v>
      </c>
      <c r="F7342" t="s">
        <v>1748</v>
      </c>
      <c r="H7342" s="165" t="str">
        <f>IF(ISBLANK('Q 8'!F108),"",IF('Q 8'!F108="&lt;please select&gt;","",'Q 8'!F108))</f>
        <v/>
      </c>
    </row>
    <row r="7343" spans="1:8" x14ac:dyDescent="0.3">
      <c r="A7343" t="s">
        <v>2082</v>
      </c>
      <c r="B7343" t="s">
        <v>2084</v>
      </c>
      <c r="C7343">
        <v>27</v>
      </c>
      <c r="D7343" t="s">
        <v>1447</v>
      </c>
      <c r="E7343" t="s">
        <v>1798</v>
      </c>
      <c r="F7343" t="s">
        <v>1748</v>
      </c>
      <c r="H7343" s="165" t="str">
        <f>IF(ISBLANK('Q 8'!F109),"",IF('Q 8'!F109="&lt;please select&gt;","",'Q 8'!F109))</f>
        <v/>
      </c>
    </row>
    <row r="7344" spans="1:8" x14ac:dyDescent="0.3">
      <c r="A7344" t="s">
        <v>2082</v>
      </c>
      <c r="B7344" t="s">
        <v>2084</v>
      </c>
      <c r="C7344">
        <v>28</v>
      </c>
      <c r="D7344" t="s">
        <v>1447</v>
      </c>
      <c r="E7344" t="s">
        <v>1798</v>
      </c>
      <c r="F7344" t="s">
        <v>1748</v>
      </c>
      <c r="H7344" s="165" t="str">
        <f>IF(ISBLANK('Q 8'!F110),"",IF('Q 8'!F110="&lt;please select&gt;","",'Q 8'!F110))</f>
        <v/>
      </c>
    </row>
    <row r="7345" spans="1:8" x14ac:dyDescent="0.3">
      <c r="A7345" t="s">
        <v>2082</v>
      </c>
      <c r="B7345" t="s">
        <v>2084</v>
      </c>
      <c r="C7345">
        <v>29</v>
      </c>
      <c r="D7345" t="s">
        <v>1447</v>
      </c>
      <c r="E7345" t="s">
        <v>1798</v>
      </c>
      <c r="F7345" t="s">
        <v>1748</v>
      </c>
      <c r="H7345" s="165" t="str">
        <f>IF(ISBLANK('Q 8'!F111),"",IF('Q 8'!F111="&lt;please select&gt;","",'Q 8'!F111))</f>
        <v/>
      </c>
    </row>
    <row r="7346" spans="1:8" x14ac:dyDescent="0.3">
      <c r="A7346" t="s">
        <v>2082</v>
      </c>
      <c r="B7346" t="s">
        <v>2084</v>
      </c>
      <c r="C7346">
        <v>30</v>
      </c>
      <c r="D7346" t="s">
        <v>1447</v>
      </c>
      <c r="E7346" t="s">
        <v>1798</v>
      </c>
      <c r="F7346" t="s">
        <v>1748</v>
      </c>
      <c r="H7346" s="165" t="str">
        <f>IF(ISBLANK('Q 8'!F112),"",IF('Q 8'!F112="&lt;please select&gt;","",'Q 8'!F112))</f>
        <v/>
      </c>
    </row>
    <row r="7347" spans="1:8" x14ac:dyDescent="0.3">
      <c r="A7347" t="s">
        <v>2082</v>
      </c>
      <c r="B7347" t="s">
        <v>2084</v>
      </c>
      <c r="C7347">
        <v>31</v>
      </c>
      <c r="D7347" t="s">
        <v>1447</v>
      </c>
      <c r="E7347" t="s">
        <v>1798</v>
      </c>
      <c r="F7347" t="s">
        <v>1748</v>
      </c>
      <c r="H7347" s="165" t="str">
        <f>IF(ISBLANK('Q 8'!F113),"",IF('Q 8'!F113="&lt;please select&gt;","",'Q 8'!F113))</f>
        <v/>
      </c>
    </row>
    <row r="7348" spans="1:8" x14ac:dyDescent="0.3">
      <c r="A7348" t="s">
        <v>2082</v>
      </c>
      <c r="B7348" t="s">
        <v>2084</v>
      </c>
      <c r="C7348">
        <v>32</v>
      </c>
      <c r="D7348" t="s">
        <v>1447</v>
      </c>
      <c r="E7348" t="s">
        <v>1798</v>
      </c>
      <c r="F7348" t="s">
        <v>1748</v>
      </c>
      <c r="H7348" s="165" t="str">
        <f>IF(ISBLANK('Q 8'!F114),"",IF('Q 8'!F114="&lt;please select&gt;","",'Q 8'!F114))</f>
        <v/>
      </c>
    </row>
    <row r="7349" spans="1:8" x14ac:dyDescent="0.3">
      <c r="A7349" t="s">
        <v>2082</v>
      </c>
      <c r="B7349" t="s">
        <v>2084</v>
      </c>
      <c r="C7349">
        <v>33</v>
      </c>
      <c r="D7349" t="s">
        <v>1447</v>
      </c>
      <c r="E7349" t="s">
        <v>1798</v>
      </c>
      <c r="F7349" t="s">
        <v>1748</v>
      </c>
      <c r="H7349" s="165" t="str">
        <f>IF(ISBLANK('Q 8'!F115),"",IF('Q 8'!F115="&lt;please select&gt;","",'Q 8'!F115))</f>
        <v/>
      </c>
    </row>
    <row r="7350" spans="1:8" x14ac:dyDescent="0.3">
      <c r="A7350" t="s">
        <v>2082</v>
      </c>
      <c r="B7350" t="s">
        <v>2084</v>
      </c>
      <c r="C7350">
        <v>34</v>
      </c>
      <c r="D7350" t="s">
        <v>1447</v>
      </c>
      <c r="E7350" t="s">
        <v>1798</v>
      </c>
      <c r="F7350" t="s">
        <v>1748</v>
      </c>
      <c r="H7350" s="165" t="str">
        <f>IF(ISBLANK('Q 8'!F116),"",IF('Q 8'!F116="&lt;please select&gt;","",'Q 8'!F116))</f>
        <v/>
      </c>
    </row>
    <row r="7351" spans="1:8" x14ac:dyDescent="0.3">
      <c r="A7351" t="s">
        <v>2082</v>
      </c>
      <c r="B7351" t="s">
        <v>2084</v>
      </c>
      <c r="C7351">
        <v>35</v>
      </c>
      <c r="D7351" t="s">
        <v>1447</v>
      </c>
      <c r="E7351" t="s">
        <v>1798</v>
      </c>
      <c r="F7351" t="s">
        <v>1748</v>
      </c>
      <c r="H7351" s="165" t="str">
        <f>IF(ISBLANK('Q 8'!F117),"",IF('Q 8'!F117="&lt;please select&gt;","",'Q 8'!F117))</f>
        <v/>
      </c>
    </row>
    <row r="7352" spans="1:8" x14ac:dyDescent="0.3">
      <c r="A7352" t="s">
        <v>2082</v>
      </c>
      <c r="B7352" t="s">
        <v>2084</v>
      </c>
      <c r="C7352">
        <v>36</v>
      </c>
      <c r="D7352" t="s">
        <v>1447</v>
      </c>
      <c r="E7352" t="s">
        <v>1798</v>
      </c>
      <c r="F7352" t="s">
        <v>1748</v>
      </c>
      <c r="H7352" s="165" t="str">
        <f>IF(ISBLANK('Q 8'!F118),"",IF('Q 8'!F118="&lt;please select&gt;","",'Q 8'!F118))</f>
        <v/>
      </c>
    </row>
    <row r="7353" spans="1:8" x14ac:dyDescent="0.3">
      <c r="A7353" t="s">
        <v>2082</v>
      </c>
      <c r="B7353" t="s">
        <v>2084</v>
      </c>
      <c r="C7353">
        <v>37</v>
      </c>
      <c r="D7353" t="s">
        <v>1447</v>
      </c>
      <c r="E7353" t="s">
        <v>1798</v>
      </c>
      <c r="F7353" t="s">
        <v>1748</v>
      </c>
      <c r="H7353" s="165" t="str">
        <f>IF(ISBLANK('Q 8'!F119),"",IF('Q 8'!F119="&lt;please select&gt;","",'Q 8'!F119))</f>
        <v/>
      </c>
    </row>
    <row r="7354" spans="1:8" x14ac:dyDescent="0.3">
      <c r="A7354" t="s">
        <v>2082</v>
      </c>
      <c r="B7354" t="s">
        <v>2084</v>
      </c>
      <c r="C7354">
        <v>38</v>
      </c>
      <c r="D7354" t="s">
        <v>1447</v>
      </c>
      <c r="E7354" t="s">
        <v>1798</v>
      </c>
      <c r="F7354" t="s">
        <v>1748</v>
      </c>
      <c r="H7354" s="165" t="str">
        <f>IF(ISBLANK('Q 8'!F120),"",IF('Q 8'!F120="&lt;please select&gt;","",'Q 8'!F120))</f>
        <v/>
      </c>
    </row>
    <row r="7355" spans="1:8" x14ac:dyDescent="0.3">
      <c r="A7355" t="s">
        <v>2082</v>
      </c>
      <c r="B7355" t="s">
        <v>2084</v>
      </c>
      <c r="C7355">
        <v>39</v>
      </c>
      <c r="D7355" t="s">
        <v>1447</v>
      </c>
      <c r="E7355" t="s">
        <v>1798</v>
      </c>
      <c r="F7355" t="s">
        <v>1748</v>
      </c>
      <c r="H7355" s="165" t="str">
        <f>IF(ISBLANK('Q 8'!F121),"",IF('Q 8'!F121="&lt;please select&gt;","",'Q 8'!F121))</f>
        <v/>
      </c>
    </row>
    <row r="7356" spans="1:8" x14ac:dyDescent="0.3">
      <c r="A7356" t="s">
        <v>2082</v>
      </c>
      <c r="B7356" t="s">
        <v>2084</v>
      </c>
      <c r="C7356">
        <v>40</v>
      </c>
      <c r="D7356" t="s">
        <v>1447</v>
      </c>
      <c r="E7356" t="s">
        <v>1798</v>
      </c>
      <c r="F7356" t="s">
        <v>1748</v>
      </c>
      <c r="H7356" s="165" t="str">
        <f>IF(ISBLANK('Q 8'!F122),"",IF('Q 8'!F122="&lt;please select&gt;","",'Q 8'!F122))</f>
        <v/>
      </c>
    </row>
    <row r="7357" spans="1:8" x14ac:dyDescent="0.3">
      <c r="A7357" t="s">
        <v>2082</v>
      </c>
      <c r="B7357" t="s">
        <v>2084</v>
      </c>
      <c r="C7357">
        <v>41</v>
      </c>
      <c r="D7357" t="s">
        <v>1447</v>
      </c>
      <c r="E7357" t="s">
        <v>1798</v>
      </c>
      <c r="F7357" t="s">
        <v>1748</v>
      </c>
      <c r="H7357" s="165" t="str">
        <f>IF(ISBLANK('Q 8'!F123),"",IF('Q 8'!F123="&lt;please select&gt;","",'Q 8'!F123))</f>
        <v/>
      </c>
    </row>
    <row r="7358" spans="1:8" x14ac:dyDescent="0.3">
      <c r="A7358" t="s">
        <v>2082</v>
      </c>
      <c r="B7358" t="s">
        <v>2084</v>
      </c>
      <c r="C7358">
        <v>42</v>
      </c>
      <c r="D7358" t="s">
        <v>1447</v>
      </c>
      <c r="E7358" t="s">
        <v>1798</v>
      </c>
      <c r="F7358" t="s">
        <v>1748</v>
      </c>
      <c r="H7358" s="165" t="str">
        <f>IF(ISBLANK('Q 8'!F124),"",IF('Q 8'!F124="&lt;please select&gt;","",'Q 8'!F124))</f>
        <v/>
      </c>
    </row>
    <row r="7359" spans="1:8" x14ac:dyDescent="0.3">
      <c r="A7359" t="s">
        <v>2082</v>
      </c>
      <c r="B7359" t="s">
        <v>2084</v>
      </c>
      <c r="C7359">
        <v>43</v>
      </c>
      <c r="D7359" t="s">
        <v>1447</v>
      </c>
      <c r="E7359" t="s">
        <v>1798</v>
      </c>
      <c r="F7359" t="s">
        <v>1748</v>
      </c>
      <c r="H7359" s="165" t="str">
        <f>IF(ISBLANK('Q 8'!F125),"",IF('Q 8'!F125="&lt;please select&gt;","",'Q 8'!F125))</f>
        <v/>
      </c>
    </row>
    <row r="7360" spans="1:8" x14ac:dyDescent="0.3">
      <c r="A7360" t="s">
        <v>2082</v>
      </c>
      <c r="B7360" t="s">
        <v>2084</v>
      </c>
      <c r="C7360">
        <v>44</v>
      </c>
      <c r="D7360" t="s">
        <v>1447</v>
      </c>
      <c r="E7360" t="s">
        <v>1798</v>
      </c>
      <c r="F7360" t="s">
        <v>1748</v>
      </c>
      <c r="H7360" s="165" t="str">
        <f>IF(ISBLANK('Q 8'!F126),"",IF('Q 8'!F126="&lt;please select&gt;","",'Q 8'!F126))</f>
        <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
      </c>
    </row>
    <row r="7368" spans="1:8" x14ac:dyDescent="0.3">
      <c r="A7368" t="s">
        <v>2082</v>
      </c>
      <c r="B7368" t="s">
        <v>2084</v>
      </c>
      <c r="C7368">
        <v>2</v>
      </c>
      <c r="D7368" t="s">
        <v>1447</v>
      </c>
      <c r="E7368" t="s">
        <v>1972</v>
      </c>
      <c r="F7368" t="s">
        <v>1748</v>
      </c>
      <c r="H7368" s="165" t="str">
        <f>IF(ISBLANK('Q 8'!$G84),"",IF('Q 8'!$G84="&lt;please select&gt;","",'Q 8'!$G84))</f>
        <v/>
      </c>
    </row>
    <row r="7369" spans="1:8" x14ac:dyDescent="0.3">
      <c r="A7369" t="s">
        <v>2082</v>
      </c>
      <c r="B7369" t="s">
        <v>2084</v>
      </c>
      <c r="C7369">
        <v>3</v>
      </c>
      <c r="D7369" t="s">
        <v>1447</v>
      </c>
      <c r="E7369" t="s">
        <v>1972</v>
      </c>
      <c r="F7369" t="s">
        <v>1748</v>
      </c>
      <c r="H7369" s="165" t="str">
        <f>IF(ISBLANK('Q 8'!$G85),"",IF('Q 8'!$G85="&lt;please select&gt;","",'Q 8'!$G85))</f>
        <v/>
      </c>
    </row>
    <row r="7370" spans="1:8" x14ac:dyDescent="0.3">
      <c r="A7370" t="s">
        <v>2082</v>
      </c>
      <c r="B7370" t="s">
        <v>2084</v>
      </c>
      <c r="C7370">
        <v>4</v>
      </c>
      <c r="D7370" t="s">
        <v>1447</v>
      </c>
      <c r="E7370" t="s">
        <v>1972</v>
      </c>
      <c r="F7370" t="s">
        <v>1748</v>
      </c>
      <c r="H7370" s="165" t="str">
        <f>IF(ISBLANK('Q 8'!$G86),"",IF('Q 8'!$G86="&lt;please select&gt;","",'Q 8'!$G86))</f>
        <v/>
      </c>
    </row>
    <row r="7371" spans="1:8" x14ac:dyDescent="0.3">
      <c r="A7371" t="s">
        <v>2082</v>
      </c>
      <c r="B7371" t="s">
        <v>2084</v>
      </c>
      <c r="C7371">
        <v>5</v>
      </c>
      <c r="D7371" t="s">
        <v>1447</v>
      </c>
      <c r="E7371" t="s">
        <v>1972</v>
      </c>
      <c r="F7371" t="s">
        <v>1748</v>
      </c>
      <c r="H7371" s="165" t="str">
        <f>IF(ISBLANK('Q 8'!$G87),"",IF('Q 8'!$G87="&lt;please select&gt;","",'Q 8'!$G87))</f>
        <v/>
      </c>
    </row>
    <row r="7372" spans="1:8" x14ac:dyDescent="0.3">
      <c r="A7372" t="s">
        <v>2082</v>
      </c>
      <c r="B7372" t="s">
        <v>2084</v>
      </c>
      <c r="C7372">
        <v>6</v>
      </c>
      <c r="D7372" t="s">
        <v>1447</v>
      </c>
      <c r="E7372" t="s">
        <v>1972</v>
      </c>
      <c r="F7372" t="s">
        <v>1748</v>
      </c>
      <c r="H7372" s="165" t="str">
        <f>IF(ISBLANK('Q 8'!$G88),"",IF('Q 8'!$G88="&lt;please select&gt;","",'Q 8'!$G88))</f>
        <v/>
      </c>
    </row>
    <row r="7373" spans="1:8" x14ac:dyDescent="0.3">
      <c r="A7373" t="s">
        <v>2082</v>
      </c>
      <c r="B7373" t="s">
        <v>2084</v>
      </c>
      <c r="C7373">
        <v>7</v>
      </c>
      <c r="D7373" t="s">
        <v>1447</v>
      </c>
      <c r="E7373" t="s">
        <v>1972</v>
      </c>
      <c r="F7373" t="s">
        <v>1748</v>
      </c>
      <c r="H7373" s="165" t="str">
        <f>IF(ISBLANK('Q 8'!$G89),"",IF('Q 8'!$G89="&lt;please select&gt;","",'Q 8'!$G89))</f>
        <v/>
      </c>
    </row>
    <row r="7374" spans="1:8" x14ac:dyDescent="0.3">
      <c r="A7374" t="s">
        <v>2082</v>
      </c>
      <c r="B7374" t="s">
        <v>2084</v>
      </c>
      <c r="C7374">
        <v>8</v>
      </c>
      <c r="D7374" t="s">
        <v>1447</v>
      </c>
      <c r="E7374" t="s">
        <v>1972</v>
      </c>
      <c r="F7374" t="s">
        <v>1748</v>
      </c>
      <c r="H7374" s="165" t="str">
        <f>IF(ISBLANK('Q 8'!$G90),"",IF('Q 8'!$G90="&lt;please select&gt;","",'Q 8'!$G90))</f>
        <v/>
      </c>
    </row>
    <row r="7375" spans="1:8" x14ac:dyDescent="0.3">
      <c r="A7375" t="s">
        <v>2082</v>
      </c>
      <c r="B7375" t="s">
        <v>2084</v>
      </c>
      <c r="C7375">
        <v>9</v>
      </c>
      <c r="D7375" t="s">
        <v>1447</v>
      </c>
      <c r="E7375" t="s">
        <v>1972</v>
      </c>
      <c r="F7375" t="s">
        <v>1748</v>
      </c>
      <c r="H7375" s="165" t="str">
        <f>IF(ISBLANK('Q 8'!$G91),"",IF('Q 8'!$G91="&lt;please select&gt;","",'Q 8'!$G91))</f>
        <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
      </c>
    </row>
    <row r="7418" spans="1:8" x14ac:dyDescent="0.3">
      <c r="A7418" t="s">
        <v>2082</v>
      </c>
      <c r="B7418" t="s">
        <v>2084</v>
      </c>
      <c r="C7418">
        <v>2</v>
      </c>
      <c r="D7418" t="s">
        <v>1447</v>
      </c>
      <c r="E7418" t="s">
        <v>2085</v>
      </c>
      <c r="F7418" t="s">
        <v>1748</v>
      </c>
      <c r="H7418" s="165" t="str">
        <f>IF(ISBLANK('Q 8'!$H84),"",IF('Q 8'!$H84="&lt;please select&gt;","",'Q 8'!$H84))</f>
        <v/>
      </c>
    </row>
    <row r="7419" spans="1:8" x14ac:dyDescent="0.3">
      <c r="A7419" t="s">
        <v>2082</v>
      </c>
      <c r="B7419" t="s">
        <v>2084</v>
      </c>
      <c r="C7419">
        <v>3</v>
      </c>
      <c r="D7419" t="s">
        <v>1447</v>
      </c>
      <c r="E7419" t="s">
        <v>2085</v>
      </c>
      <c r="F7419" t="s">
        <v>1748</v>
      </c>
      <c r="H7419" s="165" t="str">
        <f>IF(ISBLANK('Q 8'!$H85),"",IF('Q 8'!$H85="&lt;please select&gt;","",'Q 8'!$H85))</f>
        <v/>
      </c>
    </row>
    <row r="7420" spans="1:8" x14ac:dyDescent="0.3">
      <c r="A7420" t="s">
        <v>2082</v>
      </c>
      <c r="B7420" t="s">
        <v>2084</v>
      </c>
      <c r="C7420">
        <v>4</v>
      </c>
      <c r="D7420" t="s">
        <v>1447</v>
      </c>
      <c r="E7420" t="s">
        <v>2085</v>
      </c>
      <c r="F7420" t="s">
        <v>1748</v>
      </c>
      <c r="H7420" s="165" t="str">
        <f>IF(ISBLANK('Q 8'!$H86),"",IF('Q 8'!$H86="&lt;please select&gt;","",'Q 8'!$H86))</f>
        <v/>
      </c>
    </row>
    <row r="7421" spans="1:8" x14ac:dyDescent="0.3">
      <c r="A7421" t="s">
        <v>2082</v>
      </c>
      <c r="B7421" t="s">
        <v>2084</v>
      </c>
      <c r="C7421">
        <v>5</v>
      </c>
      <c r="D7421" t="s">
        <v>1447</v>
      </c>
      <c r="E7421" t="s">
        <v>2085</v>
      </c>
      <c r="F7421" t="s">
        <v>1748</v>
      </c>
      <c r="H7421" s="165" t="str">
        <f>IF(ISBLANK('Q 8'!$H87),"",IF('Q 8'!$H87="&lt;please select&gt;","",'Q 8'!$H87))</f>
        <v/>
      </c>
    </row>
    <row r="7422" spans="1:8" x14ac:dyDescent="0.3">
      <c r="A7422" t="s">
        <v>2082</v>
      </c>
      <c r="B7422" t="s">
        <v>2084</v>
      </c>
      <c r="C7422">
        <v>6</v>
      </c>
      <c r="D7422" t="s">
        <v>1447</v>
      </c>
      <c r="E7422" t="s">
        <v>2085</v>
      </c>
      <c r="F7422" t="s">
        <v>1748</v>
      </c>
      <c r="H7422" s="165" t="str">
        <f>IF(ISBLANK('Q 8'!$H88),"",IF('Q 8'!$H88="&lt;please select&gt;","",'Q 8'!$H88))</f>
        <v/>
      </c>
    </row>
    <row r="7423" spans="1:8" x14ac:dyDescent="0.3">
      <c r="A7423" t="s">
        <v>2082</v>
      </c>
      <c r="B7423" t="s">
        <v>2084</v>
      </c>
      <c r="C7423">
        <v>7</v>
      </c>
      <c r="D7423" t="s">
        <v>1447</v>
      </c>
      <c r="E7423" t="s">
        <v>2085</v>
      </c>
      <c r="F7423" t="s">
        <v>1748</v>
      </c>
      <c r="H7423" s="165" t="str">
        <f>IF(ISBLANK('Q 8'!$H89),"",IF('Q 8'!$H89="&lt;please select&gt;","",'Q 8'!$H89))</f>
        <v/>
      </c>
    </row>
    <row r="7424" spans="1:8" x14ac:dyDescent="0.3">
      <c r="A7424" t="s">
        <v>2082</v>
      </c>
      <c r="B7424" t="s">
        <v>2084</v>
      </c>
      <c r="C7424">
        <v>8</v>
      </c>
      <c r="D7424" t="s">
        <v>1447</v>
      </c>
      <c r="E7424" t="s">
        <v>2085</v>
      </c>
      <c r="F7424" t="s">
        <v>1748</v>
      </c>
      <c r="H7424" s="165" t="str">
        <f>IF(ISBLANK('Q 8'!$H90),"",IF('Q 8'!$H90="&lt;please select&gt;","",'Q 8'!$H90))</f>
        <v/>
      </c>
    </row>
    <row r="7425" spans="1:8" x14ac:dyDescent="0.3">
      <c r="A7425" t="s">
        <v>2082</v>
      </c>
      <c r="B7425" t="s">
        <v>2084</v>
      </c>
      <c r="C7425">
        <v>9</v>
      </c>
      <c r="D7425" t="s">
        <v>1447</v>
      </c>
      <c r="E7425" t="s">
        <v>2085</v>
      </c>
      <c r="F7425" t="s">
        <v>1748</v>
      </c>
      <c r="H7425" s="165" t="str">
        <f>IF(ISBLANK('Q 8'!$H91),"",IF('Q 8'!$H91="&lt;please select&gt;","",'Q 8'!$H91))</f>
        <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No</v>
      </c>
    </row>
    <row r="7468" spans="1:11" x14ac:dyDescent="0.3">
      <c r="A7468" t="s">
        <v>2086</v>
      </c>
      <c r="B7468" t="s">
        <v>2088</v>
      </c>
      <c r="C7468">
        <v>0</v>
      </c>
      <c r="D7468" t="s">
        <v>1447</v>
      </c>
      <c r="E7468" t="s">
        <v>2088</v>
      </c>
      <c r="F7468" t="s">
        <v>1741</v>
      </c>
      <c r="G7468" t="str">
        <f>IF(ISBLANK('Q 8'!$G$140),"",IF('Q 8'!$G$140="&lt;please select&gt;","",'Q 8'!$G$140))</f>
        <v/>
      </c>
    </row>
    <row r="7469" spans="1:11" x14ac:dyDescent="0.3">
      <c r="A7469" t="s">
        <v>2089</v>
      </c>
      <c r="B7469" t="s">
        <v>2090</v>
      </c>
      <c r="C7469">
        <v>0</v>
      </c>
      <c r="D7469" t="s">
        <v>1447</v>
      </c>
      <c r="E7469" t="s">
        <v>2090</v>
      </c>
      <c r="F7469" t="s">
        <v>1759</v>
      </c>
      <c r="K7469" t="str">
        <f>IF(ISBLANK('Q 8'!$I$143),"",IF('Q 8'!$I$143="&lt;please select&gt;","",'Q 8'!$I$143))</f>
        <v>Yes</v>
      </c>
    </row>
    <row r="7470" spans="1:11" x14ac:dyDescent="0.3">
      <c r="A7470" t="s">
        <v>2089</v>
      </c>
      <c r="B7470" t="s">
        <v>2091</v>
      </c>
      <c r="C7470">
        <v>0</v>
      </c>
      <c r="D7470" t="s">
        <v>1447</v>
      </c>
      <c r="E7470" t="s">
        <v>2091</v>
      </c>
      <c r="F7470" t="s">
        <v>1741</v>
      </c>
      <c r="G7470" t="str">
        <f>IF(ISBLANK('Q 8'!$G$145),"",IF('Q 8'!$G$145="&lt;please select&gt;","",'Q 8'!$G$145))</f>
        <v/>
      </c>
    </row>
    <row r="7471" spans="1:11" x14ac:dyDescent="0.3">
      <c r="A7471" t="s">
        <v>2092</v>
      </c>
      <c r="B7471" t="s">
        <v>2093</v>
      </c>
      <c r="C7471">
        <v>1</v>
      </c>
      <c r="D7471" t="s">
        <v>1447</v>
      </c>
      <c r="E7471" t="s">
        <v>1798</v>
      </c>
      <c r="F7471" t="s">
        <v>1748</v>
      </c>
      <c r="H7471" s="165" t="str">
        <f>IF(ISBLANK('Q 8'!$F149),"",IF('Q 8'!$F149="&lt;please select&gt;","",'Q 8'!$F149))</f>
        <v/>
      </c>
    </row>
    <row r="7472" spans="1:11" x14ac:dyDescent="0.3">
      <c r="A7472" t="s">
        <v>2092</v>
      </c>
      <c r="B7472" t="s">
        <v>2093</v>
      </c>
      <c r="C7472">
        <v>2</v>
      </c>
      <c r="D7472" t="s">
        <v>1447</v>
      </c>
      <c r="E7472" t="s">
        <v>1798</v>
      </c>
      <c r="F7472" t="s">
        <v>1748</v>
      </c>
      <c r="H7472" s="165" t="str">
        <f>IF(ISBLANK('Q 8'!$F150),"",IF('Q 8'!$F150="&lt;please select&gt;","",'Q 8'!$F150))</f>
        <v/>
      </c>
    </row>
    <row r="7473" spans="1:11" x14ac:dyDescent="0.3">
      <c r="A7473" t="s">
        <v>2092</v>
      </c>
      <c r="B7473" t="s">
        <v>2093</v>
      </c>
      <c r="C7473">
        <v>3</v>
      </c>
      <c r="D7473" t="s">
        <v>1447</v>
      </c>
      <c r="E7473" t="s">
        <v>1798</v>
      </c>
      <c r="F7473" t="s">
        <v>1748</v>
      </c>
      <c r="H7473" s="165" t="str">
        <f>IF(ISBLANK('Q 8'!$F151),"",IF('Q 8'!$F151="&lt;please select&gt;","",'Q 8'!$F151))</f>
        <v/>
      </c>
    </row>
    <row r="7474" spans="1:11" x14ac:dyDescent="0.3">
      <c r="A7474" t="s">
        <v>2092</v>
      </c>
      <c r="B7474" t="s">
        <v>2093</v>
      </c>
      <c r="C7474">
        <v>4</v>
      </c>
      <c r="D7474" t="s">
        <v>1447</v>
      </c>
      <c r="E7474" t="s">
        <v>1798</v>
      </c>
      <c r="F7474" t="s">
        <v>1748</v>
      </c>
      <c r="H7474" s="165" t="str">
        <f>IF(ISBLANK('Q 8'!$F152),"",IF('Q 8'!$F152="&lt;please select&gt;","",'Q 8'!$F152))</f>
        <v/>
      </c>
    </row>
    <row r="7475" spans="1:11" x14ac:dyDescent="0.3">
      <c r="A7475" t="s">
        <v>2092</v>
      </c>
      <c r="B7475" t="s">
        <v>2093</v>
      </c>
      <c r="C7475">
        <v>1</v>
      </c>
      <c r="D7475" t="s">
        <v>1447</v>
      </c>
      <c r="E7475" t="s">
        <v>2094</v>
      </c>
      <c r="F7475" t="s">
        <v>1748</v>
      </c>
      <c r="H7475" s="165" t="str">
        <f>IF(ISBLANK('Q 8'!$H149),"",IF('Q 8'!$H149="&lt;please select&gt;","",'Q 8'!$H149))</f>
        <v/>
      </c>
    </row>
    <row r="7476" spans="1:11" x14ac:dyDescent="0.3">
      <c r="A7476" t="s">
        <v>2092</v>
      </c>
      <c r="B7476" t="s">
        <v>2093</v>
      </c>
      <c r="C7476">
        <v>2</v>
      </c>
      <c r="D7476" t="s">
        <v>1447</v>
      </c>
      <c r="E7476" t="s">
        <v>2094</v>
      </c>
      <c r="F7476" t="s">
        <v>1748</v>
      </c>
      <c r="H7476" s="165" t="str">
        <f>IF(ISBLANK('Q 8'!$H150),"",IF('Q 8'!$H150="&lt;please select&gt;","",'Q 8'!$H150))</f>
        <v/>
      </c>
    </row>
    <row r="7477" spans="1:11" x14ac:dyDescent="0.3">
      <c r="A7477" t="s">
        <v>2092</v>
      </c>
      <c r="B7477" t="s">
        <v>2093</v>
      </c>
      <c r="C7477">
        <v>3</v>
      </c>
      <c r="D7477" t="s">
        <v>1447</v>
      </c>
      <c r="E7477" t="s">
        <v>2094</v>
      </c>
      <c r="F7477" t="s">
        <v>1748</v>
      </c>
      <c r="H7477" s="165" t="str">
        <f>IF(ISBLANK('Q 8'!$H151),"",IF('Q 8'!$H151="&lt;please select&gt;","",'Q 8'!$H151))</f>
        <v/>
      </c>
    </row>
    <row r="7478" spans="1:11" x14ac:dyDescent="0.3">
      <c r="A7478" t="s">
        <v>2092</v>
      </c>
      <c r="B7478" t="s">
        <v>2093</v>
      </c>
      <c r="C7478">
        <v>4</v>
      </c>
      <c r="D7478" t="s">
        <v>1447</v>
      </c>
      <c r="E7478" t="s">
        <v>2094</v>
      </c>
      <c r="F7478" t="s">
        <v>1748</v>
      </c>
      <c r="H7478" s="165" t="str">
        <f>IF(ISBLANK('Q 8'!$H152),"",IF('Q 8'!$H152="&lt;please select&gt;","",'Q 8'!$H152))</f>
        <v/>
      </c>
    </row>
    <row r="7479" spans="1:11" x14ac:dyDescent="0.3">
      <c r="A7479" t="s">
        <v>2092</v>
      </c>
      <c r="B7479" t="s">
        <v>2095</v>
      </c>
      <c r="C7479">
        <v>0</v>
      </c>
      <c r="D7479" t="s">
        <v>1447</v>
      </c>
      <c r="E7479" t="s">
        <v>2095</v>
      </c>
      <c r="F7479" t="s">
        <v>1759</v>
      </c>
      <c r="K7479" t="str">
        <f>IF(ISBLANK('Q 8'!$I$154),"",IF('Q 8'!$I$154="&lt;please select&gt;","",'Q 8'!$I$154))</f>
        <v>No</v>
      </c>
    </row>
    <row r="7480" spans="1:11" x14ac:dyDescent="0.3">
      <c r="A7480" t="s">
        <v>2096</v>
      </c>
      <c r="B7480" t="s">
        <v>2097</v>
      </c>
      <c r="C7480">
        <v>1</v>
      </c>
      <c r="D7480" t="s">
        <v>1447</v>
      </c>
      <c r="E7480" t="s">
        <v>1988</v>
      </c>
      <c r="F7480" t="s">
        <v>1737</v>
      </c>
      <c r="K7480" t="str">
        <f>IF(ISBLANK('Q 8'!$C157),"",IF('Q 8'!$C157="&lt;please select&gt;","",'Q 8'!$C157))</f>
        <v/>
      </c>
    </row>
    <row r="7481" spans="1:11" x14ac:dyDescent="0.3">
      <c r="A7481" t="s">
        <v>2096</v>
      </c>
      <c r="B7481" t="s">
        <v>2097</v>
      </c>
      <c r="C7481">
        <v>2</v>
      </c>
      <c r="D7481" t="s">
        <v>1447</v>
      </c>
      <c r="E7481" t="s">
        <v>1988</v>
      </c>
      <c r="F7481" t="s">
        <v>1737</v>
      </c>
      <c r="K7481" t="str">
        <f>IF(ISBLANK('Q 8'!$C158),"",IF('Q 8'!$C158="&lt;please select&gt;","",'Q 8'!$C158))</f>
        <v/>
      </c>
    </row>
    <row r="7482" spans="1:11" x14ac:dyDescent="0.3">
      <c r="A7482" t="s">
        <v>2096</v>
      </c>
      <c r="B7482" t="s">
        <v>2097</v>
      </c>
      <c r="C7482">
        <v>3</v>
      </c>
      <c r="D7482" t="s">
        <v>1447</v>
      </c>
      <c r="E7482" t="s">
        <v>1988</v>
      </c>
      <c r="F7482" t="s">
        <v>1737</v>
      </c>
      <c r="K7482" t="str">
        <f>IF(ISBLANK('Q 8'!$C159),"",IF('Q 8'!$C159="&lt;please select&gt;","",'Q 8'!$C159))</f>
        <v/>
      </c>
    </row>
    <row r="7483" spans="1:11" x14ac:dyDescent="0.3">
      <c r="A7483" t="s">
        <v>2096</v>
      </c>
      <c r="B7483" t="s">
        <v>2097</v>
      </c>
      <c r="C7483">
        <v>4</v>
      </c>
      <c r="D7483" t="s">
        <v>1447</v>
      </c>
      <c r="E7483" t="s">
        <v>1988</v>
      </c>
      <c r="F7483" t="s">
        <v>1737</v>
      </c>
      <c r="K7483" t="str">
        <f>IF(ISBLANK('Q 8'!$C160),"",IF('Q 8'!$C160="&lt;please select&gt;","",'Q 8'!$C160))</f>
        <v/>
      </c>
    </row>
    <row r="7484" spans="1:11" x14ac:dyDescent="0.3">
      <c r="A7484" t="s">
        <v>2096</v>
      </c>
      <c r="B7484" t="s">
        <v>2097</v>
      </c>
      <c r="C7484">
        <v>5</v>
      </c>
      <c r="D7484" t="s">
        <v>1447</v>
      </c>
      <c r="E7484" t="s">
        <v>1988</v>
      </c>
      <c r="F7484" t="s">
        <v>1737</v>
      </c>
      <c r="K7484" t="str">
        <f>IF(ISBLANK('Q 8'!$C161),"",IF('Q 8'!$C161="&lt;please select&gt;","",'Q 8'!$C161))</f>
        <v/>
      </c>
    </row>
    <row r="7485" spans="1:11" x14ac:dyDescent="0.3">
      <c r="A7485" t="s">
        <v>2096</v>
      </c>
      <c r="B7485" t="s">
        <v>2097</v>
      </c>
      <c r="C7485">
        <v>6</v>
      </c>
      <c r="D7485" t="s">
        <v>1447</v>
      </c>
      <c r="E7485" t="s">
        <v>1988</v>
      </c>
      <c r="F7485" t="s">
        <v>1737</v>
      </c>
      <c r="K7485" t="str">
        <f>IF(ISBLANK('Q 8'!$C162),"",IF('Q 8'!$C162="&lt;please select&gt;","",'Q 8'!$C162))</f>
        <v/>
      </c>
    </row>
    <row r="7486" spans="1:11" x14ac:dyDescent="0.3">
      <c r="A7486" t="s">
        <v>2096</v>
      </c>
      <c r="B7486" t="s">
        <v>2097</v>
      </c>
      <c r="C7486">
        <v>7</v>
      </c>
      <c r="D7486" t="s">
        <v>1447</v>
      </c>
      <c r="E7486" t="s">
        <v>1988</v>
      </c>
      <c r="F7486" t="s">
        <v>1737</v>
      </c>
      <c r="K7486" t="str">
        <f>IF(ISBLANK('Q 8'!$C163),"",IF('Q 8'!$C163="&lt;please select&gt;","",'Q 8'!$C163))</f>
        <v/>
      </c>
    </row>
    <row r="7487" spans="1:11" x14ac:dyDescent="0.3">
      <c r="A7487" t="s">
        <v>2096</v>
      </c>
      <c r="B7487" t="s">
        <v>2097</v>
      </c>
      <c r="C7487">
        <v>8</v>
      </c>
      <c r="D7487" t="s">
        <v>1447</v>
      </c>
      <c r="E7487" t="s">
        <v>1988</v>
      </c>
      <c r="F7487" t="s">
        <v>1737</v>
      </c>
      <c r="K7487" t="str">
        <f>IF(ISBLANK('Q 8'!$C164),"",IF('Q 8'!$C164="&lt;please select&gt;","",'Q 8'!$C164))</f>
        <v/>
      </c>
    </row>
    <row r="7488" spans="1:11" x14ac:dyDescent="0.3">
      <c r="A7488" t="s">
        <v>2096</v>
      </c>
      <c r="B7488" t="s">
        <v>2097</v>
      </c>
      <c r="C7488">
        <v>9</v>
      </c>
      <c r="D7488" t="s">
        <v>1447</v>
      </c>
      <c r="E7488" t="s">
        <v>1988</v>
      </c>
      <c r="F7488" t="s">
        <v>1737</v>
      </c>
      <c r="K7488" t="str">
        <f>IF(ISBLANK('Q 8'!$C165),"",IF('Q 8'!$C165="&lt;please select&gt;","",'Q 8'!$C165))</f>
        <v/>
      </c>
    </row>
    <row r="7489" spans="1:11" x14ac:dyDescent="0.3">
      <c r="A7489" t="s">
        <v>2096</v>
      </c>
      <c r="B7489" t="s">
        <v>2097</v>
      </c>
      <c r="C7489">
        <v>10</v>
      </c>
      <c r="D7489" t="s">
        <v>1447</v>
      </c>
      <c r="E7489" t="s">
        <v>1988</v>
      </c>
      <c r="F7489" t="s">
        <v>1737</v>
      </c>
      <c r="K7489" t="str">
        <f>IF(ISBLANK('Q 8'!$C166),"",IF('Q 8'!$C166="&lt;please select&gt;","",'Q 8'!$C166))</f>
        <v/>
      </c>
    </row>
    <row r="7490" spans="1:11" x14ac:dyDescent="0.3">
      <c r="A7490" t="s">
        <v>2096</v>
      </c>
      <c r="B7490" t="s">
        <v>2097</v>
      </c>
      <c r="C7490">
        <v>11</v>
      </c>
      <c r="D7490" t="s">
        <v>1447</v>
      </c>
      <c r="E7490" t="s">
        <v>1988</v>
      </c>
      <c r="F7490" t="s">
        <v>1737</v>
      </c>
      <c r="K7490" t="str">
        <f>IF(ISBLANK('Q 8'!$C167),"",IF('Q 8'!$C167="&lt;please select&gt;","",'Q 8'!$C167))</f>
        <v/>
      </c>
    </row>
    <row r="7491" spans="1:11" x14ac:dyDescent="0.3">
      <c r="A7491" t="s">
        <v>2096</v>
      </c>
      <c r="B7491" t="s">
        <v>2097</v>
      </c>
      <c r="C7491">
        <v>12</v>
      </c>
      <c r="D7491" t="s">
        <v>1447</v>
      </c>
      <c r="E7491" t="s">
        <v>1988</v>
      </c>
      <c r="F7491" t="s">
        <v>1737</v>
      </c>
      <c r="K7491" t="str">
        <f>IF(ISBLANK('Q 8'!$C168),"",IF('Q 8'!$C168="&lt;please select&gt;","",'Q 8'!$C168))</f>
        <v/>
      </c>
    </row>
    <row r="7492" spans="1:11" x14ac:dyDescent="0.3">
      <c r="A7492" t="s">
        <v>2096</v>
      </c>
      <c r="B7492" t="s">
        <v>2097</v>
      </c>
      <c r="C7492">
        <v>13</v>
      </c>
      <c r="D7492" t="s">
        <v>1447</v>
      </c>
      <c r="E7492" t="s">
        <v>1988</v>
      </c>
      <c r="F7492" t="s">
        <v>1737</v>
      </c>
      <c r="K7492" t="str">
        <f>IF(ISBLANK('Q 8'!$C169),"",IF('Q 8'!$C169="&lt;please select&gt;","",'Q 8'!$C169))</f>
        <v/>
      </c>
    </row>
    <row r="7493" spans="1:11" x14ac:dyDescent="0.3">
      <c r="A7493" t="s">
        <v>2096</v>
      </c>
      <c r="B7493" t="s">
        <v>2097</v>
      </c>
      <c r="C7493">
        <v>14</v>
      </c>
      <c r="D7493" t="s">
        <v>1447</v>
      </c>
      <c r="E7493" t="s">
        <v>1988</v>
      </c>
      <c r="F7493" t="s">
        <v>1737</v>
      </c>
      <c r="K7493" t="str">
        <f>IF(ISBLANK('Q 8'!$C170),"",IF('Q 8'!$C170="&lt;please select&gt;","",'Q 8'!$C170))</f>
        <v/>
      </c>
    </row>
    <row r="7494" spans="1:11" x14ac:dyDescent="0.3">
      <c r="A7494" t="s">
        <v>2096</v>
      </c>
      <c r="B7494" t="s">
        <v>2097</v>
      </c>
      <c r="C7494">
        <v>15</v>
      </c>
      <c r="D7494" t="s">
        <v>1447</v>
      </c>
      <c r="E7494" t="s">
        <v>1988</v>
      </c>
      <c r="F7494" t="s">
        <v>1737</v>
      </c>
      <c r="K7494" t="str">
        <f>IF(ISBLANK('Q 8'!$C171),"",IF('Q 8'!$C171="&lt;please select&gt;","",'Q 8'!$C171))</f>
        <v/>
      </c>
    </row>
    <row r="7495" spans="1:11" x14ac:dyDescent="0.3">
      <c r="A7495" t="s">
        <v>2096</v>
      </c>
      <c r="B7495" t="s">
        <v>2097</v>
      </c>
      <c r="C7495">
        <v>16</v>
      </c>
      <c r="D7495" t="s">
        <v>1447</v>
      </c>
      <c r="E7495" t="s">
        <v>1988</v>
      </c>
      <c r="F7495" t="s">
        <v>1737</v>
      </c>
      <c r="K7495" t="str">
        <f>IF(ISBLANK('Q 8'!$C172),"",IF('Q 8'!$C172="&lt;please select&gt;","",'Q 8'!$C172))</f>
        <v/>
      </c>
    </row>
    <row r="7496" spans="1:11" x14ac:dyDescent="0.3">
      <c r="A7496" t="s">
        <v>2096</v>
      </c>
      <c r="B7496" t="s">
        <v>2097</v>
      </c>
      <c r="C7496">
        <v>17</v>
      </c>
      <c r="D7496" t="s">
        <v>1447</v>
      </c>
      <c r="E7496" t="s">
        <v>1988</v>
      </c>
      <c r="F7496" t="s">
        <v>1737</v>
      </c>
      <c r="K7496" t="str">
        <f>IF(ISBLANK('Q 8'!$C173),"",IF('Q 8'!$C173="&lt;please select&gt;","",'Q 8'!$C173))</f>
        <v/>
      </c>
    </row>
    <row r="7497" spans="1:11" x14ac:dyDescent="0.3">
      <c r="A7497" t="s">
        <v>2096</v>
      </c>
      <c r="B7497" t="s">
        <v>2097</v>
      </c>
      <c r="C7497">
        <v>18</v>
      </c>
      <c r="D7497" t="s">
        <v>1447</v>
      </c>
      <c r="E7497" t="s">
        <v>1988</v>
      </c>
      <c r="F7497" t="s">
        <v>1737</v>
      </c>
      <c r="K7497" t="str">
        <f>IF(ISBLANK('Q 8'!$C174),"",IF('Q 8'!$C174="&lt;please select&gt;","",'Q 8'!$C174))</f>
        <v/>
      </c>
    </row>
    <row r="7498" spans="1:11" x14ac:dyDescent="0.3">
      <c r="A7498" t="s">
        <v>2096</v>
      </c>
      <c r="B7498" t="s">
        <v>2097</v>
      </c>
      <c r="C7498">
        <v>19</v>
      </c>
      <c r="D7498" t="s">
        <v>1447</v>
      </c>
      <c r="E7498" t="s">
        <v>1988</v>
      </c>
      <c r="F7498" t="s">
        <v>1737</v>
      </c>
      <c r="K7498" t="str">
        <f>IF(ISBLANK('Q 8'!$C175),"",IF('Q 8'!$C175="&lt;please select&gt;","",'Q 8'!$C175))</f>
        <v/>
      </c>
    </row>
    <row r="7499" spans="1:11" x14ac:dyDescent="0.3">
      <c r="A7499" t="s">
        <v>2096</v>
      </c>
      <c r="B7499" t="s">
        <v>2097</v>
      </c>
      <c r="C7499">
        <v>20</v>
      </c>
      <c r="D7499" t="s">
        <v>1447</v>
      </c>
      <c r="E7499" t="s">
        <v>1988</v>
      </c>
      <c r="F7499" t="s">
        <v>1737</v>
      </c>
      <c r="K7499" t="str">
        <f>IF(ISBLANK('Q 8'!$C176),"",IF('Q 8'!$C176="&lt;please select&gt;","",'Q 8'!$C176))</f>
        <v/>
      </c>
    </row>
    <row r="7500" spans="1:11" x14ac:dyDescent="0.3">
      <c r="A7500" t="s">
        <v>2096</v>
      </c>
      <c r="B7500" t="s">
        <v>2097</v>
      </c>
      <c r="C7500">
        <v>21</v>
      </c>
      <c r="D7500" t="s">
        <v>1447</v>
      </c>
      <c r="E7500" t="s">
        <v>1988</v>
      </c>
      <c r="F7500" t="s">
        <v>1737</v>
      </c>
      <c r="K7500" t="str">
        <f>IF(ISBLANK('Q 8'!$C177),"",IF('Q 8'!$C177="&lt;please select&gt;","",'Q 8'!$C177))</f>
        <v/>
      </c>
    </row>
    <row r="7501" spans="1:11" x14ac:dyDescent="0.3">
      <c r="A7501" t="s">
        <v>2096</v>
      </c>
      <c r="B7501" t="s">
        <v>2097</v>
      </c>
      <c r="C7501">
        <v>22</v>
      </c>
      <c r="D7501" t="s">
        <v>1447</v>
      </c>
      <c r="E7501" t="s">
        <v>1988</v>
      </c>
      <c r="F7501" t="s">
        <v>1737</v>
      </c>
      <c r="K7501" t="str">
        <f>IF(ISBLANK('Q 8'!$C178),"",IF('Q 8'!$C178="&lt;please select&gt;","",'Q 8'!$C178))</f>
        <v/>
      </c>
    </row>
    <row r="7502" spans="1:11" x14ac:dyDescent="0.3">
      <c r="A7502" t="s">
        <v>2096</v>
      </c>
      <c r="B7502" t="s">
        <v>2097</v>
      </c>
      <c r="C7502">
        <v>23</v>
      </c>
      <c r="D7502" t="s">
        <v>1447</v>
      </c>
      <c r="E7502" t="s">
        <v>1988</v>
      </c>
      <c r="F7502" t="s">
        <v>1737</v>
      </c>
      <c r="K7502" t="str">
        <f>IF(ISBLANK('Q 8'!$C179),"",IF('Q 8'!$C179="&lt;please select&gt;","",'Q 8'!$C179))</f>
        <v/>
      </c>
    </row>
    <row r="7503" spans="1:11" x14ac:dyDescent="0.3">
      <c r="A7503" t="s">
        <v>2096</v>
      </c>
      <c r="B7503" t="s">
        <v>2097</v>
      </c>
      <c r="C7503">
        <v>24</v>
      </c>
      <c r="D7503" t="s">
        <v>1447</v>
      </c>
      <c r="E7503" t="s">
        <v>1988</v>
      </c>
      <c r="F7503" t="s">
        <v>1737</v>
      </c>
      <c r="K7503" t="str">
        <f>IF(ISBLANK('Q 8'!$C180),"",IF('Q 8'!$C180="&lt;please select&gt;","",'Q 8'!$C180))</f>
        <v/>
      </c>
    </row>
    <row r="7504" spans="1:11" x14ac:dyDescent="0.3">
      <c r="A7504" t="s">
        <v>2096</v>
      </c>
      <c r="B7504" t="s">
        <v>2097</v>
      </c>
      <c r="C7504">
        <v>25</v>
      </c>
      <c r="D7504" t="s">
        <v>1447</v>
      </c>
      <c r="E7504" t="s">
        <v>1988</v>
      </c>
      <c r="F7504" t="s">
        <v>1737</v>
      </c>
      <c r="K7504" t="str">
        <f>IF(ISBLANK('Q 8'!$C181),"",IF('Q 8'!$C181="&lt;please select&gt;","",'Q 8'!$C181))</f>
        <v/>
      </c>
    </row>
    <row r="7505" spans="1:11" x14ac:dyDescent="0.3">
      <c r="A7505" t="s">
        <v>2096</v>
      </c>
      <c r="B7505" t="s">
        <v>2097</v>
      </c>
      <c r="C7505">
        <v>26</v>
      </c>
      <c r="D7505" t="s">
        <v>1447</v>
      </c>
      <c r="E7505" t="s">
        <v>1988</v>
      </c>
      <c r="F7505" t="s">
        <v>1737</v>
      </c>
      <c r="K7505" t="str">
        <f>IF(ISBLANK('Q 8'!$C182),"",IF('Q 8'!$C182="&lt;please select&gt;","",'Q 8'!$C182))</f>
        <v/>
      </c>
    </row>
    <row r="7506" spans="1:11" x14ac:dyDescent="0.3">
      <c r="A7506" t="s">
        <v>2096</v>
      </c>
      <c r="B7506" t="s">
        <v>2097</v>
      </c>
      <c r="C7506">
        <v>27</v>
      </c>
      <c r="D7506" t="s">
        <v>1447</v>
      </c>
      <c r="E7506" t="s">
        <v>1988</v>
      </c>
      <c r="F7506" t="s">
        <v>1737</v>
      </c>
      <c r="K7506" t="str">
        <f>IF(ISBLANK('Q 8'!$C183),"",IF('Q 8'!$C183="&lt;please select&gt;","",'Q 8'!$C183))</f>
        <v/>
      </c>
    </row>
    <row r="7507" spans="1:11" x14ac:dyDescent="0.3">
      <c r="A7507" t="s">
        <v>2096</v>
      </c>
      <c r="B7507" t="s">
        <v>2097</v>
      </c>
      <c r="C7507">
        <v>28</v>
      </c>
      <c r="D7507" t="s">
        <v>1447</v>
      </c>
      <c r="E7507" t="s">
        <v>1988</v>
      </c>
      <c r="F7507" t="s">
        <v>1737</v>
      </c>
      <c r="K7507" t="str">
        <f>IF(ISBLANK('Q 8'!$C184),"",IF('Q 8'!$C184="&lt;please select&gt;","",'Q 8'!$C184))</f>
        <v/>
      </c>
    </row>
    <row r="7508" spans="1:11" x14ac:dyDescent="0.3">
      <c r="A7508" t="s">
        <v>2096</v>
      </c>
      <c r="B7508" t="s">
        <v>2097</v>
      </c>
      <c r="C7508">
        <v>29</v>
      </c>
      <c r="D7508" t="s">
        <v>1447</v>
      </c>
      <c r="E7508" t="s">
        <v>1988</v>
      </c>
      <c r="F7508" t="s">
        <v>1737</v>
      </c>
      <c r="K7508" t="str">
        <f>IF(ISBLANK('Q 8'!$C185),"",IF('Q 8'!$C185="&lt;please select&gt;","",'Q 8'!$C185))</f>
        <v/>
      </c>
    </row>
    <row r="7509" spans="1:11" x14ac:dyDescent="0.3">
      <c r="A7509" t="s">
        <v>2096</v>
      </c>
      <c r="B7509" t="s">
        <v>2097</v>
      </c>
      <c r="C7509">
        <v>30</v>
      </c>
      <c r="D7509" t="s">
        <v>1447</v>
      </c>
      <c r="E7509" t="s">
        <v>1988</v>
      </c>
      <c r="F7509" t="s">
        <v>1737</v>
      </c>
      <c r="K7509" t="str">
        <f>IF(ISBLANK('Q 8'!$C186),"",IF('Q 8'!$C186="&lt;please select&gt;","",'Q 8'!$C186))</f>
        <v/>
      </c>
    </row>
    <row r="7510" spans="1:11" x14ac:dyDescent="0.3">
      <c r="A7510" t="s">
        <v>2096</v>
      </c>
      <c r="B7510" t="s">
        <v>2097</v>
      </c>
      <c r="C7510">
        <v>31</v>
      </c>
      <c r="D7510" t="s">
        <v>1447</v>
      </c>
      <c r="E7510" t="s">
        <v>1988</v>
      </c>
      <c r="F7510" t="s">
        <v>1737</v>
      </c>
      <c r="K7510" t="str">
        <f>IF(ISBLANK('Q 8'!$C187),"",IF('Q 8'!$C187="&lt;please select&gt;","",'Q 8'!$C187))</f>
        <v/>
      </c>
    </row>
    <row r="7511" spans="1:11" x14ac:dyDescent="0.3">
      <c r="A7511" t="s">
        <v>2096</v>
      </c>
      <c r="B7511" t="s">
        <v>2097</v>
      </c>
      <c r="C7511">
        <v>32</v>
      </c>
      <c r="D7511" t="s">
        <v>1447</v>
      </c>
      <c r="E7511" t="s">
        <v>1988</v>
      </c>
      <c r="F7511" t="s">
        <v>1737</v>
      </c>
      <c r="K7511" t="str">
        <f>IF(ISBLANK('Q 8'!$C188),"",IF('Q 8'!$C188="&lt;please select&gt;","",'Q 8'!$C188))</f>
        <v/>
      </c>
    </row>
    <row r="7512" spans="1:11" x14ac:dyDescent="0.3">
      <c r="A7512" t="s">
        <v>2096</v>
      </c>
      <c r="B7512" t="s">
        <v>2097</v>
      </c>
      <c r="C7512">
        <v>33</v>
      </c>
      <c r="D7512" t="s">
        <v>1447</v>
      </c>
      <c r="E7512" t="s">
        <v>1988</v>
      </c>
      <c r="F7512" t="s">
        <v>1737</v>
      </c>
      <c r="K7512" t="str">
        <f>IF(ISBLANK('Q 8'!$C189),"",IF('Q 8'!$C189="&lt;please select&gt;","",'Q 8'!$C189))</f>
        <v/>
      </c>
    </row>
    <row r="7513" spans="1:11" x14ac:dyDescent="0.3">
      <c r="A7513" t="s">
        <v>2096</v>
      </c>
      <c r="B7513" t="s">
        <v>2097</v>
      </c>
      <c r="C7513">
        <v>34</v>
      </c>
      <c r="D7513" t="s">
        <v>1447</v>
      </c>
      <c r="E7513" t="s">
        <v>1988</v>
      </c>
      <c r="F7513" t="s">
        <v>1737</v>
      </c>
      <c r="K7513" t="str">
        <f>IF(ISBLANK('Q 8'!$C190),"",IF('Q 8'!$C190="&lt;please select&gt;","",'Q 8'!$C190))</f>
        <v/>
      </c>
    </row>
    <row r="7514" spans="1:11" x14ac:dyDescent="0.3">
      <c r="A7514" t="s">
        <v>2096</v>
      </c>
      <c r="B7514" t="s">
        <v>2097</v>
      </c>
      <c r="C7514">
        <v>35</v>
      </c>
      <c r="D7514" t="s">
        <v>1447</v>
      </c>
      <c r="E7514" t="s">
        <v>1988</v>
      </c>
      <c r="F7514" t="s">
        <v>1737</v>
      </c>
      <c r="K7514" t="str">
        <f>IF(ISBLANK('Q 8'!$C191),"",IF('Q 8'!$C191="&lt;please select&gt;","",'Q 8'!$C191))</f>
        <v/>
      </c>
    </row>
    <row r="7515" spans="1:11" x14ac:dyDescent="0.3">
      <c r="A7515" t="s">
        <v>2096</v>
      </c>
      <c r="B7515" t="s">
        <v>2097</v>
      </c>
      <c r="C7515">
        <v>36</v>
      </c>
      <c r="D7515" t="s">
        <v>1447</v>
      </c>
      <c r="E7515" t="s">
        <v>1988</v>
      </c>
      <c r="F7515" t="s">
        <v>1737</v>
      </c>
      <c r="K7515" t="str">
        <f>IF(ISBLANK('Q 8'!$C192),"",IF('Q 8'!$C192="&lt;please select&gt;","",'Q 8'!$C192))</f>
        <v/>
      </c>
    </row>
    <row r="7516" spans="1:11" x14ac:dyDescent="0.3">
      <c r="A7516" t="s">
        <v>2096</v>
      </c>
      <c r="B7516" t="s">
        <v>2097</v>
      </c>
      <c r="C7516">
        <v>37</v>
      </c>
      <c r="D7516" t="s">
        <v>1447</v>
      </c>
      <c r="E7516" t="s">
        <v>1988</v>
      </c>
      <c r="F7516" t="s">
        <v>1737</v>
      </c>
      <c r="K7516" t="str">
        <f>IF(ISBLANK('Q 8'!$C193),"",IF('Q 8'!$C193="&lt;please select&gt;","",'Q 8'!$C193))</f>
        <v/>
      </c>
    </row>
    <row r="7517" spans="1:11" x14ac:dyDescent="0.3">
      <c r="A7517" t="s">
        <v>2096</v>
      </c>
      <c r="B7517" t="s">
        <v>2097</v>
      </c>
      <c r="C7517">
        <v>38</v>
      </c>
      <c r="D7517" t="s">
        <v>1447</v>
      </c>
      <c r="E7517" t="s">
        <v>1988</v>
      </c>
      <c r="F7517" t="s">
        <v>1737</v>
      </c>
      <c r="K7517" t="str">
        <f>IF(ISBLANK('Q 8'!$C194),"",IF('Q 8'!$C194="&lt;please select&gt;","",'Q 8'!$C194))</f>
        <v/>
      </c>
    </row>
    <row r="7518" spans="1:11" x14ac:dyDescent="0.3">
      <c r="A7518" t="s">
        <v>2096</v>
      </c>
      <c r="B7518" t="s">
        <v>2097</v>
      </c>
      <c r="C7518">
        <v>39</v>
      </c>
      <c r="D7518" t="s">
        <v>1447</v>
      </c>
      <c r="E7518" t="s">
        <v>1988</v>
      </c>
      <c r="F7518" t="s">
        <v>1737</v>
      </c>
      <c r="K7518" t="str">
        <f>IF(ISBLANK('Q 8'!$C195),"",IF('Q 8'!$C195="&lt;please select&gt;","",'Q 8'!$C195))</f>
        <v/>
      </c>
    </row>
    <row r="7519" spans="1:11" x14ac:dyDescent="0.3">
      <c r="A7519" t="s">
        <v>2096</v>
      </c>
      <c r="B7519" t="s">
        <v>2097</v>
      </c>
      <c r="C7519">
        <v>40</v>
      </c>
      <c r="D7519" t="s">
        <v>1447</v>
      </c>
      <c r="E7519" t="s">
        <v>1988</v>
      </c>
      <c r="F7519" t="s">
        <v>1737</v>
      </c>
      <c r="K7519" t="str">
        <f>IF(ISBLANK('Q 8'!$C196),"",IF('Q 8'!$C196="&lt;please select&gt;","",'Q 8'!$C196))</f>
        <v/>
      </c>
    </row>
    <row r="7520" spans="1:11" x14ac:dyDescent="0.3">
      <c r="A7520" t="s">
        <v>2096</v>
      </c>
      <c r="B7520" t="s">
        <v>2097</v>
      </c>
      <c r="C7520">
        <v>41</v>
      </c>
      <c r="D7520" t="s">
        <v>1447</v>
      </c>
      <c r="E7520" t="s">
        <v>1988</v>
      </c>
      <c r="F7520" t="s">
        <v>1737</v>
      </c>
      <c r="K7520" t="str">
        <f>IF(ISBLANK('Q 8'!$C197),"",IF('Q 8'!$C197="&lt;please select&gt;","",'Q 8'!$C197))</f>
        <v/>
      </c>
    </row>
    <row r="7521" spans="1:11" x14ac:dyDescent="0.3">
      <c r="A7521" t="s">
        <v>2096</v>
      </c>
      <c r="B7521" t="s">
        <v>2097</v>
      </c>
      <c r="C7521">
        <v>42</v>
      </c>
      <c r="D7521" t="s">
        <v>1447</v>
      </c>
      <c r="E7521" t="s">
        <v>1988</v>
      </c>
      <c r="F7521" t="s">
        <v>1737</v>
      </c>
      <c r="K7521" t="str">
        <f>IF(ISBLANK('Q 8'!$C198),"",IF('Q 8'!$C198="&lt;please select&gt;","",'Q 8'!$C198))</f>
        <v/>
      </c>
    </row>
    <row r="7522" spans="1:11" x14ac:dyDescent="0.3">
      <c r="A7522" t="s">
        <v>2096</v>
      </c>
      <c r="B7522" t="s">
        <v>2097</v>
      </c>
      <c r="C7522">
        <v>43</v>
      </c>
      <c r="D7522" t="s">
        <v>1447</v>
      </c>
      <c r="E7522" t="s">
        <v>1988</v>
      </c>
      <c r="F7522" t="s">
        <v>1737</v>
      </c>
      <c r="K7522" t="str">
        <f>IF(ISBLANK('Q 8'!$C199),"",IF('Q 8'!$C199="&lt;please select&gt;","",'Q 8'!$C199))</f>
        <v/>
      </c>
    </row>
    <row r="7523" spans="1:11" x14ac:dyDescent="0.3">
      <c r="A7523" t="s">
        <v>2096</v>
      </c>
      <c r="B7523" t="s">
        <v>2097</v>
      </c>
      <c r="C7523">
        <v>44</v>
      </c>
      <c r="D7523" t="s">
        <v>1447</v>
      </c>
      <c r="E7523" t="s">
        <v>1988</v>
      </c>
      <c r="F7523" t="s">
        <v>1737</v>
      </c>
      <c r="K7523" t="str">
        <f>IF(ISBLANK('Q 8'!$C200),"",IF('Q 8'!$C200="&lt;please select&gt;","",'Q 8'!$C200))</f>
        <v/>
      </c>
    </row>
    <row r="7524" spans="1:11" x14ac:dyDescent="0.3">
      <c r="A7524" t="s">
        <v>2096</v>
      </c>
      <c r="B7524" t="s">
        <v>2097</v>
      </c>
      <c r="C7524">
        <v>45</v>
      </c>
      <c r="D7524" t="s">
        <v>1447</v>
      </c>
      <c r="E7524" t="s">
        <v>1988</v>
      </c>
      <c r="F7524" t="s">
        <v>1737</v>
      </c>
      <c r="K7524" t="str">
        <f>IF(ISBLANK('Q 8'!$C201),"",IF('Q 8'!$C201="&lt;please select&gt;","",'Q 8'!$C201))</f>
        <v/>
      </c>
    </row>
    <row r="7525" spans="1:11" x14ac:dyDescent="0.3">
      <c r="A7525" t="s">
        <v>2096</v>
      </c>
      <c r="B7525" t="s">
        <v>2097</v>
      </c>
      <c r="C7525">
        <v>46</v>
      </c>
      <c r="D7525" t="s">
        <v>1447</v>
      </c>
      <c r="E7525" t="s">
        <v>1988</v>
      </c>
      <c r="F7525" t="s">
        <v>1737</v>
      </c>
      <c r="K7525" t="str">
        <f>IF(ISBLANK('Q 8'!$C202),"",IF('Q 8'!$C202="&lt;please select&gt;","",'Q 8'!$C202))</f>
        <v/>
      </c>
    </row>
    <row r="7526" spans="1:11" x14ac:dyDescent="0.3">
      <c r="A7526" t="s">
        <v>2096</v>
      </c>
      <c r="B7526" t="s">
        <v>2097</v>
      </c>
      <c r="C7526">
        <v>47</v>
      </c>
      <c r="D7526" t="s">
        <v>1447</v>
      </c>
      <c r="E7526" t="s">
        <v>1988</v>
      </c>
      <c r="F7526" t="s">
        <v>1737</v>
      </c>
      <c r="K7526" t="str">
        <f>IF(ISBLANK('Q 8'!$C203),"",IF('Q 8'!$C203="&lt;please select&gt;","",'Q 8'!$C203))</f>
        <v/>
      </c>
    </row>
    <row r="7527" spans="1:11" x14ac:dyDescent="0.3">
      <c r="A7527" t="s">
        <v>2096</v>
      </c>
      <c r="B7527" t="s">
        <v>2097</v>
      </c>
      <c r="C7527">
        <v>48</v>
      </c>
      <c r="D7527" t="s">
        <v>1447</v>
      </c>
      <c r="E7527" t="s">
        <v>1988</v>
      </c>
      <c r="F7527" t="s">
        <v>1737</v>
      </c>
      <c r="K7527" t="str">
        <f>IF(ISBLANK('Q 8'!$C204),"",IF('Q 8'!$C204="&lt;please select&gt;","",'Q 8'!$C204))</f>
        <v/>
      </c>
    </row>
    <row r="7528" spans="1:11" x14ac:dyDescent="0.3">
      <c r="A7528" t="s">
        <v>2096</v>
      </c>
      <c r="B7528" t="s">
        <v>2097</v>
      </c>
      <c r="C7528">
        <v>49</v>
      </c>
      <c r="D7528" t="s">
        <v>1447</v>
      </c>
      <c r="E7528" t="s">
        <v>1988</v>
      </c>
      <c r="F7528" t="s">
        <v>1737</v>
      </c>
      <c r="K7528" t="str">
        <f>IF(ISBLANK('Q 8'!$C205),"",IF('Q 8'!$C205="&lt;please select&gt;","",'Q 8'!$C205))</f>
        <v/>
      </c>
    </row>
    <row r="7529" spans="1:11" x14ac:dyDescent="0.3">
      <c r="A7529" t="s">
        <v>2096</v>
      </c>
      <c r="B7529" t="s">
        <v>2097</v>
      </c>
      <c r="C7529">
        <v>50</v>
      </c>
      <c r="D7529" t="s">
        <v>1447</v>
      </c>
      <c r="E7529" t="s">
        <v>1988</v>
      </c>
      <c r="F7529" t="s">
        <v>1737</v>
      </c>
      <c r="K7529" t="str">
        <f>IF(ISBLANK('Q 8'!$C206),"",IF('Q 8'!$C206="&lt;please select&gt;","",'Q 8'!$C206))</f>
        <v/>
      </c>
    </row>
    <row r="7530" spans="1:11" x14ac:dyDescent="0.3">
      <c r="A7530" t="s">
        <v>2096</v>
      </c>
      <c r="B7530" t="s">
        <v>2097</v>
      </c>
      <c r="C7530">
        <v>51</v>
      </c>
      <c r="D7530" t="s">
        <v>1447</v>
      </c>
      <c r="E7530" t="s">
        <v>1988</v>
      </c>
      <c r="F7530" t="s">
        <v>1737</v>
      </c>
      <c r="K7530" t="str">
        <f>IF(ISBLANK('Q 8'!$C207),"",IF('Q 8'!$C207="&lt;please select&gt;","",'Q 8'!$C207))</f>
        <v/>
      </c>
    </row>
    <row r="7531" spans="1:11" x14ac:dyDescent="0.3">
      <c r="A7531" t="s">
        <v>2096</v>
      </c>
      <c r="B7531" t="s">
        <v>2097</v>
      </c>
      <c r="C7531">
        <v>52</v>
      </c>
      <c r="D7531" t="s">
        <v>1447</v>
      </c>
      <c r="E7531" t="s">
        <v>1988</v>
      </c>
      <c r="F7531" t="s">
        <v>1737</v>
      </c>
      <c r="K7531" t="str">
        <f>IF(ISBLANK('Q 8'!$C208),"",IF('Q 8'!$C208="&lt;please select&gt;","",'Q 8'!$C208))</f>
        <v/>
      </c>
    </row>
    <row r="7532" spans="1:11" x14ac:dyDescent="0.3">
      <c r="A7532" t="s">
        <v>2096</v>
      </c>
      <c r="B7532" t="s">
        <v>2097</v>
      </c>
      <c r="C7532">
        <v>53</v>
      </c>
      <c r="D7532" t="s">
        <v>1447</v>
      </c>
      <c r="E7532" t="s">
        <v>1988</v>
      </c>
      <c r="F7532" t="s">
        <v>1737</v>
      </c>
      <c r="K7532" t="str">
        <f>IF(ISBLANK('Q 8'!$C209),"",IF('Q 8'!$C209="&lt;please select&gt;","",'Q 8'!$C209))</f>
        <v/>
      </c>
    </row>
    <row r="7533" spans="1:11" x14ac:dyDescent="0.3">
      <c r="A7533" t="s">
        <v>2096</v>
      </c>
      <c r="B7533" t="s">
        <v>2097</v>
      </c>
      <c r="C7533">
        <v>54</v>
      </c>
      <c r="D7533" t="s">
        <v>1447</v>
      </c>
      <c r="E7533" t="s">
        <v>1988</v>
      </c>
      <c r="F7533" t="s">
        <v>1737</v>
      </c>
      <c r="K7533" t="str">
        <f>IF(ISBLANK('Q 8'!$C210),"",IF('Q 8'!$C210="&lt;please select&gt;","",'Q 8'!$C210))</f>
        <v/>
      </c>
    </row>
    <row r="7534" spans="1:11" x14ac:dyDescent="0.3">
      <c r="A7534" t="s">
        <v>2096</v>
      </c>
      <c r="B7534" t="s">
        <v>2097</v>
      </c>
      <c r="C7534">
        <v>55</v>
      </c>
      <c r="D7534" t="s">
        <v>1447</v>
      </c>
      <c r="E7534" t="s">
        <v>1988</v>
      </c>
      <c r="F7534" t="s">
        <v>1737</v>
      </c>
      <c r="K7534" t="str">
        <f>IF(ISBLANK('Q 8'!$C211),"",IF('Q 8'!$C211="&lt;please select&gt;","",'Q 8'!$C211))</f>
        <v/>
      </c>
    </row>
    <row r="7535" spans="1:11" x14ac:dyDescent="0.3">
      <c r="A7535" t="s">
        <v>2096</v>
      </c>
      <c r="B7535" t="s">
        <v>2097</v>
      </c>
      <c r="C7535">
        <v>56</v>
      </c>
      <c r="D7535" t="s">
        <v>1447</v>
      </c>
      <c r="E7535" t="s">
        <v>1988</v>
      </c>
      <c r="F7535" t="s">
        <v>1737</v>
      </c>
      <c r="K7535" t="str">
        <f>IF(ISBLANK('Q 8'!$C212),"",IF('Q 8'!$C212="&lt;please select&gt;","",'Q 8'!$C212))</f>
        <v/>
      </c>
    </row>
    <row r="7536" spans="1:11" x14ac:dyDescent="0.3">
      <c r="A7536" t="s">
        <v>2096</v>
      </c>
      <c r="B7536" t="s">
        <v>2097</v>
      </c>
      <c r="C7536">
        <v>57</v>
      </c>
      <c r="D7536" t="s">
        <v>1447</v>
      </c>
      <c r="E7536" t="s">
        <v>1988</v>
      </c>
      <c r="F7536" t="s">
        <v>1737</v>
      </c>
      <c r="K7536" t="str">
        <f>IF(ISBLANK('Q 8'!$C213),"",IF('Q 8'!$C213="&lt;please select&gt;","",'Q 8'!$C213))</f>
        <v/>
      </c>
    </row>
    <row r="7537" spans="1:11" x14ac:dyDescent="0.3">
      <c r="A7537" t="s">
        <v>2096</v>
      </c>
      <c r="B7537" t="s">
        <v>2097</v>
      </c>
      <c r="C7537">
        <v>58</v>
      </c>
      <c r="D7537" t="s">
        <v>1447</v>
      </c>
      <c r="E7537" t="s">
        <v>1988</v>
      </c>
      <c r="F7537" t="s">
        <v>1737</v>
      </c>
      <c r="K7537" t="str">
        <f>IF(ISBLANK('Q 8'!$C214),"",IF('Q 8'!$C214="&lt;please select&gt;","",'Q 8'!$C214))</f>
        <v/>
      </c>
    </row>
    <row r="7538" spans="1:11" x14ac:dyDescent="0.3">
      <c r="A7538" t="s">
        <v>2096</v>
      </c>
      <c r="B7538" t="s">
        <v>2097</v>
      </c>
      <c r="C7538">
        <v>59</v>
      </c>
      <c r="D7538" t="s">
        <v>1447</v>
      </c>
      <c r="E7538" t="s">
        <v>1988</v>
      </c>
      <c r="F7538" t="s">
        <v>1737</v>
      </c>
      <c r="K7538" t="str">
        <f>IF(ISBLANK('Q 8'!$C215),"",IF('Q 8'!$C215="&lt;please select&gt;","",'Q 8'!$C215))</f>
        <v/>
      </c>
    </row>
    <row r="7539" spans="1:11" x14ac:dyDescent="0.3">
      <c r="A7539" t="s">
        <v>2096</v>
      </c>
      <c r="B7539" t="s">
        <v>2097</v>
      </c>
      <c r="C7539">
        <v>60</v>
      </c>
      <c r="D7539" t="s">
        <v>1447</v>
      </c>
      <c r="E7539" t="s">
        <v>1988</v>
      </c>
      <c r="F7539" t="s">
        <v>1737</v>
      </c>
      <c r="K7539" t="str">
        <f>IF(ISBLANK('Q 8'!$C216),"",IF('Q 8'!$C216="&lt;please select&gt;","",'Q 8'!$C216))</f>
        <v/>
      </c>
    </row>
    <row r="7540" spans="1:11" x14ac:dyDescent="0.3">
      <c r="A7540" t="s">
        <v>2096</v>
      </c>
      <c r="B7540" t="s">
        <v>2097</v>
      </c>
      <c r="C7540">
        <v>61</v>
      </c>
      <c r="D7540" t="s">
        <v>1447</v>
      </c>
      <c r="E7540" t="s">
        <v>1988</v>
      </c>
      <c r="F7540" t="s">
        <v>1737</v>
      </c>
      <c r="K7540" t="str">
        <f>IF(ISBLANK('Q 8'!$C217),"",IF('Q 8'!$C217="&lt;please select&gt;","",'Q 8'!$C217))</f>
        <v/>
      </c>
    </row>
    <row r="7541" spans="1:11" x14ac:dyDescent="0.3">
      <c r="A7541" t="s">
        <v>2096</v>
      </c>
      <c r="B7541" t="s">
        <v>2097</v>
      </c>
      <c r="C7541">
        <v>62</v>
      </c>
      <c r="D7541" t="s">
        <v>1447</v>
      </c>
      <c r="E7541" t="s">
        <v>1988</v>
      </c>
      <c r="F7541" t="s">
        <v>1737</v>
      </c>
      <c r="K7541" t="str">
        <f>IF(ISBLANK('Q 8'!$C218),"",IF('Q 8'!$C218="&lt;please select&gt;","",'Q 8'!$C218))</f>
        <v/>
      </c>
    </row>
    <row r="7542" spans="1:11" x14ac:dyDescent="0.3">
      <c r="A7542" t="s">
        <v>2096</v>
      </c>
      <c r="B7542" t="s">
        <v>2097</v>
      </c>
      <c r="C7542">
        <v>63</v>
      </c>
      <c r="D7542" t="s">
        <v>1447</v>
      </c>
      <c r="E7542" t="s">
        <v>1988</v>
      </c>
      <c r="F7542" t="s">
        <v>1737</v>
      </c>
      <c r="K7542" t="str">
        <f>IF(ISBLANK('Q 8'!$C219),"",IF('Q 8'!$C219="&lt;please select&gt;","",'Q 8'!$C219))</f>
        <v/>
      </c>
    </row>
    <row r="7543" spans="1:11" x14ac:dyDescent="0.3">
      <c r="A7543" t="s">
        <v>2096</v>
      </c>
      <c r="B7543" t="s">
        <v>2097</v>
      </c>
      <c r="C7543">
        <v>64</v>
      </c>
      <c r="D7543" t="s">
        <v>1447</v>
      </c>
      <c r="E7543" t="s">
        <v>1988</v>
      </c>
      <c r="F7543" t="s">
        <v>1737</v>
      </c>
      <c r="K7543" t="str">
        <f>IF(ISBLANK('Q 8'!$C220),"",IF('Q 8'!$C220="&lt;please select&gt;","",'Q 8'!$C220))</f>
        <v/>
      </c>
    </row>
    <row r="7544" spans="1:11" x14ac:dyDescent="0.3">
      <c r="A7544" t="s">
        <v>2096</v>
      </c>
      <c r="B7544" t="s">
        <v>2097</v>
      </c>
      <c r="C7544">
        <v>65</v>
      </c>
      <c r="D7544" t="s">
        <v>1447</v>
      </c>
      <c r="E7544" t="s">
        <v>1988</v>
      </c>
      <c r="F7544" t="s">
        <v>1737</v>
      </c>
      <c r="K7544" t="str">
        <f>IF(ISBLANK('Q 8'!$C221),"",IF('Q 8'!$C221="&lt;please select&gt;","",'Q 8'!$C221))</f>
        <v/>
      </c>
    </row>
    <row r="7545" spans="1:11" x14ac:dyDescent="0.3">
      <c r="A7545" t="s">
        <v>2096</v>
      </c>
      <c r="B7545" t="s">
        <v>2097</v>
      </c>
      <c r="C7545">
        <v>66</v>
      </c>
      <c r="D7545" t="s">
        <v>1447</v>
      </c>
      <c r="E7545" t="s">
        <v>1988</v>
      </c>
      <c r="F7545" t="s">
        <v>1737</v>
      </c>
      <c r="K7545" t="str">
        <f>IF(ISBLANK('Q 8'!$C222),"",IF('Q 8'!$C222="&lt;please select&gt;","",'Q 8'!$C222))</f>
        <v/>
      </c>
    </row>
    <row r="7546" spans="1:11" x14ac:dyDescent="0.3">
      <c r="A7546" t="s">
        <v>2096</v>
      </c>
      <c r="B7546" t="s">
        <v>2097</v>
      </c>
      <c r="C7546">
        <v>67</v>
      </c>
      <c r="D7546" t="s">
        <v>1447</v>
      </c>
      <c r="E7546" t="s">
        <v>1988</v>
      </c>
      <c r="F7546" t="s">
        <v>1737</v>
      </c>
      <c r="K7546" t="str">
        <f>IF(ISBLANK('Q 8'!$C223),"",IF('Q 8'!$C223="&lt;please select&gt;","",'Q 8'!$C223))</f>
        <v/>
      </c>
    </row>
    <row r="7547" spans="1:11" x14ac:dyDescent="0.3">
      <c r="A7547" t="s">
        <v>2096</v>
      </c>
      <c r="B7547" t="s">
        <v>2097</v>
      </c>
      <c r="C7547">
        <v>68</v>
      </c>
      <c r="D7547" t="s">
        <v>1447</v>
      </c>
      <c r="E7547" t="s">
        <v>1988</v>
      </c>
      <c r="F7547" t="s">
        <v>1737</v>
      </c>
      <c r="K7547" t="str">
        <f>IF(ISBLANK('Q 8'!$C224),"",IF('Q 8'!$C224="&lt;please select&gt;","",'Q 8'!$C224))</f>
        <v/>
      </c>
    </row>
    <row r="7548" spans="1:11" x14ac:dyDescent="0.3">
      <c r="A7548" t="s">
        <v>2096</v>
      </c>
      <c r="B7548" t="s">
        <v>2097</v>
      </c>
      <c r="C7548">
        <v>69</v>
      </c>
      <c r="D7548" t="s">
        <v>1447</v>
      </c>
      <c r="E7548" t="s">
        <v>1988</v>
      </c>
      <c r="F7548" t="s">
        <v>1737</v>
      </c>
      <c r="K7548" t="str">
        <f>IF(ISBLANK('Q 8'!$C225),"",IF('Q 8'!$C225="&lt;please select&gt;","",'Q 8'!$C225))</f>
        <v/>
      </c>
    </row>
    <row r="7549" spans="1:11" x14ac:dyDescent="0.3">
      <c r="A7549" t="s">
        <v>2096</v>
      </c>
      <c r="B7549" t="s">
        <v>2097</v>
      </c>
      <c r="C7549">
        <v>70</v>
      </c>
      <c r="D7549" t="s">
        <v>1447</v>
      </c>
      <c r="E7549" t="s">
        <v>1988</v>
      </c>
      <c r="F7549" t="s">
        <v>1737</v>
      </c>
      <c r="K7549" t="str">
        <f>IF(ISBLANK('Q 8'!$C226),"",IF('Q 8'!$C226="&lt;please select&gt;","",'Q 8'!$C226))</f>
        <v/>
      </c>
    </row>
    <row r="7550" spans="1:11" x14ac:dyDescent="0.3">
      <c r="A7550" t="s">
        <v>2096</v>
      </c>
      <c r="B7550" t="s">
        <v>2097</v>
      </c>
      <c r="C7550">
        <v>71</v>
      </c>
      <c r="D7550" t="s">
        <v>1447</v>
      </c>
      <c r="E7550" t="s">
        <v>1988</v>
      </c>
      <c r="F7550" t="s">
        <v>1737</v>
      </c>
      <c r="K7550" t="str">
        <f>IF(ISBLANK('Q 8'!$C227),"",IF('Q 8'!$C227="&lt;please select&gt;","",'Q 8'!$C227))</f>
        <v/>
      </c>
    </row>
    <row r="7551" spans="1:11" x14ac:dyDescent="0.3">
      <c r="A7551" t="s">
        <v>2096</v>
      </c>
      <c r="B7551" t="s">
        <v>2097</v>
      </c>
      <c r="C7551">
        <v>72</v>
      </c>
      <c r="D7551" t="s">
        <v>1447</v>
      </c>
      <c r="E7551" t="s">
        <v>1988</v>
      </c>
      <c r="F7551" t="s">
        <v>1737</v>
      </c>
      <c r="K7551" t="str">
        <f>IF(ISBLANK('Q 8'!$C228),"",IF('Q 8'!$C228="&lt;please select&gt;","",'Q 8'!$C228))</f>
        <v/>
      </c>
    </row>
    <row r="7552" spans="1:11" x14ac:dyDescent="0.3">
      <c r="A7552" t="s">
        <v>2096</v>
      </c>
      <c r="B7552" t="s">
        <v>2097</v>
      </c>
      <c r="C7552">
        <v>73</v>
      </c>
      <c r="D7552" t="s">
        <v>1447</v>
      </c>
      <c r="E7552" t="s">
        <v>1988</v>
      </c>
      <c r="F7552" t="s">
        <v>1737</v>
      </c>
      <c r="K7552" t="str">
        <f>IF(ISBLANK('Q 8'!$C229),"",IF('Q 8'!$C229="&lt;please select&gt;","",'Q 8'!$C229))</f>
        <v/>
      </c>
    </row>
    <row r="7553" spans="1:11" x14ac:dyDescent="0.3">
      <c r="A7553" t="s">
        <v>2096</v>
      </c>
      <c r="B7553" t="s">
        <v>2097</v>
      </c>
      <c r="C7553">
        <v>74</v>
      </c>
      <c r="D7553" t="s">
        <v>1447</v>
      </c>
      <c r="E7553" t="s">
        <v>1988</v>
      </c>
      <c r="F7553" t="s">
        <v>1737</v>
      </c>
      <c r="K7553" t="str">
        <f>IF(ISBLANK('Q 8'!$C230),"",IF('Q 8'!$C230="&lt;please select&gt;","",'Q 8'!$C230))</f>
        <v/>
      </c>
    </row>
    <row r="7554" spans="1:11" x14ac:dyDescent="0.3">
      <c r="A7554" t="s">
        <v>2096</v>
      </c>
      <c r="B7554" t="s">
        <v>2097</v>
      </c>
      <c r="C7554">
        <v>75</v>
      </c>
      <c r="D7554" t="s">
        <v>1447</v>
      </c>
      <c r="E7554" t="s">
        <v>1988</v>
      </c>
      <c r="F7554" t="s">
        <v>1737</v>
      </c>
      <c r="K7554" t="str">
        <f>IF(ISBLANK('Q 8'!$C231),"",IF('Q 8'!$C231="&lt;please select&gt;","",'Q 8'!$C231))</f>
        <v/>
      </c>
    </row>
    <row r="7555" spans="1:11" x14ac:dyDescent="0.3">
      <c r="A7555" t="s">
        <v>2096</v>
      </c>
      <c r="B7555" t="s">
        <v>2097</v>
      </c>
      <c r="C7555">
        <v>76</v>
      </c>
      <c r="D7555" t="s">
        <v>1447</v>
      </c>
      <c r="E7555" t="s">
        <v>1988</v>
      </c>
      <c r="F7555" t="s">
        <v>1737</v>
      </c>
      <c r="K7555" t="str">
        <f>IF(ISBLANK('Q 8'!$C232),"",IF('Q 8'!$C232="&lt;please select&gt;","",'Q 8'!$C232))</f>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
      </c>
    </row>
    <row r="7561" spans="1:11" x14ac:dyDescent="0.3">
      <c r="A7561" t="s">
        <v>2096</v>
      </c>
      <c r="B7561" t="s">
        <v>2097</v>
      </c>
      <c r="C7561">
        <v>2</v>
      </c>
      <c r="D7561" t="s">
        <v>1447</v>
      </c>
      <c r="E7561" t="s">
        <v>1989</v>
      </c>
      <c r="F7561" t="s">
        <v>1737</v>
      </c>
      <c r="K7561" t="str">
        <f>IF(ISBLANK('Q 8'!$E158),"",IF('Q 8'!$E158="&lt;please select&gt;","",'Q 8'!$E158))</f>
        <v/>
      </c>
    </row>
    <row r="7562" spans="1:11" x14ac:dyDescent="0.3">
      <c r="A7562" t="s">
        <v>2096</v>
      </c>
      <c r="B7562" t="s">
        <v>2097</v>
      </c>
      <c r="C7562">
        <v>3</v>
      </c>
      <c r="D7562" t="s">
        <v>1447</v>
      </c>
      <c r="E7562" t="s">
        <v>1989</v>
      </c>
      <c r="F7562" t="s">
        <v>1737</v>
      </c>
      <c r="K7562" t="str">
        <f>IF(ISBLANK('Q 8'!$E159),"",IF('Q 8'!$E159="&lt;please select&gt;","",'Q 8'!$E159))</f>
        <v/>
      </c>
    </row>
    <row r="7563" spans="1:11" x14ac:dyDescent="0.3">
      <c r="A7563" t="s">
        <v>2096</v>
      </c>
      <c r="B7563" t="s">
        <v>2097</v>
      </c>
      <c r="C7563">
        <v>4</v>
      </c>
      <c r="D7563" t="s">
        <v>1447</v>
      </c>
      <c r="E7563" t="s">
        <v>1989</v>
      </c>
      <c r="F7563" t="s">
        <v>1737</v>
      </c>
      <c r="K7563" t="str">
        <f>IF(ISBLANK('Q 8'!$E160),"",IF('Q 8'!$E160="&lt;please select&gt;","",'Q 8'!$E160))</f>
        <v/>
      </c>
    </row>
    <row r="7564" spans="1:11" x14ac:dyDescent="0.3">
      <c r="A7564" t="s">
        <v>2096</v>
      </c>
      <c r="B7564" t="s">
        <v>2097</v>
      </c>
      <c r="C7564">
        <v>5</v>
      </c>
      <c r="D7564" t="s">
        <v>1447</v>
      </c>
      <c r="E7564" t="s">
        <v>1989</v>
      </c>
      <c r="F7564" t="s">
        <v>1737</v>
      </c>
      <c r="K7564" t="str">
        <f>IF(ISBLANK('Q 8'!$E161),"",IF('Q 8'!$E161="&lt;please select&gt;","",'Q 8'!$E161))</f>
        <v/>
      </c>
    </row>
    <row r="7565" spans="1:11" x14ac:dyDescent="0.3">
      <c r="A7565" t="s">
        <v>2096</v>
      </c>
      <c r="B7565" t="s">
        <v>2097</v>
      </c>
      <c r="C7565">
        <v>6</v>
      </c>
      <c r="D7565" t="s">
        <v>1447</v>
      </c>
      <c r="E7565" t="s">
        <v>1989</v>
      </c>
      <c r="F7565" t="s">
        <v>1737</v>
      </c>
      <c r="K7565" t="str">
        <f>IF(ISBLANK('Q 8'!$E162),"",IF('Q 8'!$E162="&lt;please select&gt;","",'Q 8'!$E162))</f>
        <v/>
      </c>
    </row>
    <row r="7566" spans="1:11" x14ac:dyDescent="0.3">
      <c r="A7566" t="s">
        <v>2096</v>
      </c>
      <c r="B7566" t="s">
        <v>2097</v>
      </c>
      <c r="C7566">
        <v>7</v>
      </c>
      <c r="D7566" t="s">
        <v>1447</v>
      </c>
      <c r="E7566" t="s">
        <v>1989</v>
      </c>
      <c r="F7566" t="s">
        <v>1737</v>
      </c>
      <c r="K7566" t="str">
        <f>IF(ISBLANK('Q 8'!$E163),"",IF('Q 8'!$E163="&lt;please select&gt;","",'Q 8'!$E163))</f>
        <v/>
      </c>
    </row>
    <row r="7567" spans="1:11" x14ac:dyDescent="0.3">
      <c r="A7567" t="s">
        <v>2096</v>
      </c>
      <c r="B7567" t="s">
        <v>2097</v>
      </c>
      <c r="C7567">
        <v>8</v>
      </c>
      <c r="D7567" t="s">
        <v>1447</v>
      </c>
      <c r="E7567" t="s">
        <v>1989</v>
      </c>
      <c r="F7567" t="s">
        <v>1737</v>
      </c>
      <c r="K7567" t="str">
        <f>IF(ISBLANK('Q 8'!$E164),"",IF('Q 8'!$E164="&lt;please select&gt;","",'Q 8'!$E164))</f>
        <v/>
      </c>
    </row>
    <row r="7568" spans="1:11" x14ac:dyDescent="0.3">
      <c r="A7568" t="s">
        <v>2096</v>
      </c>
      <c r="B7568" t="s">
        <v>2097</v>
      </c>
      <c r="C7568">
        <v>9</v>
      </c>
      <c r="D7568" t="s">
        <v>1447</v>
      </c>
      <c r="E7568" t="s">
        <v>1989</v>
      </c>
      <c r="F7568" t="s">
        <v>1737</v>
      </c>
      <c r="K7568" t="str">
        <f>IF(ISBLANK('Q 8'!$E165),"",IF('Q 8'!$E165="&lt;please select&gt;","",'Q 8'!$E165))</f>
        <v/>
      </c>
    </row>
    <row r="7569" spans="1:11" x14ac:dyDescent="0.3">
      <c r="A7569" t="s">
        <v>2096</v>
      </c>
      <c r="B7569" t="s">
        <v>2097</v>
      </c>
      <c r="C7569">
        <v>10</v>
      </c>
      <c r="D7569" t="s">
        <v>1447</v>
      </c>
      <c r="E7569" t="s">
        <v>1989</v>
      </c>
      <c r="F7569" t="s">
        <v>1737</v>
      </c>
      <c r="K7569" t="str">
        <f>IF(ISBLANK('Q 8'!$E166),"",IF('Q 8'!$E166="&lt;please select&gt;","",'Q 8'!$E166))</f>
        <v/>
      </c>
    </row>
    <row r="7570" spans="1:11" x14ac:dyDescent="0.3">
      <c r="A7570" t="s">
        <v>2096</v>
      </c>
      <c r="B7570" t="s">
        <v>2097</v>
      </c>
      <c r="C7570">
        <v>11</v>
      </c>
      <c r="D7570" t="s">
        <v>1447</v>
      </c>
      <c r="E7570" t="s">
        <v>1989</v>
      </c>
      <c r="F7570" t="s">
        <v>1737</v>
      </c>
      <c r="K7570" t="str">
        <f>IF(ISBLANK('Q 8'!$E167),"",IF('Q 8'!$E167="&lt;please select&gt;","",'Q 8'!$E167))</f>
        <v/>
      </c>
    </row>
    <row r="7571" spans="1:11" x14ac:dyDescent="0.3">
      <c r="A7571" t="s">
        <v>2096</v>
      </c>
      <c r="B7571" t="s">
        <v>2097</v>
      </c>
      <c r="C7571">
        <v>12</v>
      </c>
      <c r="D7571" t="s">
        <v>1447</v>
      </c>
      <c r="E7571" t="s">
        <v>1989</v>
      </c>
      <c r="F7571" t="s">
        <v>1737</v>
      </c>
      <c r="K7571" t="str">
        <f>IF(ISBLANK('Q 8'!$E168),"",IF('Q 8'!$E168="&lt;please select&gt;","",'Q 8'!$E168))</f>
        <v/>
      </c>
    </row>
    <row r="7572" spans="1:11" x14ac:dyDescent="0.3">
      <c r="A7572" t="s">
        <v>2096</v>
      </c>
      <c r="B7572" t="s">
        <v>2097</v>
      </c>
      <c r="C7572">
        <v>13</v>
      </c>
      <c r="D7572" t="s">
        <v>1447</v>
      </c>
      <c r="E7572" t="s">
        <v>1989</v>
      </c>
      <c r="F7572" t="s">
        <v>1737</v>
      </c>
      <c r="K7572" t="str">
        <f>IF(ISBLANK('Q 8'!$E169),"",IF('Q 8'!$E169="&lt;please select&gt;","",'Q 8'!$E169))</f>
        <v/>
      </c>
    </row>
    <row r="7573" spans="1:11" x14ac:dyDescent="0.3">
      <c r="A7573" t="s">
        <v>2096</v>
      </c>
      <c r="B7573" t="s">
        <v>2097</v>
      </c>
      <c r="C7573">
        <v>14</v>
      </c>
      <c r="D7573" t="s">
        <v>1447</v>
      </c>
      <c r="E7573" t="s">
        <v>1989</v>
      </c>
      <c r="F7573" t="s">
        <v>1737</v>
      </c>
      <c r="K7573" t="str">
        <f>IF(ISBLANK('Q 8'!$E170),"",IF('Q 8'!$E170="&lt;please select&gt;","",'Q 8'!$E170))</f>
        <v/>
      </c>
    </row>
    <row r="7574" spans="1:11" x14ac:dyDescent="0.3">
      <c r="A7574" t="s">
        <v>2096</v>
      </c>
      <c r="B7574" t="s">
        <v>2097</v>
      </c>
      <c r="C7574">
        <v>15</v>
      </c>
      <c r="D7574" t="s">
        <v>1447</v>
      </c>
      <c r="E7574" t="s">
        <v>1989</v>
      </c>
      <c r="F7574" t="s">
        <v>1737</v>
      </c>
      <c r="K7574" t="str">
        <f>IF(ISBLANK('Q 8'!$E171),"",IF('Q 8'!$E171="&lt;please select&gt;","",'Q 8'!$E171))</f>
        <v/>
      </c>
    </row>
    <row r="7575" spans="1:11" x14ac:dyDescent="0.3">
      <c r="A7575" t="s">
        <v>2096</v>
      </c>
      <c r="B7575" t="s">
        <v>2097</v>
      </c>
      <c r="C7575">
        <v>16</v>
      </c>
      <c r="D7575" t="s">
        <v>1447</v>
      </c>
      <c r="E7575" t="s">
        <v>1989</v>
      </c>
      <c r="F7575" t="s">
        <v>1737</v>
      </c>
      <c r="K7575" t="str">
        <f>IF(ISBLANK('Q 8'!$E172),"",IF('Q 8'!$E172="&lt;please select&gt;","",'Q 8'!$E172))</f>
        <v/>
      </c>
    </row>
    <row r="7576" spans="1:11" x14ac:dyDescent="0.3">
      <c r="A7576" t="s">
        <v>2096</v>
      </c>
      <c r="B7576" t="s">
        <v>2097</v>
      </c>
      <c r="C7576">
        <v>17</v>
      </c>
      <c r="D7576" t="s">
        <v>1447</v>
      </c>
      <c r="E7576" t="s">
        <v>1989</v>
      </c>
      <c r="F7576" t="s">
        <v>1737</v>
      </c>
      <c r="K7576" t="str">
        <f>IF(ISBLANK('Q 8'!$E173),"",IF('Q 8'!$E173="&lt;please select&gt;","",'Q 8'!$E173))</f>
        <v/>
      </c>
    </row>
    <row r="7577" spans="1:11" x14ac:dyDescent="0.3">
      <c r="A7577" t="s">
        <v>2096</v>
      </c>
      <c r="B7577" t="s">
        <v>2097</v>
      </c>
      <c r="C7577">
        <v>18</v>
      </c>
      <c r="D7577" t="s">
        <v>1447</v>
      </c>
      <c r="E7577" t="s">
        <v>1989</v>
      </c>
      <c r="F7577" t="s">
        <v>1737</v>
      </c>
      <c r="K7577" t="str">
        <f>IF(ISBLANK('Q 8'!$E174),"",IF('Q 8'!$E174="&lt;please select&gt;","",'Q 8'!$E174))</f>
        <v/>
      </c>
    </row>
    <row r="7578" spans="1:11" x14ac:dyDescent="0.3">
      <c r="A7578" t="s">
        <v>2096</v>
      </c>
      <c r="B7578" t="s">
        <v>2097</v>
      </c>
      <c r="C7578">
        <v>19</v>
      </c>
      <c r="D7578" t="s">
        <v>1447</v>
      </c>
      <c r="E7578" t="s">
        <v>1989</v>
      </c>
      <c r="F7578" t="s">
        <v>1737</v>
      </c>
      <c r="K7578" t="str">
        <f>IF(ISBLANK('Q 8'!$E175),"",IF('Q 8'!$E175="&lt;please select&gt;","",'Q 8'!$E175))</f>
        <v/>
      </c>
    </row>
    <row r="7579" spans="1:11" x14ac:dyDescent="0.3">
      <c r="A7579" t="s">
        <v>2096</v>
      </c>
      <c r="B7579" t="s">
        <v>2097</v>
      </c>
      <c r="C7579">
        <v>20</v>
      </c>
      <c r="D7579" t="s">
        <v>1447</v>
      </c>
      <c r="E7579" t="s">
        <v>1989</v>
      </c>
      <c r="F7579" t="s">
        <v>1737</v>
      </c>
      <c r="K7579" t="str">
        <f>IF(ISBLANK('Q 8'!$E176),"",IF('Q 8'!$E176="&lt;please select&gt;","",'Q 8'!$E176))</f>
        <v/>
      </c>
    </row>
    <row r="7580" spans="1:11" x14ac:dyDescent="0.3">
      <c r="A7580" t="s">
        <v>2096</v>
      </c>
      <c r="B7580" t="s">
        <v>2097</v>
      </c>
      <c r="C7580">
        <v>21</v>
      </c>
      <c r="D7580" t="s">
        <v>1447</v>
      </c>
      <c r="E7580" t="s">
        <v>1989</v>
      </c>
      <c r="F7580" t="s">
        <v>1737</v>
      </c>
      <c r="K7580" t="str">
        <f>IF(ISBLANK('Q 8'!$E177),"",IF('Q 8'!$E177="&lt;please select&gt;","",'Q 8'!$E177))</f>
        <v/>
      </c>
    </row>
    <row r="7581" spans="1:11" x14ac:dyDescent="0.3">
      <c r="A7581" t="s">
        <v>2096</v>
      </c>
      <c r="B7581" t="s">
        <v>2097</v>
      </c>
      <c r="C7581">
        <v>22</v>
      </c>
      <c r="D7581" t="s">
        <v>1447</v>
      </c>
      <c r="E7581" t="s">
        <v>1989</v>
      </c>
      <c r="F7581" t="s">
        <v>1737</v>
      </c>
      <c r="K7581" t="str">
        <f>IF(ISBLANK('Q 8'!$E178),"",IF('Q 8'!$E178="&lt;please select&gt;","",'Q 8'!$E178))</f>
        <v/>
      </c>
    </row>
    <row r="7582" spans="1:11" x14ac:dyDescent="0.3">
      <c r="A7582" t="s">
        <v>2096</v>
      </c>
      <c r="B7582" t="s">
        <v>2097</v>
      </c>
      <c r="C7582">
        <v>23</v>
      </c>
      <c r="D7582" t="s">
        <v>1447</v>
      </c>
      <c r="E7582" t="s">
        <v>1989</v>
      </c>
      <c r="F7582" t="s">
        <v>1737</v>
      </c>
      <c r="K7582" t="str">
        <f>IF(ISBLANK('Q 8'!$E179),"",IF('Q 8'!$E179="&lt;please select&gt;","",'Q 8'!$E179))</f>
        <v/>
      </c>
    </row>
    <row r="7583" spans="1:11" x14ac:dyDescent="0.3">
      <c r="A7583" t="s">
        <v>2096</v>
      </c>
      <c r="B7583" t="s">
        <v>2097</v>
      </c>
      <c r="C7583">
        <v>24</v>
      </c>
      <c r="D7583" t="s">
        <v>1447</v>
      </c>
      <c r="E7583" t="s">
        <v>1989</v>
      </c>
      <c r="F7583" t="s">
        <v>1737</v>
      </c>
      <c r="K7583" t="str">
        <f>IF(ISBLANK('Q 8'!$E180),"",IF('Q 8'!$E180="&lt;please select&gt;","",'Q 8'!$E180))</f>
        <v/>
      </c>
    </row>
    <row r="7584" spans="1:11" x14ac:dyDescent="0.3">
      <c r="A7584" t="s">
        <v>2096</v>
      </c>
      <c r="B7584" t="s">
        <v>2097</v>
      </c>
      <c r="C7584">
        <v>25</v>
      </c>
      <c r="D7584" t="s">
        <v>1447</v>
      </c>
      <c r="E7584" t="s">
        <v>1989</v>
      </c>
      <c r="F7584" t="s">
        <v>1737</v>
      </c>
      <c r="K7584" t="str">
        <f>IF(ISBLANK('Q 8'!$E181),"",IF('Q 8'!$E181="&lt;please select&gt;","",'Q 8'!$E181))</f>
        <v/>
      </c>
    </row>
    <row r="7585" spans="1:11" x14ac:dyDescent="0.3">
      <c r="A7585" t="s">
        <v>2096</v>
      </c>
      <c r="B7585" t="s">
        <v>2097</v>
      </c>
      <c r="C7585">
        <v>26</v>
      </c>
      <c r="D7585" t="s">
        <v>1447</v>
      </c>
      <c r="E7585" t="s">
        <v>1989</v>
      </c>
      <c r="F7585" t="s">
        <v>1737</v>
      </c>
      <c r="K7585" t="str">
        <f>IF(ISBLANK('Q 8'!$E182),"",IF('Q 8'!$E182="&lt;please select&gt;","",'Q 8'!$E182))</f>
        <v/>
      </c>
    </row>
    <row r="7586" spans="1:11" x14ac:dyDescent="0.3">
      <c r="A7586" t="s">
        <v>2096</v>
      </c>
      <c r="B7586" t="s">
        <v>2097</v>
      </c>
      <c r="C7586">
        <v>27</v>
      </c>
      <c r="D7586" t="s">
        <v>1447</v>
      </c>
      <c r="E7586" t="s">
        <v>1989</v>
      </c>
      <c r="F7586" t="s">
        <v>1737</v>
      </c>
      <c r="K7586" t="str">
        <f>IF(ISBLANK('Q 8'!$E183),"",IF('Q 8'!$E183="&lt;please select&gt;","",'Q 8'!$E183))</f>
        <v/>
      </c>
    </row>
    <row r="7587" spans="1:11" x14ac:dyDescent="0.3">
      <c r="A7587" t="s">
        <v>2096</v>
      </c>
      <c r="B7587" t="s">
        <v>2097</v>
      </c>
      <c r="C7587">
        <v>28</v>
      </c>
      <c r="D7587" t="s">
        <v>1447</v>
      </c>
      <c r="E7587" t="s">
        <v>1989</v>
      </c>
      <c r="F7587" t="s">
        <v>1737</v>
      </c>
      <c r="K7587" t="str">
        <f>IF(ISBLANK('Q 8'!$E184),"",IF('Q 8'!$E184="&lt;please select&gt;","",'Q 8'!$E184))</f>
        <v/>
      </c>
    </row>
    <row r="7588" spans="1:11" x14ac:dyDescent="0.3">
      <c r="A7588" t="s">
        <v>2096</v>
      </c>
      <c r="B7588" t="s">
        <v>2097</v>
      </c>
      <c r="C7588">
        <v>29</v>
      </c>
      <c r="D7588" t="s">
        <v>1447</v>
      </c>
      <c r="E7588" t="s">
        <v>1989</v>
      </c>
      <c r="F7588" t="s">
        <v>1737</v>
      </c>
      <c r="K7588" t="str">
        <f>IF(ISBLANK('Q 8'!$E185),"",IF('Q 8'!$E185="&lt;please select&gt;","",'Q 8'!$E185))</f>
        <v/>
      </c>
    </row>
    <row r="7589" spans="1:11" x14ac:dyDescent="0.3">
      <c r="A7589" t="s">
        <v>2096</v>
      </c>
      <c r="B7589" t="s">
        <v>2097</v>
      </c>
      <c r="C7589">
        <v>30</v>
      </c>
      <c r="D7589" t="s">
        <v>1447</v>
      </c>
      <c r="E7589" t="s">
        <v>1989</v>
      </c>
      <c r="F7589" t="s">
        <v>1737</v>
      </c>
      <c r="K7589" t="str">
        <f>IF(ISBLANK('Q 8'!$E186),"",IF('Q 8'!$E186="&lt;please select&gt;","",'Q 8'!$E186))</f>
        <v/>
      </c>
    </row>
    <row r="7590" spans="1:11" x14ac:dyDescent="0.3">
      <c r="A7590" t="s">
        <v>2096</v>
      </c>
      <c r="B7590" t="s">
        <v>2097</v>
      </c>
      <c r="C7590">
        <v>31</v>
      </c>
      <c r="D7590" t="s">
        <v>1447</v>
      </c>
      <c r="E7590" t="s">
        <v>1989</v>
      </c>
      <c r="F7590" t="s">
        <v>1737</v>
      </c>
      <c r="K7590" t="str">
        <f>IF(ISBLANK('Q 8'!$E187),"",IF('Q 8'!$E187="&lt;please select&gt;","",'Q 8'!$E187))</f>
        <v/>
      </c>
    </row>
    <row r="7591" spans="1:11" x14ac:dyDescent="0.3">
      <c r="A7591" t="s">
        <v>2096</v>
      </c>
      <c r="B7591" t="s">
        <v>2097</v>
      </c>
      <c r="C7591">
        <v>32</v>
      </c>
      <c r="D7591" t="s">
        <v>1447</v>
      </c>
      <c r="E7591" t="s">
        <v>1989</v>
      </c>
      <c r="F7591" t="s">
        <v>1737</v>
      </c>
      <c r="K7591" t="str">
        <f>IF(ISBLANK('Q 8'!$E188),"",IF('Q 8'!$E188="&lt;please select&gt;","",'Q 8'!$E188))</f>
        <v/>
      </c>
    </row>
    <row r="7592" spans="1:11" x14ac:dyDescent="0.3">
      <c r="A7592" t="s">
        <v>2096</v>
      </c>
      <c r="B7592" t="s">
        <v>2097</v>
      </c>
      <c r="C7592">
        <v>33</v>
      </c>
      <c r="D7592" t="s">
        <v>1447</v>
      </c>
      <c r="E7592" t="s">
        <v>1989</v>
      </c>
      <c r="F7592" t="s">
        <v>1737</v>
      </c>
      <c r="K7592" t="str">
        <f>IF(ISBLANK('Q 8'!$E189),"",IF('Q 8'!$E189="&lt;please select&gt;","",'Q 8'!$E189))</f>
        <v/>
      </c>
    </row>
    <row r="7593" spans="1:11" x14ac:dyDescent="0.3">
      <c r="A7593" t="s">
        <v>2096</v>
      </c>
      <c r="B7593" t="s">
        <v>2097</v>
      </c>
      <c r="C7593">
        <v>34</v>
      </c>
      <c r="D7593" t="s">
        <v>1447</v>
      </c>
      <c r="E7593" t="s">
        <v>1989</v>
      </c>
      <c r="F7593" t="s">
        <v>1737</v>
      </c>
      <c r="K7593" t="str">
        <f>IF(ISBLANK('Q 8'!$E190),"",IF('Q 8'!$E190="&lt;please select&gt;","",'Q 8'!$E190))</f>
        <v/>
      </c>
    </row>
    <row r="7594" spans="1:11" x14ac:dyDescent="0.3">
      <c r="A7594" t="s">
        <v>2096</v>
      </c>
      <c r="B7594" t="s">
        <v>2097</v>
      </c>
      <c r="C7594">
        <v>35</v>
      </c>
      <c r="D7594" t="s">
        <v>1447</v>
      </c>
      <c r="E7594" t="s">
        <v>1989</v>
      </c>
      <c r="F7594" t="s">
        <v>1737</v>
      </c>
      <c r="K7594" t="str">
        <f>IF(ISBLANK('Q 8'!$E191),"",IF('Q 8'!$E191="&lt;please select&gt;","",'Q 8'!$E191))</f>
        <v/>
      </c>
    </row>
    <row r="7595" spans="1:11" x14ac:dyDescent="0.3">
      <c r="A7595" t="s">
        <v>2096</v>
      </c>
      <c r="B7595" t="s">
        <v>2097</v>
      </c>
      <c r="C7595">
        <v>36</v>
      </c>
      <c r="D7595" t="s">
        <v>1447</v>
      </c>
      <c r="E7595" t="s">
        <v>1989</v>
      </c>
      <c r="F7595" t="s">
        <v>1737</v>
      </c>
      <c r="K7595" t="str">
        <f>IF(ISBLANK('Q 8'!$E192),"",IF('Q 8'!$E192="&lt;please select&gt;","",'Q 8'!$E192))</f>
        <v/>
      </c>
    </row>
    <row r="7596" spans="1:11" x14ac:dyDescent="0.3">
      <c r="A7596" t="s">
        <v>2096</v>
      </c>
      <c r="B7596" t="s">
        <v>2097</v>
      </c>
      <c r="C7596">
        <v>37</v>
      </c>
      <c r="D7596" t="s">
        <v>1447</v>
      </c>
      <c r="E7596" t="s">
        <v>1989</v>
      </c>
      <c r="F7596" t="s">
        <v>1737</v>
      </c>
      <c r="K7596" t="str">
        <f>IF(ISBLANK('Q 8'!$E193),"",IF('Q 8'!$E193="&lt;please select&gt;","",'Q 8'!$E193))</f>
        <v/>
      </c>
    </row>
    <row r="7597" spans="1:11" x14ac:dyDescent="0.3">
      <c r="A7597" t="s">
        <v>2096</v>
      </c>
      <c r="B7597" t="s">
        <v>2097</v>
      </c>
      <c r="C7597">
        <v>38</v>
      </c>
      <c r="D7597" t="s">
        <v>1447</v>
      </c>
      <c r="E7597" t="s">
        <v>1989</v>
      </c>
      <c r="F7597" t="s">
        <v>1737</v>
      </c>
      <c r="K7597" t="str">
        <f>IF(ISBLANK('Q 8'!$E194),"",IF('Q 8'!$E194="&lt;please select&gt;","",'Q 8'!$E194))</f>
        <v/>
      </c>
    </row>
    <row r="7598" spans="1:11" x14ac:dyDescent="0.3">
      <c r="A7598" t="s">
        <v>2096</v>
      </c>
      <c r="B7598" t="s">
        <v>2097</v>
      </c>
      <c r="C7598">
        <v>39</v>
      </c>
      <c r="D7598" t="s">
        <v>1447</v>
      </c>
      <c r="E7598" t="s">
        <v>1989</v>
      </c>
      <c r="F7598" t="s">
        <v>1737</v>
      </c>
      <c r="K7598" t="str">
        <f>IF(ISBLANK('Q 8'!$E195),"",IF('Q 8'!$E195="&lt;please select&gt;","",'Q 8'!$E195))</f>
        <v/>
      </c>
    </row>
    <row r="7599" spans="1:11" x14ac:dyDescent="0.3">
      <c r="A7599" t="s">
        <v>2096</v>
      </c>
      <c r="B7599" t="s">
        <v>2097</v>
      </c>
      <c r="C7599">
        <v>40</v>
      </c>
      <c r="D7599" t="s">
        <v>1447</v>
      </c>
      <c r="E7599" t="s">
        <v>1989</v>
      </c>
      <c r="F7599" t="s">
        <v>1737</v>
      </c>
      <c r="K7599" t="str">
        <f>IF(ISBLANK('Q 8'!$E196),"",IF('Q 8'!$E196="&lt;please select&gt;","",'Q 8'!$E196))</f>
        <v/>
      </c>
    </row>
    <row r="7600" spans="1:11" x14ac:dyDescent="0.3">
      <c r="A7600" t="s">
        <v>2096</v>
      </c>
      <c r="B7600" t="s">
        <v>2097</v>
      </c>
      <c r="C7600">
        <v>41</v>
      </c>
      <c r="D7600" t="s">
        <v>1447</v>
      </c>
      <c r="E7600" t="s">
        <v>1989</v>
      </c>
      <c r="F7600" t="s">
        <v>1737</v>
      </c>
      <c r="K7600" t="str">
        <f>IF(ISBLANK('Q 8'!$E197),"",IF('Q 8'!$E197="&lt;please select&gt;","",'Q 8'!$E197))</f>
        <v/>
      </c>
    </row>
    <row r="7601" spans="1:11" x14ac:dyDescent="0.3">
      <c r="A7601" t="s">
        <v>2096</v>
      </c>
      <c r="B7601" t="s">
        <v>2097</v>
      </c>
      <c r="C7601">
        <v>42</v>
      </c>
      <c r="D7601" t="s">
        <v>1447</v>
      </c>
      <c r="E7601" t="s">
        <v>1989</v>
      </c>
      <c r="F7601" t="s">
        <v>1737</v>
      </c>
      <c r="K7601" t="str">
        <f>IF(ISBLANK('Q 8'!$E198),"",IF('Q 8'!$E198="&lt;please select&gt;","",'Q 8'!$E198))</f>
        <v/>
      </c>
    </row>
    <row r="7602" spans="1:11" x14ac:dyDescent="0.3">
      <c r="A7602" t="s">
        <v>2096</v>
      </c>
      <c r="B7602" t="s">
        <v>2097</v>
      </c>
      <c r="C7602">
        <v>43</v>
      </c>
      <c r="D7602" t="s">
        <v>1447</v>
      </c>
      <c r="E7602" t="s">
        <v>1989</v>
      </c>
      <c r="F7602" t="s">
        <v>1737</v>
      </c>
      <c r="K7602" t="str">
        <f>IF(ISBLANK('Q 8'!$E199),"",IF('Q 8'!$E199="&lt;please select&gt;","",'Q 8'!$E199))</f>
        <v/>
      </c>
    </row>
    <row r="7603" spans="1:11" x14ac:dyDescent="0.3">
      <c r="A7603" t="s">
        <v>2096</v>
      </c>
      <c r="B7603" t="s">
        <v>2097</v>
      </c>
      <c r="C7603">
        <v>44</v>
      </c>
      <c r="D7603" t="s">
        <v>1447</v>
      </c>
      <c r="E7603" t="s">
        <v>1989</v>
      </c>
      <c r="F7603" t="s">
        <v>1737</v>
      </c>
      <c r="K7603" t="str">
        <f>IF(ISBLANK('Q 8'!$E200),"",IF('Q 8'!$E200="&lt;please select&gt;","",'Q 8'!$E200))</f>
        <v/>
      </c>
    </row>
    <row r="7604" spans="1:11" x14ac:dyDescent="0.3">
      <c r="A7604" t="s">
        <v>2096</v>
      </c>
      <c r="B7604" t="s">
        <v>2097</v>
      </c>
      <c r="C7604">
        <v>45</v>
      </c>
      <c r="D7604" t="s">
        <v>1447</v>
      </c>
      <c r="E7604" t="s">
        <v>1989</v>
      </c>
      <c r="F7604" t="s">
        <v>1737</v>
      </c>
      <c r="K7604" t="str">
        <f>IF(ISBLANK('Q 8'!$E201),"",IF('Q 8'!$E201="&lt;please select&gt;","",'Q 8'!$E201))</f>
        <v/>
      </c>
    </row>
    <row r="7605" spans="1:11" x14ac:dyDescent="0.3">
      <c r="A7605" t="s">
        <v>2096</v>
      </c>
      <c r="B7605" t="s">
        <v>2097</v>
      </c>
      <c r="C7605">
        <v>46</v>
      </c>
      <c r="D7605" t="s">
        <v>1447</v>
      </c>
      <c r="E7605" t="s">
        <v>1989</v>
      </c>
      <c r="F7605" t="s">
        <v>1737</v>
      </c>
      <c r="K7605" t="str">
        <f>IF(ISBLANK('Q 8'!$E202),"",IF('Q 8'!$E202="&lt;please select&gt;","",'Q 8'!$E202))</f>
        <v/>
      </c>
    </row>
    <row r="7606" spans="1:11" x14ac:dyDescent="0.3">
      <c r="A7606" t="s">
        <v>2096</v>
      </c>
      <c r="B7606" t="s">
        <v>2097</v>
      </c>
      <c r="C7606">
        <v>47</v>
      </c>
      <c r="D7606" t="s">
        <v>1447</v>
      </c>
      <c r="E7606" t="s">
        <v>1989</v>
      </c>
      <c r="F7606" t="s">
        <v>1737</v>
      </c>
      <c r="K7606" t="str">
        <f>IF(ISBLANK('Q 8'!$E203),"",IF('Q 8'!$E203="&lt;please select&gt;","",'Q 8'!$E203))</f>
        <v/>
      </c>
    </row>
    <row r="7607" spans="1:11" x14ac:dyDescent="0.3">
      <c r="A7607" t="s">
        <v>2096</v>
      </c>
      <c r="B7607" t="s">
        <v>2097</v>
      </c>
      <c r="C7607">
        <v>48</v>
      </c>
      <c r="D7607" t="s">
        <v>1447</v>
      </c>
      <c r="E7607" t="s">
        <v>1989</v>
      </c>
      <c r="F7607" t="s">
        <v>1737</v>
      </c>
      <c r="K7607" t="str">
        <f>IF(ISBLANK('Q 8'!$E204),"",IF('Q 8'!$E204="&lt;please select&gt;","",'Q 8'!$E204))</f>
        <v/>
      </c>
    </row>
    <row r="7608" spans="1:11" x14ac:dyDescent="0.3">
      <c r="A7608" t="s">
        <v>2096</v>
      </c>
      <c r="B7608" t="s">
        <v>2097</v>
      </c>
      <c r="C7608">
        <v>49</v>
      </c>
      <c r="D7608" t="s">
        <v>1447</v>
      </c>
      <c r="E7608" t="s">
        <v>1989</v>
      </c>
      <c r="F7608" t="s">
        <v>1737</v>
      </c>
      <c r="K7608" t="str">
        <f>IF(ISBLANK('Q 8'!$E205),"",IF('Q 8'!$E205="&lt;please select&gt;","",'Q 8'!$E205))</f>
        <v/>
      </c>
    </row>
    <row r="7609" spans="1:11" x14ac:dyDescent="0.3">
      <c r="A7609" t="s">
        <v>2096</v>
      </c>
      <c r="B7609" t="s">
        <v>2097</v>
      </c>
      <c r="C7609">
        <v>50</v>
      </c>
      <c r="D7609" t="s">
        <v>1447</v>
      </c>
      <c r="E7609" t="s">
        <v>1989</v>
      </c>
      <c r="F7609" t="s">
        <v>1737</v>
      </c>
      <c r="K7609" t="str">
        <f>IF(ISBLANK('Q 8'!$E206),"",IF('Q 8'!$E206="&lt;please select&gt;","",'Q 8'!$E206))</f>
        <v/>
      </c>
    </row>
    <row r="7610" spans="1:11" x14ac:dyDescent="0.3">
      <c r="A7610" t="s">
        <v>2096</v>
      </c>
      <c r="B7610" t="s">
        <v>2097</v>
      </c>
      <c r="C7610">
        <v>51</v>
      </c>
      <c r="D7610" t="s">
        <v>1447</v>
      </c>
      <c r="E7610" t="s">
        <v>1989</v>
      </c>
      <c r="F7610" t="s">
        <v>1737</v>
      </c>
      <c r="K7610" t="str">
        <f>IF(ISBLANK('Q 8'!$E207),"",IF('Q 8'!$E207="&lt;please select&gt;","",'Q 8'!$E207))</f>
        <v/>
      </c>
    </row>
    <row r="7611" spans="1:11" x14ac:dyDescent="0.3">
      <c r="A7611" t="s">
        <v>2096</v>
      </c>
      <c r="B7611" t="s">
        <v>2097</v>
      </c>
      <c r="C7611">
        <v>52</v>
      </c>
      <c r="D7611" t="s">
        <v>1447</v>
      </c>
      <c r="E7611" t="s">
        <v>1989</v>
      </c>
      <c r="F7611" t="s">
        <v>1737</v>
      </c>
      <c r="K7611" t="str">
        <f>IF(ISBLANK('Q 8'!$E208),"",IF('Q 8'!$E208="&lt;please select&gt;","",'Q 8'!$E208))</f>
        <v/>
      </c>
    </row>
    <row r="7612" spans="1:11" x14ac:dyDescent="0.3">
      <c r="A7612" t="s">
        <v>2096</v>
      </c>
      <c r="B7612" t="s">
        <v>2097</v>
      </c>
      <c r="C7612">
        <v>53</v>
      </c>
      <c r="D7612" t="s">
        <v>1447</v>
      </c>
      <c r="E7612" t="s">
        <v>1989</v>
      </c>
      <c r="F7612" t="s">
        <v>1737</v>
      </c>
      <c r="K7612" t="str">
        <f>IF(ISBLANK('Q 8'!$E209),"",IF('Q 8'!$E209="&lt;please select&gt;","",'Q 8'!$E209))</f>
        <v/>
      </c>
    </row>
    <row r="7613" spans="1:11" x14ac:dyDescent="0.3">
      <c r="A7613" t="s">
        <v>2096</v>
      </c>
      <c r="B7613" t="s">
        <v>2097</v>
      </c>
      <c r="C7613">
        <v>54</v>
      </c>
      <c r="D7613" t="s">
        <v>1447</v>
      </c>
      <c r="E7613" t="s">
        <v>1989</v>
      </c>
      <c r="F7613" t="s">
        <v>1737</v>
      </c>
      <c r="K7613" t="str">
        <f>IF(ISBLANK('Q 8'!$E210),"",IF('Q 8'!$E210="&lt;please select&gt;","",'Q 8'!$E210))</f>
        <v/>
      </c>
    </row>
    <row r="7614" spans="1:11" x14ac:dyDescent="0.3">
      <c r="A7614" t="s">
        <v>2096</v>
      </c>
      <c r="B7614" t="s">
        <v>2097</v>
      </c>
      <c r="C7614">
        <v>55</v>
      </c>
      <c r="D7614" t="s">
        <v>1447</v>
      </c>
      <c r="E7614" t="s">
        <v>1989</v>
      </c>
      <c r="F7614" t="s">
        <v>1737</v>
      </c>
      <c r="K7614" t="str">
        <f>IF(ISBLANK('Q 8'!$E211),"",IF('Q 8'!$E211="&lt;please select&gt;","",'Q 8'!$E211))</f>
        <v/>
      </c>
    </row>
    <row r="7615" spans="1:11" x14ac:dyDescent="0.3">
      <c r="A7615" t="s">
        <v>2096</v>
      </c>
      <c r="B7615" t="s">
        <v>2097</v>
      </c>
      <c r="C7615">
        <v>56</v>
      </c>
      <c r="D7615" t="s">
        <v>1447</v>
      </c>
      <c r="E7615" t="s">
        <v>1989</v>
      </c>
      <c r="F7615" t="s">
        <v>1737</v>
      </c>
      <c r="K7615" t="str">
        <f>IF(ISBLANK('Q 8'!$E212),"",IF('Q 8'!$E212="&lt;please select&gt;","",'Q 8'!$E212))</f>
        <v/>
      </c>
    </row>
    <row r="7616" spans="1:11" x14ac:dyDescent="0.3">
      <c r="A7616" t="s">
        <v>2096</v>
      </c>
      <c r="B7616" t="s">
        <v>2097</v>
      </c>
      <c r="C7616">
        <v>57</v>
      </c>
      <c r="D7616" t="s">
        <v>1447</v>
      </c>
      <c r="E7616" t="s">
        <v>1989</v>
      </c>
      <c r="F7616" t="s">
        <v>1737</v>
      </c>
      <c r="K7616" t="str">
        <f>IF(ISBLANK('Q 8'!$E213),"",IF('Q 8'!$E213="&lt;please select&gt;","",'Q 8'!$E213))</f>
        <v/>
      </c>
    </row>
    <row r="7617" spans="1:11" x14ac:dyDescent="0.3">
      <c r="A7617" t="s">
        <v>2096</v>
      </c>
      <c r="B7617" t="s">
        <v>2097</v>
      </c>
      <c r="C7617">
        <v>58</v>
      </c>
      <c r="D7617" t="s">
        <v>1447</v>
      </c>
      <c r="E7617" t="s">
        <v>1989</v>
      </c>
      <c r="F7617" t="s">
        <v>1737</v>
      </c>
      <c r="K7617" t="str">
        <f>IF(ISBLANK('Q 8'!$E214),"",IF('Q 8'!$E214="&lt;please select&gt;","",'Q 8'!$E214))</f>
        <v/>
      </c>
    </row>
    <row r="7618" spans="1:11" x14ac:dyDescent="0.3">
      <c r="A7618" t="s">
        <v>2096</v>
      </c>
      <c r="B7618" t="s">
        <v>2097</v>
      </c>
      <c r="C7618">
        <v>59</v>
      </c>
      <c r="D7618" t="s">
        <v>1447</v>
      </c>
      <c r="E7618" t="s">
        <v>1989</v>
      </c>
      <c r="F7618" t="s">
        <v>1737</v>
      </c>
      <c r="K7618" t="str">
        <f>IF(ISBLANK('Q 8'!$E215),"",IF('Q 8'!$E215="&lt;please select&gt;","",'Q 8'!$E215))</f>
        <v/>
      </c>
    </row>
    <row r="7619" spans="1:11" x14ac:dyDescent="0.3">
      <c r="A7619" t="s">
        <v>2096</v>
      </c>
      <c r="B7619" t="s">
        <v>2097</v>
      </c>
      <c r="C7619">
        <v>60</v>
      </c>
      <c r="D7619" t="s">
        <v>1447</v>
      </c>
      <c r="E7619" t="s">
        <v>1989</v>
      </c>
      <c r="F7619" t="s">
        <v>1737</v>
      </c>
      <c r="K7619" t="str">
        <f>IF(ISBLANK('Q 8'!$E216),"",IF('Q 8'!$E216="&lt;please select&gt;","",'Q 8'!$E216))</f>
        <v/>
      </c>
    </row>
    <row r="7620" spans="1:11" x14ac:dyDescent="0.3">
      <c r="A7620" t="s">
        <v>2096</v>
      </c>
      <c r="B7620" t="s">
        <v>2097</v>
      </c>
      <c r="C7620">
        <v>61</v>
      </c>
      <c r="D7620" t="s">
        <v>1447</v>
      </c>
      <c r="E7620" t="s">
        <v>1989</v>
      </c>
      <c r="F7620" t="s">
        <v>1737</v>
      </c>
      <c r="K7620" t="str">
        <f>IF(ISBLANK('Q 8'!$E217),"",IF('Q 8'!$E217="&lt;please select&gt;","",'Q 8'!$E217))</f>
        <v/>
      </c>
    </row>
    <row r="7621" spans="1:11" x14ac:dyDescent="0.3">
      <c r="A7621" t="s">
        <v>2096</v>
      </c>
      <c r="B7621" t="s">
        <v>2097</v>
      </c>
      <c r="C7621">
        <v>62</v>
      </c>
      <c r="D7621" t="s">
        <v>1447</v>
      </c>
      <c r="E7621" t="s">
        <v>1989</v>
      </c>
      <c r="F7621" t="s">
        <v>1737</v>
      </c>
      <c r="K7621" t="str">
        <f>IF(ISBLANK('Q 8'!$E218),"",IF('Q 8'!$E218="&lt;please select&gt;","",'Q 8'!$E218))</f>
        <v/>
      </c>
    </row>
    <row r="7622" spans="1:11" x14ac:dyDescent="0.3">
      <c r="A7622" t="s">
        <v>2096</v>
      </c>
      <c r="B7622" t="s">
        <v>2097</v>
      </c>
      <c r="C7622">
        <v>63</v>
      </c>
      <c r="D7622" t="s">
        <v>1447</v>
      </c>
      <c r="E7622" t="s">
        <v>1989</v>
      </c>
      <c r="F7622" t="s">
        <v>1737</v>
      </c>
      <c r="K7622" t="str">
        <f>IF(ISBLANK('Q 8'!$E219),"",IF('Q 8'!$E219="&lt;please select&gt;","",'Q 8'!$E219))</f>
        <v/>
      </c>
    </row>
    <row r="7623" spans="1:11" x14ac:dyDescent="0.3">
      <c r="A7623" t="s">
        <v>2096</v>
      </c>
      <c r="B7623" t="s">
        <v>2097</v>
      </c>
      <c r="C7623">
        <v>64</v>
      </c>
      <c r="D7623" t="s">
        <v>1447</v>
      </c>
      <c r="E7623" t="s">
        <v>1989</v>
      </c>
      <c r="F7623" t="s">
        <v>1737</v>
      </c>
      <c r="K7623" t="str">
        <f>IF(ISBLANK('Q 8'!$E220),"",IF('Q 8'!$E220="&lt;please select&gt;","",'Q 8'!$E220))</f>
        <v/>
      </c>
    </row>
    <row r="7624" spans="1:11" x14ac:dyDescent="0.3">
      <c r="A7624" t="s">
        <v>2096</v>
      </c>
      <c r="B7624" t="s">
        <v>2097</v>
      </c>
      <c r="C7624">
        <v>65</v>
      </c>
      <c r="D7624" t="s">
        <v>1447</v>
      </c>
      <c r="E7624" t="s">
        <v>1989</v>
      </c>
      <c r="F7624" t="s">
        <v>1737</v>
      </c>
      <c r="K7624" t="str">
        <f>IF(ISBLANK('Q 8'!$E221),"",IF('Q 8'!$E221="&lt;please select&gt;","",'Q 8'!$E221))</f>
        <v/>
      </c>
    </row>
    <row r="7625" spans="1:11" x14ac:dyDescent="0.3">
      <c r="A7625" t="s">
        <v>2096</v>
      </c>
      <c r="B7625" t="s">
        <v>2097</v>
      </c>
      <c r="C7625">
        <v>66</v>
      </c>
      <c r="D7625" t="s">
        <v>1447</v>
      </c>
      <c r="E7625" t="s">
        <v>1989</v>
      </c>
      <c r="F7625" t="s">
        <v>1737</v>
      </c>
      <c r="K7625" t="str">
        <f>IF(ISBLANK('Q 8'!$E222),"",IF('Q 8'!$E222="&lt;please select&gt;","",'Q 8'!$E222))</f>
        <v/>
      </c>
    </row>
    <row r="7626" spans="1:11" x14ac:dyDescent="0.3">
      <c r="A7626" t="s">
        <v>2096</v>
      </c>
      <c r="B7626" t="s">
        <v>2097</v>
      </c>
      <c r="C7626">
        <v>67</v>
      </c>
      <c r="D7626" t="s">
        <v>1447</v>
      </c>
      <c r="E7626" t="s">
        <v>1989</v>
      </c>
      <c r="F7626" t="s">
        <v>1737</v>
      </c>
      <c r="K7626" t="str">
        <f>IF(ISBLANK('Q 8'!$E223),"",IF('Q 8'!$E223="&lt;please select&gt;","",'Q 8'!$E223))</f>
        <v/>
      </c>
    </row>
    <row r="7627" spans="1:11" x14ac:dyDescent="0.3">
      <c r="A7627" t="s">
        <v>2096</v>
      </c>
      <c r="B7627" t="s">
        <v>2097</v>
      </c>
      <c r="C7627">
        <v>68</v>
      </c>
      <c r="D7627" t="s">
        <v>1447</v>
      </c>
      <c r="E7627" t="s">
        <v>1989</v>
      </c>
      <c r="F7627" t="s">
        <v>1737</v>
      </c>
      <c r="K7627" t="str">
        <f>IF(ISBLANK('Q 8'!$E224),"",IF('Q 8'!$E224="&lt;please select&gt;","",'Q 8'!$E224))</f>
        <v/>
      </c>
    </row>
    <row r="7628" spans="1:11" x14ac:dyDescent="0.3">
      <c r="A7628" t="s">
        <v>2096</v>
      </c>
      <c r="B7628" t="s">
        <v>2097</v>
      </c>
      <c r="C7628">
        <v>69</v>
      </c>
      <c r="D7628" t="s">
        <v>1447</v>
      </c>
      <c r="E7628" t="s">
        <v>1989</v>
      </c>
      <c r="F7628" t="s">
        <v>1737</v>
      </c>
      <c r="K7628" t="str">
        <f>IF(ISBLANK('Q 8'!$E225),"",IF('Q 8'!$E225="&lt;please select&gt;","",'Q 8'!$E225))</f>
        <v/>
      </c>
    </row>
    <row r="7629" spans="1:11" x14ac:dyDescent="0.3">
      <c r="A7629" t="s">
        <v>2096</v>
      </c>
      <c r="B7629" t="s">
        <v>2097</v>
      </c>
      <c r="C7629">
        <v>70</v>
      </c>
      <c r="D7629" t="s">
        <v>1447</v>
      </c>
      <c r="E7629" t="s">
        <v>1989</v>
      </c>
      <c r="F7629" t="s">
        <v>1737</v>
      </c>
      <c r="K7629" t="str">
        <f>IF(ISBLANK('Q 8'!$E226),"",IF('Q 8'!$E226="&lt;please select&gt;","",'Q 8'!$E226))</f>
        <v/>
      </c>
    </row>
    <row r="7630" spans="1:11" x14ac:dyDescent="0.3">
      <c r="A7630" t="s">
        <v>2096</v>
      </c>
      <c r="B7630" t="s">
        <v>2097</v>
      </c>
      <c r="C7630">
        <v>71</v>
      </c>
      <c r="D7630" t="s">
        <v>1447</v>
      </c>
      <c r="E7630" t="s">
        <v>1989</v>
      </c>
      <c r="F7630" t="s">
        <v>1737</v>
      </c>
      <c r="K7630" t="str">
        <f>IF(ISBLANK('Q 8'!$E227),"",IF('Q 8'!$E227="&lt;please select&gt;","",'Q 8'!$E227))</f>
        <v/>
      </c>
    </row>
    <row r="7631" spans="1:11" x14ac:dyDescent="0.3">
      <c r="A7631" t="s">
        <v>2096</v>
      </c>
      <c r="B7631" t="s">
        <v>2097</v>
      </c>
      <c r="C7631">
        <v>72</v>
      </c>
      <c r="D7631" t="s">
        <v>1447</v>
      </c>
      <c r="E7631" t="s">
        <v>1989</v>
      </c>
      <c r="F7631" t="s">
        <v>1737</v>
      </c>
      <c r="K7631" t="str">
        <f>IF(ISBLANK('Q 8'!$E228),"",IF('Q 8'!$E228="&lt;please select&gt;","",'Q 8'!$E228))</f>
        <v/>
      </c>
    </row>
    <row r="7632" spans="1:11" x14ac:dyDescent="0.3">
      <c r="A7632" t="s">
        <v>2096</v>
      </c>
      <c r="B7632" t="s">
        <v>2097</v>
      </c>
      <c r="C7632">
        <v>73</v>
      </c>
      <c r="D7632" t="s">
        <v>1447</v>
      </c>
      <c r="E7632" t="s">
        <v>1989</v>
      </c>
      <c r="F7632" t="s">
        <v>1737</v>
      </c>
      <c r="K7632" t="str">
        <f>IF(ISBLANK('Q 8'!$E229),"",IF('Q 8'!$E229="&lt;please select&gt;","",'Q 8'!$E229))</f>
        <v/>
      </c>
    </row>
    <row r="7633" spans="1:11" x14ac:dyDescent="0.3">
      <c r="A7633" t="s">
        <v>2096</v>
      </c>
      <c r="B7633" t="s">
        <v>2097</v>
      </c>
      <c r="C7633">
        <v>74</v>
      </c>
      <c r="D7633" t="s">
        <v>1447</v>
      </c>
      <c r="E7633" t="s">
        <v>1989</v>
      </c>
      <c r="F7633" t="s">
        <v>1737</v>
      </c>
      <c r="K7633" t="str">
        <f>IF(ISBLANK('Q 8'!$E230),"",IF('Q 8'!$E230="&lt;please select&gt;","",'Q 8'!$E230))</f>
        <v/>
      </c>
    </row>
    <row r="7634" spans="1:11" x14ac:dyDescent="0.3">
      <c r="A7634" t="s">
        <v>2096</v>
      </c>
      <c r="B7634" t="s">
        <v>2097</v>
      </c>
      <c r="C7634">
        <v>75</v>
      </c>
      <c r="D7634" t="s">
        <v>1447</v>
      </c>
      <c r="E7634" t="s">
        <v>1989</v>
      </c>
      <c r="F7634" t="s">
        <v>1737</v>
      </c>
      <c r="K7634" t="str">
        <f>IF(ISBLANK('Q 8'!$E231),"",IF('Q 8'!$E231="&lt;please select&gt;","",'Q 8'!$E231))</f>
        <v/>
      </c>
    </row>
    <row r="7635" spans="1:11" x14ac:dyDescent="0.3">
      <c r="A7635" t="s">
        <v>2096</v>
      </c>
      <c r="B7635" t="s">
        <v>2097</v>
      </c>
      <c r="C7635">
        <v>76</v>
      </c>
      <c r="D7635" t="s">
        <v>1447</v>
      </c>
      <c r="E7635" t="s">
        <v>1989</v>
      </c>
      <c r="F7635" t="s">
        <v>1737</v>
      </c>
      <c r="K7635" t="str">
        <f>IF(ISBLANK('Q 8'!$E232),"",IF('Q 8'!$E232="&lt;please select&gt;","",'Q 8'!$E232))</f>
        <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
      </c>
    </row>
    <row r="7641" spans="1:11" x14ac:dyDescent="0.3">
      <c r="A7641" t="s">
        <v>2096</v>
      </c>
      <c r="B7641" t="s">
        <v>2097</v>
      </c>
      <c r="C7641">
        <v>2</v>
      </c>
      <c r="D7641" t="s">
        <v>1447</v>
      </c>
      <c r="E7641" t="s">
        <v>1798</v>
      </c>
      <c r="F7641" t="s">
        <v>1748</v>
      </c>
      <c r="H7641" s="165" t="str">
        <f>IF(ISBLANK('Q 8'!$F158),"",IF('Q 8'!$F158="&lt;please select&gt;","",'Q 8'!$F158))</f>
        <v/>
      </c>
    </row>
    <row r="7642" spans="1:11" x14ac:dyDescent="0.3">
      <c r="A7642" t="s">
        <v>2096</v>
      </c>
      <c r="B7642" t="s">
        <v>2097</v>
      </c>
      <c r="C7642">
        <v>3</v>
      </c>
      <c r="D7642" t="s">
        <v>1447</v>
      </c>
      <c r="E7642" t="s">
        <v>1798</v>
      </c>
      <c r="F7642" t="s">
        <v>1748</v>
      </c>
      <c r="H7642" s="165" t="str">
        <f>IF(ISBLANK('Q 8'!$F159),"",IF('Q 8'!$F159="&lt;please select&gt;","",'Q 8'!$F159))</f>
        <v/>
      </c>
    </row>
    <row r="7643" spans="1:11" x14ac:dyDescent="0.3">
      <c r="A7643" t="s">
        <v>2096</v>
      </c>
      <c r="B7643" t="s">
        <v>2097</v>
      </c>
      <c r="C7643">
        <v>4</v>
      </c>
      <c r="D7643" t="s">
        <v>1447</v>
      </c>
      <c r="E7643" t="s">
        <v>1798</v>
      </c>
      <c r="F7643" t="s">
        <v>1748</v>
      </c>
      <c r="H7643" s="165" t="str">
        <f>IF(ISBLANK('Q 8'!$F160),"",IF('Q 8'!$F160="&lt;please select&gt;","",'Q 8'!$F160))</f>
        <v/>
      </c>
    </row>
    <row r="7644" spans="1:11" x14ac:dyDescent="0.3">
      <c r="A7644" t="s">
        <v>2096</v>
      </c>
      <c r="B7644" t="s">
        <v>2097</v>
      </c>
      <c r="C7644">
        <v>5</v>
      </c>
      <c r="D7644" t="s">
        <v>1447</v>
      </c>
      <c r="E7644" t="s">
        <v>1798</v>
      </c>
      <c r="F7644" t="s">
        <v>1748</v>
      </c>
      <c r="H7644" s="165" t="str">
        <f>IF(ISBLANK('Q 8'!$F161),"",IF('Q 8'!$F161="&lt;please select&gt;","",'Q 8'!$F161))</f>
        <v/>
      </c>
    </row>
    <row r="7645" spans="1:11" x14ac:dyDescent="0.3">
      <c r="A7645" t="s">
        <v>2096</v>
      </c>
      <c r="B7645" t="s">
        <v>2097</v>
      </c>
      <c r="C7645">
        <v>6</v>
      </c>
      <c r="D7645" t="s">
        <v>1447</v>
      </c>
      <c r="E7645" t="s">
        <v>1798</v>
      </c>
      <c r="F7645" t="s">
        <v>1748</v>
      </c>
      <c r="H7645" s="165" t="str">
        <f>IF(ISBLANK('Q 8'!$F162),"",IF('Q 8'!$F162="&lt;please select&gt;","",'Q 8'!$F162))</f>
        <v/>
      </c>
    </row>
    <row r="7646" spans="1:11" x14ac:dyDescent="0.3">
      <c r="A7646" t="s">
        <v>2096</v>
      </c>
      <c r="B7646" t="s">
        <v>2097</v>
      </c>
      <c r="C7646">
        <v>7</v>
      </c>
      <c r="D7646" t="s">
        <v>1447</v>
      </c>
      <c r="E7646" t="s">
        <v>1798</v>
      </c>
      <c r="F7646" t="s">
        <v>1748</v>
      </c>
      <c r="H7646" s="165" t="str">
        <f>IF(ISBLANK('Q 8'!$F163),"",IF('Q 8'!$F163="&lt;please select&gt;","",'Q 8'!$F163))</f>
        <v/>
      </c>
    </row>
    <row r="7647" spans="1:11" x14ac:dyDescent="0.3">
      <c r="A7647" t="s">
        <v>2096</v>
      </c>
      <c r="B7647" t="s">
        <v>2097</v>
      </c>
      <c r="C7647">
        <v>8</v>
      </c>
      <c r="D7647" t="s">
        <v>1447</v>
      </c>
      <c r="E7647" t="s">
        <v>1798</v>
      </c>
      <c r="F7647" t="s">
        <v>1748</v>
      </c>
      <c r="H7647" s="165" t="str">
        <f>IF(ISBLANK('Q 8'!$F164),"",IF('Q 8'!$F164="&lt;please select&gt;","",'Q 8'!$F164))</f>
        <v/>
      </c>
    </row>
    <row r="7648" spans="1:11" x14ac:dyDescent="0.3">
      <c r="A7648" t="s">
        <v>2096</v>
      </c>
      <c r="B7648" t="s">
        <v>2097</v>
      </c>
      <c r="C7648">
        <v>9</v>
      </c>
      <c r="D7648" t="s">
        <v>1447</v>
      </c>
      <c r="E7648" t="s">
        <v>1798</v>
      </c>
      <c r="F7648" t="s">
        <v>1748</v>
      </c>
      <c r="H7648" s="165" t="str">
        <f>IF(ISBLANK('Q 8'!$F165),"",IF('Q 8'!$F165="&lt;please select&gt;","",'Q 8'!$F165))</f>
        <v/>
      </c>
    </row>
    <row r="7649" spans="1:8" x14ac:dyDescent="0.3">
      <c r="A7649" t="s">
        <v>2096</v>
      </c>
      <c r="B7649" t="s">
        <v>2097</v>
      </c>
      <c r="C7649">
        <v>10</v>
      </c>
      <c r="D7649" t="s">
        <v>1447</v>
      </c>
      <c r="E7649" t="s">
        <v>1798</v>
      </c>
      <c r="F7649" t="s">
        <v>1748</v>
      </c>
      <c r="H7649" s="165" t="str">
        <f>IF(ISBLANK('Q 8'!$F166),"",IF('Q 8'!$F166="&lt;please select&gt;","",'Q 8'!$F166))</f>
        <v/>
      </c>
    </row>
    <row r="7650" spans="1:8" x14ac:dyDescent="0.3">
      <c r="A7650" t="s">
        <v>2096</v>
      </c>
      <c r="B7650" t="s">
        <v>2097</v>
      </c>
      <c r="C7650">
        <v>11</v>
      </c>
      <c r="D7650" t="s">
        <v>1447</v>
      </c>
      <c r="E7650" t="s">
        <v>1798</v>
      </c>
      <c r="F7650" t="s">
        <v>1748</v>
      </c>
      <c r="H7650" s="165" t="str">
        <f>IF(ISBLANK('Q 8'!$F167),"",IF('Q 8'!$F167="&lt;please select&gt;","",'Q 8'!$F167))</f>
        <v/>
      </c>
    </row>
    <row r="7651" spans="1:8" x14ac:dyDescent="0.3">
      <c r="A7651" t="s">
        <v>2096</v>
      </c>
      <c r="B7651" t="s">
        <v>2097</v>
      </c>
      <c r="C7651">
        <v>12</v>
      </c>
      <c r="D7651" t="s">
        <v>1447</v>
      </c>
      <c r="E7651" t="s">
        <v>1798</v>
      </c>
      <c r="F7651" t="s">
        <v>1748</v>
      </c>
      <c r="H7651" s="165" t="str">
        <f>IF(ISBLANK('Q 8'!$F168),"",IF('Q 8'!$F168="&lt;please select&gt;","",'Q 8'!$F168))</f>
        <v/>
      </c>
    </row>
    <row r="7652" spans="1:8" x14ac:dyDescent="0.3">
      <c r="A7652" t="s">
        <v>2096</v>
      </c>
      <c r="B7652" t="s">
        <v>2097</v>
      </c>
      <c r="C7652">
        <v>13</v>
      </c>
      <c r="D7652" t="s">
        <v>1447</v>
      </c>
      <c r="E7652" t="s">
        <v>1798</v>
      </c>
      <c r="F7652" t="s">
        <v>1748</v>
      </c>
      <c r="H7652" s="165" t="str">
        <f>IF(ISBLANK('Q 8'!$F169),"",IF('Q 8'!$F169="&lt;please select&gt;","",'Q 8'!$F169))</f>
        <v/>
      </c>
    </row>
    <row r="7653" spans="1:8" x14ac:dyDescent="0.3">
      <c r="A7653" t="s">
        <v>2096</v>
      </c>
      <c r="B7653" t="s">
        <v>2097</v>
      </c>
      <c r="C7653">
        <v>14</v>
      </c>
      <c r="D7653" t="s">
        <v>1447</v>
      </c>
      <c r="E7653" t="s">
        <v>1798</v>
      </c>
      <c r="F7653" t="s">
        <v>1748</v>
      </c>
      <c r="H7653" s="165" t="str">
        <f>IF(ISBLANK('Q 8'!$F170),"",IF('Q 8'!$F170="&lt;please select&gt;","",'Q 8'!$F170))</f>
        <v/>
      </c>
    </row>
    <row r="7654" spans="1:8" x14ac:dyDescent="0.3">
      <c r="A7654" t="s">
        <v>2096</v>
      </c>
      <c r="B7654" t="s">
        <v>2097</v>
      </c>
      <c r="C7654">
        <v>15</v>
      </c>
      <c r="D7654" t="s">
        <v>1447</v>
      </c>
      <c r="E7654" t="s">
        <v>1798</v>
      </c>
      <c r="F7654" t="s">
        <v>1748</v>
      </c>
      <c r="H7654" s="165" t="str">
        <f>IF(ISBLANK('Q 8'!$F171),"",IF('Q 8'!$F171="&lt;please select&gt;","",'Q 8'!$F171))</f>
        <v/>
      </c>
    </row>
    <row r="7655" spans="1:8" x14ac:dyDescent="0.3">
      <c r="A7655" t="s">
        <v>2096</v>
      </c>
      <c r="B7655" t="s">
        <v>2097</v>
      </c>
      <c r="C7655">
        <v>16</v>
      </c>
      <c r="D7655" t="s">
        <v>1447</v>
      </c>
      <c r="E7655" t="s">
        <v>1798</v>
      </c>
      <c r="F7655" t="s">
        <v>1748</v>
      </c>
      <c r="H7655" s="165" t="str">
        <f>IF(ISBLANK('Q 8'!$F172),"",IF('Q 8'!$F172="&lt;please select&gt;","",'Q 8'!$F172))</f>
        <v/>
      </c>
    </row>
    <row r="7656" spans="1:8" x14ac:dyDescent="0.3">
      <c r="A7656" t="s">
        <v>2096</v>
      </c>
      <c r="B7656" t="s">
        <v>2097</v>
      </c>
      <c r="C7656">
        <v>17</v>
      </c>
      <c r="D7656" t="s">
        <v>1447</v>
      </c>
      <c r="E7656" t="s">
        <v>1798</v>
      </c>
      <c r="F7656" t="s">
        <v>1748</v>
      </c>
      <c r="H7656" s="165" t="str">
        <f>IF(ISBLANK('Q 8'!$F173),"",IF('Q 8'!$F173="&lt;please select&gt;","",'Q 8'!$F173))</f>
        <v/>
      </c>
    </row>
    <row r="7657" spans="1:8" x14ac:dyDescent="0.3">
      <c r="A7657" t="s">
        <v>2096</v>
      </c>
      <c r="B7657" t="s">
        <v>2097</v>
      </c>
      <c r="C7657">
        <v>18</v>
      </c>
      <c r="D7657" t="s">
        <v>1447</v>
      </c>
      <c r="E7657" t="s">
        <v>1798</v>
      </c>
      <c r="F7657" t="s">
        <v>1748</v>
      </c>
      <c r="H7657" s="165" t="str">
        <f>IF(ISBLANK('Q 8'!$F174),"",IF('Q 8'!$F174="&lt;please select&gt;","",'Q 8'!$F174))</f>
        <v/>
      </c>
    </row>
    <row r="7658" spans="1:8" x14ac:dyDescent="0.3">
      <c r="A7658" t="s">
        <v>2096</v>
      </c>
      <c r="B7658" t="s">
        <v>2097</v>
      </c>
      <c r="C7658">
        <v>19</v>
      </c>
      <c r="D7658" t="s">
        <v>1447</v>
      </c>
      <c r="E7658" t="s">
        <v>1798</v>
      </c>
      <c r="F7658" t="s">
        <v>1748</v>
      </c>
      <c r="H7658" s="165" t="str">
        <f>IF(ISBLANK('Q 8'!$F175),"",IF('Q 8'!$F175="&lt;please select&gt;","",'Q 8'!$F175))</f>
        <v/>
      </c>
    </row>
    <row r="7659" spans="1:8" x14ac:dyDescent="0.3">
      <c r="A7659" t="s">
        <v>2096</v>
      </c>
      <c r="B7659" t="s">
        <v>2097</v>
      </c>
      <c r="C7659">
        <v>20</v>
      </c>
      <c r="D7659" t="s">
        <v>1447</v>
      </c>
      <c r="E7659" t="s">
        <v>1798</v>
      </c>
      <c r="F7659" t="s">
        <v>1748</v>
      </c>
      <c r="H7659" s="165" t="str">
        <f>IF(ISBLANK('Q 8'!$F176),"",IF('Q 8'!$F176="&lt;please select&gt;","",'Q 8'!$F176))</f>
        <v/>
      </c>
    </row>
    <row r="7660" spans="1:8" x14ac:dyDescent="0.3">
      <c r="A7660" t="s">
        <v>2096</v>
      </c>
      <c r="B7660" t="s">
        <v>2097</v>
      </c>
      <c r="C7660">
        <v>21</v>
      </c>
      <c r="D7660" t="s">
        <v>1447</v>
      </c>
      <c r="E7660" t="s">
        <v>1798</v>
      </c>
      <c r="F7660" t="s">
        <v>1748</v>
      </c>
      <c r="H7660" s="165" t="str">
        <f>IF(ISBLANK('Q 8'!$F177),"",IF('Q 8'!$F177="&lt;please select&gt;","",'Q 8'!$F177))</f>
        <v/>
      </c>
    </row>
    <row r="7661" spans="1:8" x14ac:dyDescent="0.3">
      <c r="A7661" t="s">
        <v>2096</v>
      </c>
      <c r="B7661" t="s">
        <v>2097</v>
      </c>
      <c r="C7661">
        <v>22</v>
      </c>
      <c r="D7661" t="s">
        <v>1447</v>
      </c>
      <c r="E7661" t="s">
        <v>1798</v>
      </c>
      <c r="F7661" t="s">
        <v>1748</v>
      </c>
      <c r="H7661" s="165" t="str">
        <f>IF(ISBLANK('Q 8'!$F178),"",IF('Q 8'!$F178="&lt;please select&gt;","",'Q 8'!$F178))</f>
        <v/>
      </c>
    </row>
    <row r="7662" spans="1:8" x14ac:dyDescent="0.3">
      <c r="A7662" t="s">
        <v>2096</v>
      </c>
      <c r="B7662" t="s">
        <v>2097</v>
      </c>
      <c r="C7662">
        <v>23</v>
      </c>
      <c r="D7662" t="s">
        <v>1447</v>
      </c>
      <c r="E7662" t="s">
        <v>1798</v>
      </c>
      <c r="F7662" t="s">
        <v>1748</v>
      </c>
      <c r="H7662" s="165" t="str">
        <f>IF(ISBLANK('Q 8'!$F179),"",IF('Q 8'!$F179="&lt;please select&gt;","",'Q 8'!$F179))</f>
        <v/>
      </c>
    </row>
    <row r="7663" spans="1:8" x14ac:dyDescent="0.3">
      <c r="A7663" t="s">
        <v>2096</v>
      </c>
      <c r="B7663" t="s">
        <v>2097</v>
      </c>
      <c r="C7663">
        <v>24</v>
      </c>
      <c r="D7663" t="s">
        <v>1447</v>
      </c>
      <c r="E7663" t="s">
        <v>1798</v>
      </c>
      <c r="F7663" t="s">
        <v>1748</v>
      </c>
      <c r="H7663" s="165" t="str">
        <f>IF(ISBLANK('Q 8'!$F180),"",IF('Q 8'!$F180="&lt;please select&gt;","",'Q 8'!$F180))</f>
        <v/>
      </c>
    </row>
    <row r="7664" spans="1:8" x14ac:dyDescent="0.3">
      <c r="A7664" t="s">
        <v>2096</v>
      </c>
      <c r="B7664" t="s">
        <v>2097</v>
      </c>
      <c r="C7664">
        <v>25</v>
      </c>
      <c r="D7664" t="s">
        <v>1447</v>
      </c>
      <c r="E7664" t="s">
        <v>1798</v>
      </c>
      <c r="F7664" t="s">
        <v>1748</v>
      </c>
      <c r="H7664" s="165" t="str">
        <f>IF(ISBLANK('Q 8'!$F181),"",IF('Q 8'!$F181="&lt;please select&gt;","",'Q 8'!$F181))</f>
        <v/>
      </c>
    </row>
    <row r="7665" spans="1:8" x14ac:dyDescent="0.3">
      <c r="A7665" t="s">
        <v>2096</v>
      </c>
      <c r="B7665" t="s">
        <v>2097</v>
      </c>
      <c r="C7665">
        <v>26</v>
      </c>
      <c r="D7665" t="s">
        <v>1447</v>
      </c>
      <c r="E7665" t="s">
        <v>1798</v>
      </c>
      <c r="F7665" t="s">
        <v>1748</v>
      </c>
      <c r="H7665" s="165" t="str">
        <f>IF(ISBLANK('Q 8'!$F182),"",IF('Q 8'!$F182="&lt;please select&gt;","",'Q 8'!$F182))</f>
        <v/>
      </c>
    </row>
    <row r="7666" spans="1:8" x14ac:dyDescent="0.3">
      <c r="A7666" t="s">
        <v>2096</v>
      </c>
      <c r="B7666" t="s">
        <v>2097</v>
      </c>
      <c r="C7666">
        <v>27</v>
      </c>
      <c r="D7666" t="s">
        <v>1447</v>
      </c>
      <c r="E7666" t="s">
        <v>1798</v>
      </c>
      <c r="F7666" t="s">
        <v>1748</v>
      </c>
      <c r="H7666" s="165" t="str">
        <f>IF(ISBLANK('Q 8'!$F183),"",IF('Q 8'!$F183="&lt;please select&gt;","",'Q 8'!$F183))</f>
        <v/>
      </c>
    </row>
    <row r="7667" spans="1:8" x14ac:dyDescent="0.3">
      <c r="A7667" t="s">
        <v>2096</v>
      </c>
      <c r="B7667" t="s">
        <v>2097</v>
      </c>
      <c r="C7667">
        <v>28</v>
      </c>
      <c r="D7667" t="s">
        <v>1447</v>
      </c>
      <c r="E7667" t="s">
        <v>1798</v>
      </c>
      <c r="F7667" t="s">
        <v>1748</v>
      </c>
      <c r="H7667" s="165" t="str">
        <f>IF(ISBLANK('Q 8'!$F184),"",IF('Q 8'!$F184="&lt;please select&gt;","",'Q 8'!$F184))</f>
        <v/>
      </c>
    </row>
    <row r="7668" spans="1:8" x14ac:dyDescent="0.3">
      <c r="A7668" t="s">
        <v>2096</v>
      </c>
      <c r="B7668" t="s">
        <v>2097</v>
      </c>
      <c r="C7668">
        <v>29</v>
      </c>
      <c r="D7668" t="s">
        <v>1447</v>
      </c>
      <c r="E7668" t="s">
        <v>1798</v>
      </c>
      <c r="F7668" t="s">
        <v>1748</v>
      </c>
      <c r="H7668" s="165" t="str">
        <f>IF(ISBLANK('Q 8'!$F185),"",IF('Q 8'!$F185="&lt;please select&gt;","",'Q 8'!$F185))</f>
        <v/>
      </c>
    </row>
    <row r="7669" spans="1:8" x14ac:dyDescent="0.3">
      <c r="A7669" t="s">
        <v>2096</v>
      </c>
      <c r="B7669" t="s">
        <v>2097</v>
      </c>
      <c r="C7669">
        <v>30</v>
      </c>
      <c r="D7669" t="s">
        <v>1447</v>
      </c>
      <c r="E7669" t="s">
        <v>1798</v>
      </c>
      <c r="F7669" t="s">
        <v>1748</v>
      </c>
      <c r="H7669" s="165" t="str">
        <f>IF(ISBLANK('Q 8'!$F186),"",IF('Q 8'!$F186="&lt;please select&gt;","",'Q 8'!$F186))</f>
        <v/>
      </c>
    </row>
    <row r="7670" spans="1:8" x14ac:dyDescent="0.3">
      <c r="A7670" t="s">
        <v>2096</v>
      </c>
      <c r="B7670" t="s">
        <v>2097</v>
      </c>
      <c r="C7670">
        <v>31</v>
      </c>
      <c r="D7670" t="s">
        <v>1447</v>
      </c>
      <c r="E7670" t="s">
        <v>1798</v>
      </c>
      <c r="F7670" t="s">
        <v>1748</v>
      </c>
      <c r="H7670" s="165" t="str">
        <f>IF(ISBLANK('Q 8'!$F187),"",IF('Q 8'!$F187="&lt;please select&gt;","",'Q 8'!$F187))</f>
        <v/>
      </c>
    </row>
    <row r="7671" spans="1:8" x14ac:dyDescent="0.3">
      <c r="A7671" t="s">
        <v>2096</v>
      </c>
      <c r="B7671" t="s">
        <v>2097</v>
      </c>
      <c r="C7671">
        <v>32</v>
      </c>
      <c r="D7671" t="s">
        <v>1447</v>
      </c>
      <c r="E7671" t="s">
        <v>1798</v>
      </c>
      <c r="F7671" t="s">
        <v>1748</v>
      </c>
      <c r="H7671" s="165" t="str">
        <f>IF(ISBLANK('Q 8'!$F188),"",IF('Q 8'!$F188="&lt;please select&gt;","",'Q 8'!$F188))</f>
        <v/>
      </c>
    </row>
    <row r="7672" spans="1:8" x14ac:dyDescent="0.3">
      <c r="A7672" t="s">
        <v>2096</v>
      </c>
      <c r="B7672" t="s">
        <v>2097</v>
      </c>
      <c r="C7672">
        <v>33</v>
      </c>
      <c r="D7672" t="s">
        <v>1447</v>
      </c>
      <c r="E7672" t="s">
        <v>1798</v>
      </c>
      <c r="F7672" t="s">
        <v>1748</v>
      </c>
      <c r="H7672" s="165" t="str">
        <f>IF(ISBLANK('Q 8'!$F189),"",IF('Q 8'!$F189="&lt;please select&gt;","",'Q 8'!$F189))</f>
        <v/>
      </c>
    </row>
    <row r="7673" spans="1:8" x14ac:dyDescent="0.3">
      <c r="A7673" t="s">
        <v>2096</v>
      </c>
      <c r="B7673" t="s">
        <v>2097</v>
      </c>
      <c r="C7673">
        <v>34</v>
      </c>
      <c r="D7673" t="s">
        <v>1447</v>
      </c>
      <c r="E7673" t="s">
        <v>1798</v>
      </c>
      <c r="F7673" t="s">
        <v>1748</v>
      </c>
      <c r="H7673" s="165" t="str">
        <f>IF(ISBLANK('Q 8'!$F190),"",IF('Q 8'!$F190="&lt;please select&gt;","",'Q 8'!$F190))</f>
        <v/>
      </c>
    </row>
    <row r="7674" spans="1:8" x14ac:dyDescent="0.3">
      <c r="A7674" t="s">
        <v>2096</v>
      </c>
      <c r="B7674" t="s">
        <v>2097</v>
      </c>
      <c r="C7674">
        <v>35</v>
      </c>
      <c r="D7674" t="s">
        <v>1447</v>
      </c>
      <c r="E7674" t="s">
        <v>1798</v>
      </c>
      <c r="F7674" t="s">
        <v>1748</v>
      </c>
      <c r="H7674" s="165" t="str">
        <f>IF(ISBLANK('Q 8'!$F191),"",IF('Q 8'!$F191="&lt;please select&gt;","",'Q 8'!$F191))</f>
        <v/>
      </c>
    </row>
    <row r="7675" spans="1:8" x14ac:dyDescent="0.3">
      <c r="A7675" t="s">
        <v>2096</v>
      </c>
      <c r="B7675" t="s">
        <v>2097</v>
      </c>
      <c r="C7675">
        <v>36</v>
      </c>
      <c r="D7675" t="s">
        <v>1447</v>
      </c>
      <c r="E7675" t="s">
        <v>1798</v>
      </c>
      <c r="F7675" t="s">
        <v>1748</v>
      </c>
      <c r="H7675" s="165" t="str">
        <f>IF(ISBLANK('Q 8'!$F192),"",IF('Q 8'!$F192="&lt;please select&gt;","",'Q 8'!$F192))</f>
        <v/>
      </c>
    </row>
    <row r="7676" spans="1:8" x14ac:dyDescent="0.3">
      <c r="A7676" t="s">
        <v>2096</v>
      </c>
      <c r="B7676" t="s">
        <v>2097</v>
      </c>
      <c r="C7676">
        <v>37</v>
      </c>
      <c r="D7676" t="s">
        <v>1447</v>
      </c>
      <c r="E7676" t="s">
        <v>1798</v>
      </c>
      <c r="F7676" t="s">
        <v>1748</v>
      </c>
      <c r="H7676" s="165" t="str">
        <f>IF(ISBLANK('Q 8'!$F193),"",IF('Q 8'!$F193="&lt;please select&gt;","",'Q 8'!$F193))</f>
        <v/>
      </c>
    </row>
    <row r="7677" spans="1:8" x14ac:dyDescent="0.3">
      <c r="A7677" t="s">
        <v>2096</v>
      </c>
      <c r="B7677" t="s">
        <v>2097</v>
      </c>
      <c r="C7677">
        <v>38</v>
      </c>
      <c r="D7677" t="s">
        <v>1447</v>
      </c>
      <c r="E7677" t="s">
        <v>1798</v>
      </c>
      <c r="F7677" t="s">
        <v>1748</v>
      </c>
      <c r="H7677" s="165" t="str">
        <f>IF(ISBLANK('Q 8'!$F194),"",IF('Q 8'!$F194="&lt;please select&gt;","",'Q 8'!$F194))</f>
        <v/>
      </c>
    </row>
    <row r="7678" spans="1:8" x14ac:dyDescent="0.3">
      <c r="A7678" t="s">
        <v>2096</v>
      </c>
      <c r="B7678" t="s">
        <v>2097</v>
      </c>
      <c r="C7678">
        <v>39</v>
      </c>
      <c r="D7678" t="s">
        <v>1447</v>
      </c>
      <c r="E7678" t="s">
        <v>1798</v>
      </c>
      <c r="F7678" t="s">
        <v>1748</v>
      </c>
      <c r="H7678" s="165" t="str">
        <f>IF(ISBLANK('Q 8'!$F195),"",IF('Q 8'!$F195="&lt;please select&gt;","",'Q 8'!$F195))</f>
        <v/>
      </c>
    </row>
    <row r="7679" spans="1:8" x14ac:dyDescent="0.3">
      <c r="A7679" t="s">
        <v>2096</v>
      </c>
      <c r="B7679" t="s">
        <v>2097</v>
      </c>
      <c r="C7679">
        <v>40</v>
      </c>
      <c r="D7679" t="s">
        <v>1447</v>
      </c>
      <c r="E7679" t="s">
        <v>1798</v>
      </c>
      <c r="F7679" t="s">
        <v>1748</v>
      </c>
      <c r="H7679" s="165" t="str">
        <f>IF(ISBLANK('Q 8'!$F196),"",IF('Q 8'!$F196="&lt;please select&gt;","",'Q 8'!$F196))</f>
        <v/>
      </c>
    </row>
    <row r="7680" spans="1:8" x14ac:dyDescent="0.3">
      <c r="A7680" t="s">
        <v>2096</v>
      </c>
      <c r="B7680" t="s">
        <v>2097</v>
      </c>
      <c r="C7680">
        <v>41</v>
      </c>
      <c r="D7680" t="s">
        <v>1447</v>
      </c>
      <c r="E7680" t="s">
        <v>1798</v>
      </c>
      <c r="F7680" t="s">
        <v>1748</v>
      </c>
      <c r="H7680" s="165" t="str">
        <f>IF(ISBLANK('Q 8'!$F197),"",IF('Q 8'!$F197="&lt;please select&gt;","",'Q 8'!$F197))</f>
        <v/>
      </c>
    </row>
    <row r="7681" spans="1:8" x14ac:dyDescent="0.3">
      <c r="A7681" t="s">
        <v>2096</v>
      </c>
      <c r="B7681" t="s">
        <v>2097</v>
      </c>
      <c r="C7681">
        <v>42</v>
      </c>
      <c r="D7681" t="s">
        <v>1447</v>
      </c>
      <c r="E7681" t="s">
        <v>1798</v>
      </c>
      <c r="F7681" t="s">
        <v>1748</v>
      </c>
      <c r="H7681" s="165" t="str">
        <f>IF(ISBLANK('Q 8'!$F198),"",IF('Q 8'!$F198="&lt;please select&gt;","",'Q 8'!$F198))</f>
        <v/>
      </c>
    </row>
    <row r="7682" spans="1:8" x14ac:dyDescent="0.3">
      <c r="A7682" t="s">
        <v>2096</v>
      </c>
      <c r="B7682" t="s">
        <v>2097</v>
      </c>
      <c r="C7682">
        <v>43</v>
      </c>
      <c r="D7682" t="s">
        <v>1447</v>
      </c>
      <c r="E7682" t="s">
        <v>1798</v>
      </c>
      <c r="F7682" t="s">
        <v>1748</v>
      </c>
      <c r="H7682" s="165" t="str">
        <f>IF(ISBLANK('Q 8'!$F199),"",IF('Q 8'!$F199="&lt;please select&gt;","",'Q 8'!$F199))</f>
        <v/>
      </c>
    </row>
    <row r="7683" spans="1:8" x14ac:dyDescent="0.3">
      <c r="A7683" t="s">
        <v>2096</v>
      </c>
      <c r="B7683" t="s">
        <v>2097</v>
      </c>
      <c r="C7683">
        <v>44</v>
      </c>
      <c r="D7683" t="s">
        <v>1447</v>
      </c>
      <c r="E7683" t="s">
        <v>1798</v>
      </c>
      <c r="F7683" t="s">
        <v>1748</v>
      </c>
      <c r="H7683" s="165" t="str">
        <f>IF(ISBLANK('Q 8'!$F200),"",IF('Q 8'!$F200="&lt;please select&gt;","",'Q 8'!$F200))</f>
        <v/>
      </c>
    </row>
    <row r="7684" spans="1:8" x14ac:dyDescent="0.3">
      <c r="A7684" t="s">
        <v>2096</v>
      </c>
      <c r="B7684" t="s">
        <v>2097</v>
      </c>
      <c r="C7684">
        <v>45</v>
      </c>
      <c r="D7684" t="s">
        <v>1447</v>
      </c>
      <c r="E7684" t="s">
        <v>1798</v>
      </c>
      <c r="F7684" t="s">
        <v>1748</v>
      </c>
      <c r="H7684" s="165" t="str">
        <f>IF(ISBLANK('Q 8'!$F201),"",IF('Q 8'!$F201="&lt;please select&gt;","",'Q 8'!$F201))</f>
        <v/>
      </c>
    </row>
    <row r="7685" spans="1:8" x14ac:dyDescent="0.3">
      <c r="A7685" t="s">
        <v>2096</v>
      </c>
      <c r="B7685" t="s">
        <v>2097</v>
      </c>
      <c r="C7685">
        <v>46</v>
      </c>
      <c r="D7685" t="s">
        <v>1447</v>
      </c>
      <c r="E7685" t="s">
        <v>1798</v>
      </c>
      <c r="F7685" t="s">
        <v>1748</v>
      </c>
      <c r="H7685" s="165" t="str">
        <f>IF(ISBLANK('Q 8'!$F202),"",IF('Q 8'!$F202="&lt;please select&gt;","",'Q 8'!$F202))</f>
        <v/>
      </c>
    </row>
    <row r="7686" spans="1:8" x14ac:dyDescent="0.3">
      <c r="A7686" t="s">
        <v>2096</v>
      </c>
      <c r="B7686" t="s">
        <v>2097</v>
      </c>
      <c r="C7686">
        <v>47</v>
      </c>
      <c r="D7686" t="s">
        <v>1447</v>
      </c>
      <c r="E7686" t="s">
        <v>1798</v>
      </c>
      <c r="F7686" t="s">
        <v>1748</v>
      </c>
      <c r="H7686" s="165" t="str">
        <f>IF(ISBLANK('Q 8'!$F203),"",IF('Q 8'!$F203="&lt;please select&gt;","",'Q 8'!$F203))</f>
        <v/>
      </c>
    </row>
    <row r="7687" spans="1:8" x14ac:dyDescent="0.3">
      <c r="A7687" t="s">
        <v>2096</v>
      </c>
      <c r="B7687" t="s">
        <v>2097</v>
      </c>
      <c r="C7687">
        <v>48</v>
      </c>
      <c r="D7687" t="s">
        <v>1447</v>
      </c>
      <c r="E7687" t="s">
        <v>1798</v>
      </c>
      <c r="F7687" t="s">
        <v>1748</v>
      </c>
      <c r="H7687" s="165" t="str">
        <f>IF(ISBLANK('Q 8'!$F204),"",IF('Q 8'!$F204="&lt;please select&gt;","",'Q 8'!$F204))</f>
        <v/>
      </c>
    </row>
    <row r="7688" spans="1:8" x14ac:dyDescent="0.3">
      <c r="A7688" t="s">
        <v>2096</v>
      </c>
      <c r="B7688" t="s">
        <v>2097</v>
      </c>
      <c r="C7688">
        <v>49</v>
      </c>
      <c r="D7688" t="s">
        <v>1447</v>
      </c>
      <c r="E7688" t="s">
        <v>1798</v>
      </c>
      <c r="F7688" t="s">
        <v>1748</v>
      </c>
      <c r="H7688" s="165" t="str">
        <f>IF(ISBLANK('Q 8'!$F205),"",IF('Q 8'!$F205="&lt;please select&gt;","",'Q 8'!$F205))</f>
        <v/>
      </c>
    </row>
    <row r="7689" spans="1:8" x14ac:dyDescent="0.3">
      <c r="A7689" t="s">
        <v>2096</v>
      </c>
      <c r="B7689" t="s">
        <v>2097</v>
      </c>
      <c r="C7689">
        <v>50</v>
      </c>
      <c r="D7689" t="s">
        <v>1447</v>
      </c>
      <c r="E7689" t="s">
        <v>1798</v>
      </c>
      <c r="F7689" t="s">
        <v>1748</v>
      </c>
      <c r="H7689" s="165" t="str">
        <f>IF(ISBLANK('Q 8'!$F206),"",IF('Q 8'!$F206="&lt;please select&gt;","",'Q 8'!$F206))</f>
        <v/>
      </c>
    </row>
    <row r="7690" spans="1:8" x14ac:dyDescent="0.3">
      <c r="A7690" t="s">
        <v>2096</v>
      </c>
      <c r="B7690" t="s">
        <v>2097</v>
      </c>
      <c r="C7690">
        <v>51</v>
      </c>
      <c r="D7690" t="s">
        <v>1447</v>
      </c>
      <c r="E7690" t="s">
        <v>1798</v>
      </c>
      <c r="F7690" t="s">
        <v>1748</v>
      </c>
      <c r="H7690" s="165" t="str">
        <f>IF(ISBLANK('Q 8'!$F207),"",IF('Q 8'!$F207="&lt;please select&gt;","",'Q 8'!$F207))</f>
        <v/>
      </c>
    </row>
    <row r="7691" spans="1:8" x14ac:dyDescent="0.3">
      <c r="A7691" t="s">
        <v>2096</v>
      </c>
      <c r="B7691" t="s">
        <v>2097</v>
      </c>
      <c r="C7691">
        <v>52</v>
      </c>
      <c r="D7691" t="s">
        <v>1447</v>
      </c>
      <c r="E7691" t="s">
        <v>1798</v>
      </c>
      <c r="F7691" t="s">
        <v>1748</v>
      </c>
      <c r="H7691" s="165" t="str">
        <f>IF(ISBLANK('Q 8'!$F208),"",IF('Q 8'!$F208="&lt;please select&gt;","",'Q 8'!$F208))</f>
        <v/>
      </c>
    </row>
    <row r="7692" spans="1:8" x14ac:dyDescent="0.3">
      <c r="A7692" t="s">
        <v>2096</v>
      </c>
      <c r="B7692" t="s">
        <v>2097</v>
      </c>
      <c r="C7692">
        <v>53</v>
      </c>
      <c r="D7692" t="s">
        <v>1447</v>
      </c>
      <c r="E7692" t="s">
        <v>1798</v>
      </c>
      <c r="F7692" t="s">
        <v>1748</v>
      </c>
      <c r="H7692" s="165" t="str">
        <f>IF(ISBLANK('Q 8'!$F209),"",IF('Q 8'!$F209="&lt;please select&gt;","",'Q 8'!$F209))</f>
        <v/>
      </c>
    </row>
    <row r="7693" spans="1:8" x14ac:dyDescent="0.3">
      <c r="A7693" t="s">
        <v>2096</v>
      </c>
      <c r="B7693" t="s">
        <v>2097</v>
      </c>
      <c r="C7693">
        <v>54</v>
      </c>
      <c r="D7693" t="s">
        <v>1447</v>
      </c>
      <c r="E7693" t="s">
        <v>1798</v>
      </c>
      <c r="F7693" t="s">
        <v>1748</v>
      </c>
      <c r="H7693" s="165" t="str">
        <f>IF(ISBLANK('Q 8'!$F210),"",IF('Q 8'!$F210="&lt;please select&gt;","",'Q 8'!$F210))</f>
        <v/>
      </c>
    </row>
    <row r="7694" spans="1:8" x14ac:dyDescent="0.3">
      <c r="A7694" t="s">
        <v>2096</v>
      </c>
      <c r="B7694" t="s">
        <v>2097</v>
      </c>
      <c r="C7694">
        <v>55</v>
      </c>
      <c r="D7694" t="s">
        <v>1447</v>
      </c>
      <c r="E7694" t="s">
        <v>1798</v>
      </c>
      <c r="F7694" t="s">
        <v>1748</v>
      </c>
      <c r="H7694" s="165" t="str">
        <f>IF(ISBLANK('Q 8'!$F211),"",IF('Q 8'!$F211="&lt;please select&gt;","",'Q 8'!$F211))</f>
        <v/>
      </c>
    </row>
    <row r="7695" spans="1:8" x14ac:dyDescent="0.3">
      <c r="A7695" t="s">
        <v>2096</v>
      </c>
      <c r="B7695" t="s">
        <v>2097</v>
      </c>
      <c r="C7695">
        <v>56</v>
      </c>
      <c r="D7695" t="s">
        <v>1447</v>
      </c>
      <c r="E7695" t="s">
        <v>1798</v>
      </c>
      <c r="F7695" t="s">
        <v>1748</v>
      </c>
      <c r="H7695" s="165" t="str">
        <f>IF(ISBLANK('Q 8'!$F212),"",IF('Q 8'!$F212="&lt;please select&gt;","",'Q 8'!$F212))</f>
        <v/>
      </c>
    </row>
    <row r="7696" spans="1:8" x14ac:dyDescent="0.3">
      <c r="A7696" t="s">
        <v>2096</v>
      </c>
      <c r="B7696" t="s">
        <v>2097</v>
      </c>
      <c r="C7696">
        <v>57</v>
      </c>
      <c r="D7696" t="s">
        <v>1447</v>
      </c>
      <c r="E7696" t="s">
        <v>1798</v>
      </c>
      <c r="F7696" t="s">
        <v>1748</v>
      </c>
      <c r="H7696" s="165" t="str">
        <f>IF(ISBLANK('Q 8'!$F213),"",IF('Q 8'!$F213="&lt;please select&gt;","",'Q 8'!$F213))</f>
        <v/>
      </c>
    </row>
    <row r="7697" spans="1:8" x14ac:dyDescent="0.3">
      <c r="A7697" t="s">
        <v>2096</v>
      </c>
      <c r="B7697" t="s">
        <v>2097</v>
      </c>
      <c r="C7697">
        <v>58</v>
      </c>
      <c r="D7697" t="s">
        <v>1447</v>
      </c>
      <c r="E7697" t="s">
        <v>1798</v>
      </c>
      <c r="F7697" t="s">
        <v>1748</v>
      </c>
      <c r="H7697" s="165" t="str">
        <f>IF(ISBLANK('Q 8'!$F214),"",IF('Q 8'!$F214="&lt;please select&gt;","",'Q 8'!$F214))</f>
        <v/>
      </c>
    </row>
    <row r="7698" spans="1:8" x14ac:dyDescent="0.3">
      <c r="A7698" t="s">
        <v>2096</v>
      </c>
      <c r="B7698" t="s">
        <v>2097</v>
      </c>
      <c r="C7698">
        <v>59</v>
      </c>
      <c r="D7698" t="s">
        <v>1447</v>
      </c>
      <c r="E7698" t="s">
        <v>1798</v>
      </c>
      <c r="F7698" t="s">
        <v>1748</v>
      </c>
      <c r="H7698" s="165" t="str">
        <f>IF(ISBLANK('Q 8'!$F215),"",IF('Q 8'!$F215="&lt;please select&gt;","",'Q 8'!$F215))</f>
        <v/>
      </c>
    </row>
    <row r="7699" spans="1:8" x14ac:dyDescent="0.3">
      <c r="A7699" t="s">
        <v>2096</v>
      </c>
      <c r="B7699" t="s">
        <v>2097</v>
      </c>
      <c r="C7699">
        <v>60</v>
      </c>
      <c r="D7699" t="s">
        <v>1447</v>
      </c>
      <c r="E7699" t="s">
        <v>1798</v>
      </c>
      <c r="F7699" t="s">
        <v>1748</v>
      </c>
      <c r="H7699" s="165" t="str">
        <f>IF(ISBLANK('Q 8'!$F216),"",IF('Q 8'!$F216="&lt;please select&gt;","",'Q 8'!$F216))</f>
        <v/>
      </c>
    </row>
    <row r="7700" spans="1:8" x14ac:dyDescent="0.3">
      <c r="A7700" t="s">
        <v>2096</v>
      </c>
      <c r="B7700" t="s">
        <v>2097</v>
      </c>
      <c r="C7700">
        <v>61</v>
      </c>
      <c r="D7700" t="s">
        <v>1447</v>
      </c>
      <c r="E7700" t="s">
        <v>1798</v>
      </c>
      <c r="F7700" t="s">
        <v>1748</v>
      </c>
      <c r="H7700" s="165" t="str">
        <f>IF(ISBLANK('Q 8'!$F217),"",IF('Q 8'!$F217="&lt;please select&gt;","",'Q 8'!$F217))</f>
        <v/>
      </c>
    </row>
    <row r="7701" spans="1:8" x14ac:dyDescent="0.3">
      <c r="A7701" t="s">
        <v>2096</v>
      </c>
      <c r="B7701" t="s">
        <v>2097</v>
      </c>
      <c r="C7701">
        <v>62</v>
      </c>
      <c r="D7701" t="s">
        <v>1447</v>
      </c>
      <c r="E7701" t="s">
        <v>1798</v>
      </c>
      <c r="F7701" t="s">
        <v>1748</v>
      </c>
      <c r="H7701" s="165" t="str">
        <f>IF(ISBLANK('Q 8'!$F218),"",IF('Q 8'!$F218="&lt;please select&gt;","",'Q 8'!$F218))</f>
        <v/>
      </c>
    </row>
    <row r="7702" spans="1:8" x14ac:dyDescent="0.3">
      <c r="A7702" t="s">
        <v>2096</v>
      </c>
      <c r="B7702" t="s">
        <v>2097</v>
      </c>
      <c r="C7702">
        <v>63</v>
      </c>
      <c r="D7702" t="s">
        <v>1447</v>
      </c>
      <c r="E7702" t="s">
        <v>1798</v>
      </c>
      <c r="F7702" t="s">
        <v>1748</v>
      </c>
      <c r="H7702" s="165" t="str">
        <f>IF(ISBLANK('Q 8'!$F219),"",IF('Q 8'!$F219="&lt;please select&gt;","",'Q 8'!$F219))</f>
        <v/>
      </c>
    </row>
    <row r="7703" spans="1:8" x14ac:dyDescent="0.3">
      <c r="A7703" t="s">
        <v>2096</v>
      </c>
      <c r="B7703" t="s">
        <v>2097</v>
      </c>
      <c r="C7703">
        <v>64</v>
      </c>
      <c r="D7703" t="s">
        <v>1447</v>
      </c>
      <c r="E7703" t="s">
        <v>1798</v>
      </c>
      <c r="F7703" t="s">
        <v>1748</v>
      </c>
      <c r="H7703" s="165" t="str">
        <f>IF(ISBLANK('Q 8'!$F220),"",IF('Q 8'!$F220="&lt;please select&gt;","",'Q 8'!$F220))</f>
        <v/>
      </c>
    </row>
    <row r="7704" spans="1:8" x14ac:dyDescent="0.3">
      <c r="A7704" t="s">
        <v>2096</v>
      </c>
      <c r="B7704" t="s">
        <v>2097</v>
      </c>
      <c r="C7704">
        <v>65</v>
      </c>
      <c r="D7704" t="s">
        <v>1447</v>
      </c>
      <c r="E7704" t="s">
        <v>1798</v>
      </c>
      <c r="F7704" t="s">
        <v>1748</v>
      </c>
      <c r="H7704" s="165" t="str">
        <f>IF(ISBLANK('Q 8'!$F221),"",IF('Q 8'!$F221="&lt;please select&gt;","",'Q 8'!$F221))</f>
        <v/>
      </c>
    </row>
    <row r="7705" spans="1:8" x14ac:dyDescent="0.3">
      <c r="A7705" t="s">
        <v>2096</v>
      </c>
      <c r="B7705" t="s">
        <v>2097</v>
      </c>
      <c r="C7705">
        <v>66</v>
      </c>
      <c r="D7705" t="s">
        <v>1447</v>
      </c>
      <c r="E7705" t="s">
        <v>1798</v>
      </c>
      <c r="F7705" t="s">
        <v>1748</v>
      </c>
      <c r="H7705" s="165" t="str">
        <f>IF(ISBLANK('Q 8'!$F222),"",IF('Q 8'!$F222="&lt;please select&gt;","",'Q 8'!$F222))</f>
        <v/>
      </c>
    </row>
    <row r="7706" spans="1:8" x14ac:dyDescent="0.3">
      <c r="A7706" t="s">
        <v>2096</v>
      </c>
      <c r="B7706" t="s">
        <v>2097</v>
      </c>
      <c r="C7706">
        <v>67</v>
      </c>
      <c r="D7706" t="s">
        <v>1447</v>
      </c>
      <c r="E7706" t="s">
        <v>1798</v>
      </c>
      <c r="F7706" t="s">
        <v>1748</v>
      </c>
      <c r="H7706" s="165" t="str">
        <f>IF(ISBLANK('Q 8'!$F223),"",IF('Q 8'!$F223="&lt;please select&gt;","",'Q 8'!$F223))</f>
        <v/>
      </c>
    </row>
    <row r="7707" spans="1:8" x14ac:dyDescent="0.3">
      <c r="A7707" t="s">
        <v>2096</v>
      </c>
      <c r="B7707" t="s">
        <v>2097</v>
      </c>
      <c r="C7707">
        <v>68</v>
      </c>
      <c r="D7707" t="s">
        <v>1447</v>
      </c>
      <c r="E7707" t="s">
        <v>1798</v>
      </c>
      <c r="F7707" t="s">
        <v>1748</v>
      </c>
      <c r="H7707" s="165" t="str">
        <f>IF(ISBLANK('Q 8'!$F224),"",IF('Q 8'!$F224="&lt;please select&gt;","",'Q 8'!$F224))</f>
        <v/>
      </c>
    </row>
    <row r="7708" spans="1:8" x14ac:dyDescent="0.3">
      <c r="A7708" t="s">
        <v>2096</v>
      </c>
      <c r="B7708" t="s">
        <v>2097</v>
      </c>
      <c r="C7708">
        <v>69</v>
      </c>
      <c r="D7708" t="s">
        <v>1447</v>
      </c>
      <c r="E7708" t="s">
        <v>1798</v>
      </c>
      <c r="F7708" t="s">
        <v>1748</v>
      </c>
      <c r="H7708" s="165" t="str">
        <f>IF(ISBLANK('Q 8'!$F225),"",IF('Q 8'!$F225="&lt;please select&gt;","",'Q 8'!$F225))</f>
        <v/>
      </c>
    </row>
    <row r="7709" spans="1:8" x14ac:dyDescent="0.3">
      <c r="A7709" t="s">
        <v>2096</v>
      </c>
      <c r="B7709" t="s">
        <v>2097</v>
      </c>
      <c r="C7709">
        <v>70</v>
      </c>
      <c r="D7709" t="s">
        <v>1447</v>
      </c>
      <c r="E7709" t="s">
        <v>1798</v>
      </c>
      <c r="F7709" t="s">
        <v>1748</v>
      </c>
      <c r="H7709" s="165" t="str">
        <f>IF(ISBLANK('Q 8'!$F226),"",IF('Q 8'!$F226="&lt;please select&gt;","",'Q 8'!$F226))</f>
        <v/>
      </c>
    </row>
    <row r="7710" spans="1:8" x14ac:dyDescent="0.3">
      <c r="A7710" t="s">
        <v>2096</v>
      </c>
      <c r="B7710" t="s">
        <v>2097</v>
      </c>
      <c r="C7710">
        <v>71</v>
      </c>
      <c r="D7710" t="s">
        <v>1447</v>
      </c>
      <c r="E7710" t="s">
        <v>1798</v>
      </c>
      <c r="F7710" t="s">
        <v>1748</v>
      </c>
      <c r="H7710" s="165" t="str">
        <f>IF(ISBLANK('Q 8'!$F227),"",IF('Q 8'!$F227="&lt;please select&gt;","",'Q 8'!$F227))</f>
        <v/>
      </c>
    </row>
    <row r="7711" spans="1:8" x14ac:dyDescent="0.3">
      <c r="A7711" t="s">
        <v>2096</v>
      </c>
      <c r="B7711" t="s">
        <v>2097</v>
      </c>
      <c r="C7711">
        <v>72</v>
      </c>
      <c r="D7711" t="s">
        <v>1447</v>
      </c>
      <c r="E7711" t="s">
        <v>1798</v>
      </c>
      <c r="F7711" t="s">
        <v>1748</v>
      </c>
      <c r="H7711" s="165" t="str">
        <f>IF(ISBLANK('Q 8'!$F228),"",IF('Q 8'!$F228="&lt;please select&gt;","",'Q 8'!$F228))</f>
        <v/>
      </c>
    </row>
    <row r="7712" spans="1:8" x14ac:dyDescent="0.3">
      <c r="A7712" t="s">
        <v>2096</v>
      </c>
      <c r="B7712" t="s">
        <v>2097</v>
      </c>
      <c r="C7712">
        <v>73</v>
      </c>
      <c r="D7712" t="s">
        <v>1447</v>
      </c>
      <c r="E7712" t="s">
        <v>1798</v>
      </c>
      <c r="F7712" t="s">
        <v>1748</v>
      </c>
      <c r="H7712" s="165" t="str">
        <f>IF(ISBLANK('Q 8'!$F229),"",IF('Q 8'!$F229="&lt;please select&gt;","",'Q 8'!$F229))</f>
        <v/>
      </c>
    </row>
    <row r="7713" spans="1:8" x14ac:dyDescent="0.3">
      <c r="A7713" t="s">
        <v>2096</v>
      </c>
      <c r="B7713" t="s">
        <v>2097</v>
      </c>
      <c r="C7713">
        <v>74</v>
      </c>
      <c r="D7713" t="s">
        <v>1447</v>
      </c>
      <c r="E7713" t="s">
        <v>1798</v>
      </c>
      <c r="F7713" t="s">
        <v>1748</v>
      </c>
      <c r="H7713" s="165" t="str">
        <f>IF(ISBLANK('Q 8'!$F230),"",IF('Q 8'!$F230="&lt;please select&gt;","",'Q 8'!$F230))</f>
        <v/>
      </c>
    </row>
    <row r="7714" spans="1:8" x14ac:dyDescent="0.3">
      <c r="A7714" t="s">
        <v>2096</v>
      </c>
      <c r="B7714" t="s">
        <v>2097</v>
      </c>
      <c r="C7714">
        <v>75</v>
      </c>
      <c r="D7714" t="s">
        <v>1447</v>
      </c>
      <c r="E7714" t="s">
        <v>1798</v>
      </c>
      <c r="F7714" t="s">
        <v>1748</v>
      </c>
      <c r="H7714" s="165" t="str">
        <f>IF(ISBLANK('Q 8'!$F231),"",IF('Q 8'!$F231="&lt;please select&gt;","",'Q 8'!$F231))</f>
        <v/>
      </c>
    </row>
    <row r="7715" spans="1:8" x14ac:dyDescent="0.3">
      <c r="A7715" t="s">
        <v>2096</v>
      </c>
      <c r="B7715" t="s">
        <v>2097</v>
      </c>
      <c r="C7715">
        <v>76</v>
      </c>
      <c r="D7715" t="s">
        <v>1447</v>
      </c>
      <c r="E7715" t="s">
        <v>1798</v>
      </c>
      <c r="F7715" t="s">
        <v>1748</v>
      </c>
      <c r="H7715" s="165" t="str">
        <f>IF(ISBLANK('Q 8'!$F232),"",IF('Q 8'!$F232="&lt;please select&gt;","",'Q 8'!$F232))</f>
        <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
      </c>
    </row>
    <row r="7721" spans="1:8" x14ac:dyDescent="0.3">
      <c r="A7721" t="s">
        <v>2096</v>
      </c>
      <c r="B7721" t="s">
        <v>2097</v>
      </c>
      <c r="C7721">
        <v>2</v>
      </c>
      <c r="D7721" t="s">
        <v>1447</v>
      </c>
      <c r="E7721" t="s">
        <v>1972</v>
      </c>
      <c r="F7721" t="s">
        <v>1748</v>
      </c>
      <c r="H7721" s="165" t="str">
        <f>IF(ISBLANK('Q 8'!$G158),"",IF('Q 8'!$G158="&lt;please select&gt;","",'Q 8'!$G158))</f>
        <v/>
      </c>
    </row>
    <row r="7722" spans="1:8" x14ac:dyDescent="0.3">
      <c r="A7722" t="s">
        <v>2096</v>
      </c>
      <c r="B7722" t="s">
        <v>2097</v>
      </c>
      <c r="C7722">
        <v>3</v>
      </c>
      <c r="D7722" t="s">
        <v>1447</v>
      </c>
      <c r="E7722" t="s">
        <v>1972</v>
      </c>
      <c r="F7722" t="s">
        <v>1748</v>
      </c>
      <c r="H7722" s="165" t="str">
        <f>IF(ISBLANK('Q 8'!$G159),"",IF('Q 8'!$G159="&lt;please select&gt;","",'Q 8'!$G159))</f>
        <v/>
      </c>
    </row>
    <row r="7723" spans="1:8" x14ac:dyDescent="0.3">
      <c r="A7723" t="s">
        <v>2096</v>
      </c>
      <c r="B7723" t="s">
        <v>2097</v>
      </c>
      <c r="C7723">
        <v>4</v>
      </c>
      <c r="D7723" t="s">
        <v>1447</v>
      </c>
      <c r="E7723" t="s">
        <v>1972</v>
      </c>
      <c r="F7723" t="s">
        <v>1748</v>
      </c>
      <c r="H7723" s="165" t="str">
        <f>IF(ISBLANK('Q 8'!$G160),"",IF('Q 8'!$G160="&lt;please select&gt;","",'Q 8'!$G160))</f>
        <v/>
      </c>
    </row>
    <row r="7724" spans="1:8" x14ac:dyDescent="0.3">
      <c r="A7724" t="s">
        <v>2096</v>
      </c>
      <c r="B7724" t="s">
        <v>2097</v>
      </c>
      <c r="C7724">
        <v>5</v>
      </c>
      <c r="D7724" t="s">
        <v>1447</v>
      </c>
      <c r="E7724" t="s">
        <v>1972</v>
      </c>
      <c r="F7724" t="s">
        <v>1748</v>
      </c>
      <c r="H7724" s="165" t="str">
        <f>IF(ISBLANK('Q 8'!$G161),"",IF('Q 8'!$G161="&lt;please select&gt;","",'Q 8'!$G161))</f>
        <v/>
      </c>
    </row>
    <row r="7725" spans="1:8" x14ac:dyDescent="0.3">
      <c r="A7725" t="s">
        <v>2096</v>
      </c>
      <c r="B7725" t="s">
        <v>2097</v>
      </c>
      <c r="C7725">
        <v>6</v>
      </c>
      <c r="D7725" t="s">
        <v>1447</v>
      </c>
      <c r="E7725" t="s">
        <v>1972</v>
      </c>
      <c r="F7725" t="s">
        <v>1748</v>
      </c>
      <c r="H7725" s="165" t="str">
        <f>IF(ISBLANK('Q 8'!$G162),"",IF('Q 8'!$G162="&lt;please select&gt;","",'Q 8'!$G162))</f>
        <v/>
      </c>
    </row>
    <row r="7726" spans="1:8" x14ac:dyDescent="0.3">
      <c r="A7726" t="s">
        <v>2096</v>
      </c>
      <c r="B7726" t="s">
        <v>2097</v>
      </c>
      <c r="C7726">
        <v>7</v>
      </c>
      <c r="D7726" t="s">
        <v>1447</v>
      </c>
      <c r="E7726" t="s">
        <v>1972</v>
      </c>
      <c r="F7726" t="s">
        <v>1748</v>
      </c>
      <c r="H7726" s="165" t="str">
        <f>IF(ISBLANK('Q 8'!$G163),"",IF('Q 8'!$G163="&lt;please select&gt;","",'Q 8'!$G163))</f>
        <v/>
      </c>
    </row>
    <row r="7727" spans="1:8" x14ac:dyDescent="0.3">
      <c r="A7727" t="s">
        <v>2096</v>
      </c>
      <c r="B7727" t="s">
        <v>2097</v>
      </c>
      <c r="C7727">
        <v>8</v>
      </c>
      <c r="D7727" t="s">
        <v>1447</v>
      </c>
      <c r="E7727" t="s">
        <v>1972</v>
      </c>
      <c r="F7727" t="s">
        <v>1748</v>
      </c>
      <c r="H7727" s="165" t="str">
        <f>IF(ISBLANK('Q 8'!$G164),"",IF('Q 8'!$G164="&lt;please select&gt;","",'Q 8'!$G164))</f>
        <v/>
      </c>
    </row>
    <row r="7728" spans="1:8" x14ac:dyDescent="0.3">
      <c r="A7728" t="s">
        <v>2096</v>
      </c>
      <c r="B7728" t="s">
        <v>2097</v>
      </c>
      <c r="C7728">
        <v>9</v>
      </c>
      <c r="D7728" t="s">
        <v>1447</v>
      </c>
      <c r="E7728" t="s">
        <v>1972</v>
      </c>
      <c r="F7728" t="s">
        <v>1748</v>
      </c>
      <c r="H7728" s="165" t="str">
        <f>IF(ISBLANK('Q 8'!$G165),"",IF('Q 8'!$G165="&lt;please select&gt;","",'Q 8'!$G165))</f>
        <v/>
      </c>
    </row>
    <row r="7729" spans="1:8" x14ac:dyDescent="0.3">
      <c r="A7729" t="s">
        <v>2096</v>
      </c>
      <c r="B7729" t="s">
        <v>2097</v>
      </c>
      <c r="C7729">
        <v>10</v>
      </c>
      <c r="D7729" t="s">
        <v>1447</v>
      </c>
      <c r="E7729" t="s">
        <v>1972</v>
      </c>
      <c r="F7729" t="s">
        <v>1748</v>
      </c>
      <c r="H7729" s="165" t="str">
        <f>IF(ISBLANK('Q 8'!$G166),"",IF('Q 8'!$G166="&lt;please select&gt;","",'Q 8'!$G166))</f>
        <v/>
      </c>
    </row>
    <row r="7730" spans="1:8" x14ac:dyDescent="0.3">
      <c r="A7730" t="s">
        <v>2096</v>
      </c>
      <c r="B7730" t="s">
        <v>2097</v>
      </c>
      <c r="C7730">
        <v>11</v>
      </c>
      <c r="D7730" t="s">
        <v>1447</v>
      </c>
      <c r="E7730" t="s">
        <v>1972</v>
      </c>
      <c r="F7730" t="s">
        <v>1748</v>
      </c>
      <c r="H7730" s="165" t="str">
        <f>IF(ISBLANK('Q 8'!$G167),"",IF('Q 8'!$G167="&lt;please select&gt;","",'Q 8'!$G167))</f>
        <v/>
      </c>
    </row>
    <row r="7731" spans="1:8" x14ac:dyDescent="0.3">
      <c r="A7731" t="s">
        <v>2096</v>
      </c>
      <c r="B7731" t="s">
        <v>2097</v>
      </c>
      <c r="C7731">
        <v>12</v>
      </c>
      <c r="D7731" t="s">
        <v>1447</v>
      </c>
      <c r="E7731" t="s">
        <v>1972</v>
      </c>
      <c r="F7731" t="s">
        <v>1748</v>
      </c>
      <c r="H7731" s="165" t="str">
        <f>IF(ISBLANK('Q 8'!$G168),"",IF('Q 8'!$G168="&lt;please select&gt;","",'Q 8'!$G168))</f>
        <v/>
      </c>
    </row>
    <row r="7732" spans="1:8" x14ac:dyDescent="0.3">
      <c r="A7732" t="s">
        <v>2096</v>
      </c>
      <c r="B7732" t="s">
        <v>2097</v>
      </c>
      <c r="C7732">
        <v>13</v>
      </c>
      <c r="D7732" t="s">
        <v>1447</v>
      </c>
      <c r="E7732" t="s">
        <v>1972</v>
      </c>
      <c r="F7732" t="s">
        <v>1748</v>
      </c>
      <c r="H7732" s="165" t="str">
        <f>IF(ISBLANK('Q 8'!$G169),"",IF('Q 8'!$G169="&lt;please select&gt;","",'Q 8'!$G169))</f>
        <v/>
      </c>
    </row>
    <row r="7733" spans="1:8" x14ac:dyDescent="0.3">
      <c r="A7733" t="s">
        <v>2096</v>
      </c>
      <c r="B7733" t="s">
        <v>2097</v>
      </c>
      <c r="C7733">
        <v>14</v>
      </c>
      <c r="D7733" t="s">
        <v>1447</v>
      </c>
      <c r="E7733" t="s">
        <v>1972</v>
      </c>
      <c r="F7733" t="s">
        <v>1748</v>
      </c>
      <c r="H7733" s="165" t="str">
        <f>IF(ISBLANK('Q 8'!$G170),"",IF('Q 8'!$G170="&lt;please select&gt;","",'Q 8'!$G170))</f>
        <v/>
      </c>
    </row>
    <row r="7734" spans="1:8" x14ac:dyDescent="0.3">
      <c r="A7734" t="s">
        <v>2096</v>
      </c>
      <c r="B7734" t="s">
        <v>2097</v>
      </c>
      <c r="C7734">
        <v>15</v>
      </c>
      <c r="D7734" t="s">
        <v>1447</v>
      </c>
      <c r="E7734" t="s">
        <v>1972</v>
      </c>
      <c r="F7734" t="s">
        <v>1748</v>
      </c>
      <c r="H7734" s="165" t="str">
        <f>IF(ISBLANK('Q 8'!$G171),"",IF('Q 8'!$G171="&lt;please select&gt;","",'Q 8'!$G171))</f>
        <v/>
      </c>
    </row>
    <row r="7735" spans="1:8" x14ac:dyDescent="0.3">
      <c r="A7735" t="s">
        <v>2096</v>
      </c>
      <c r="B7735" t="s">
        <v>2097</v>
      </c>
      <c r="C7735">
        <v>16</v>
      </c>
      <c r="D7735" t="s">
        <v>1447</v>
      </c>
      <c r="E7735" t="s">
        <v>1972</v>
      </c>
      <c r="F7735" t="s">
        <v>1748</v>
      </c>
      <c r="H7735" s="165" t="str">
        <f>IF(ISBLANK('Q 8'!$G172),"",IF('Q 8'!$G172="&lt;please select&gt;","",'Q 8'!$G172))</f>
        <v/>
      </c>
    </row>
    <row r="7736" spans="1:8" x14ac:dyDescent="0.3">
      <c r="A7736" t="s">
        <v>2096</v>
      </c>
      <c r="B7736" t="s">
        <v>2097</v>
      </c>
      <c r="C7736">
        <v>17</v>
      </c>
      <c r="D7736" t="s">
        <v>1447</v>
      </c>
      <c r="E7736" t="s">
        <v>1972</v>
      </c>
      <c r="F7736" t="s">
        <v>1748</v>
      </c>
      <c r="H7736" s="165" t="str">
        <f>IF(ISBLANK('Q 8'!$G173),"",IF('Q 8'!$G173="&lt;please select&gt;","",'Q 8'!$G173))</f>
        <v/>
      </c>
    </row>
    <row r="7737" spans="1:8" x14ac:dyDescent="0.3">
      <c r="A7737" t="s">
        <v>2096</v>
      </c>
      <c r="B7737" t="s">
        <v>2097</v>
      </c>
      <c r="C7737">
        <v>18</v>
      </c>
      <c r="D7737" t="s">
        <v>1447</v>
      </c>
      <c r="E7737" t="s">
        <v>1972</v>
      </c>
      <c r="F7737" t="s">
        <v>1748</v>
      </c>
      <c r="H7737" s="165" t="str">
        <f>IF(ISBLANK('Q 8'!$G174),"",IF('Q 8'!$G174="&lt;please select&gt;","",'Q 8'!$G174))</f>
        <v/>
      </c>
    </row>
    <row r="7738" spans="1:8" x14ac:dyDescent="0.3">
      <c r="A7738" t="s">
        <v>2096</v>
      </c>
      <c r="B7738" t="s">
        <v>2097</v>
      </c>
      <c r="C7738">
        <v>19</v>
      </c>
      <c r="D7738" t="s">
        <v>1447</v>
      </c>
      <c r="E7738" t="s">
        <v>1972</v>
      </c>
      <c r="F7738" t="s">
        <v>1748</v>
      </c>
      <c r="H7738" s="165" t="str">
        <f>IF(ISBLANK('Q 8'!$G175),"",IF('Q 8'!$G175="&lt;please select&gt;","",'Q 8'!$G175))</f>
        <v/>
      </c>
    </row>
    <row r="7739" spans="1:8" x14ac:dyDescent="0.3">
      <c r="A7739" t="s">
        <v>2096</v>
      </c>
      <c r="B7739" t="s">
        <v>2097</v>
      </c>
      <c r="C7739">
        <v>20</v>
      </c>
      <c r="D7739" t="s">
        <v>1447</v>
      </c>
      <c r="E7739" t="s">
        <v>1972</v>
      </c>
      <c r="F7739" t="s">
        <v>1748</v>
      </c>
      <c r="H7739" s="165" t="str">
        <f>IF(ISBLANK('Q 8'!$G176),"",IF('Q 8'!$G176="&lt;please select&gt;","",'Q 8'!$G176))</f>
        <v/>
      </c>
    </row>
    <row r="7740" spans="1:8" x14ac:dyDescent="0.3">
      <c r="A7740" t="s">
        <v>2096</v>
      </c>
      <c r="B7740" t="s">
        <v>2097</v>
      </c>
      <c r="C7740">
        <v>21</v>
      </c>
      <c r="D7740" t="s">
        <v>1447</v>
      </c>
      <c r="E7740" t="s">
        <v>1972</v>
      </c>
      <c r="F7740" t="s">
        <v>1748</v>
      </c>
      <c r="H7740" s="165" t="str">
        <f>IF(ISBLANK('Q 8'!$G177),"",IF('Q 8'!$G177="&lt;please select&gt;","",'Q 8'!$G177))</f>
        <v/>
      </c>
    </row>
    <row r="7741" spans="1:8" x14ac:dyDescent="0.3">
      <c r="A7741" t="s">
        <v>2096</v>
      </c>
      <c r="B7741" t="s">
        <v>2097</v>
      </c>
      <c r="C7741">
        <v>22</v>
      </c>
      <c r="D7741" t="s">
        <v>1447</v>
      </c>
      <c r="E7741" t="s">
        <v>1972</v>
      </c>
      <c r="F7741" t="s">
        <v>1748</v>
      </c>
      <c r="H7741" s="165" t="str">
        <f>IF(ISBLANK('Q 8'!$G178),"",IF('Q 8'!$G178="&lt;please select&gt;","",'Q 8'!$G178))</f>
        <v/>
      </c>
    </row>
    <row r="7742" spans="1:8" x14ac:dyDescent="0.3">
      <c r="A7742" t="s">
        <v>2096</v>
      </c>
      <c r="B7742" t="s">
        <v>2097</v>
      </c>
      <c r="C7742">
        <v>23</v>
      </c>
      <c r="D7742" t="s">
        <v>1447</v>
      </c>
      <c r="E7742" t="s">
        <v>1972</v>
      </c>
      <c r="F7742" t="s">
        <v>1748</v>
      </c>
      <c r="H7742" s="165" t="str">
        <f>IF(ISBLANK('Q 8'!$G179),"",IF('Q 8'!$G179="&lt;please select&gt;","",'Q 8'!$G179))</f>
        <v/>
      </c>
    </row>
    <row r="7743" spans="1:8" x14ac:dyDescent="0.3">
      <c r="A7743" t="s">
        <v>2096</v>
      </c>
      <c r="B7743" t="s">
        <v>2097</v>
      </c>
      <c r="C7743">
        <v>24</v>
      </c>
      <c r="D7743" t="s">
        <v>1447</v>
      </c>
      <c r="E7743" t="s">
        <v>1972</v>
      </c>
      <c r="F7743" t="s">
        <v>1748</v>
      </c>
      <c r="H7743" s="165" t="str">
        <f>IF(ISBLANK('Q 8'!$G180),"",IF('Q 8'!$G180="&lt;please select&gt;","",'Q 8'!$G180))</f>
        <v/>
      </c>
    </row>
    <row r="7744" spans="1:8" x14ac:dyDescent="0.3">
      <c r="A7744" t="s">
        <v>2096</v>
      </c>
      <c r="B7744" t="s">
        <v>2097</v>
      </c>
      <c r="C7744">
        <v>25</v>
      </c>
      <c r="D7744" t="s">
        <v>1447</v>
      </c>
      <c r="E7744" t="s">
        <v>1972</v>
      </c>
      <c r="F7744" t="s">
        <v>1748</v>
      </c>
      <c r="H7744" s="165" t="str">
        <f>IF(ISBLANK('Q 8'!$G181),"",IF('Q 8'!$G181="&lt;please select&gt;","",'Q 8'!$G181))</f>
        <v/>
      </c>
    </row>
    <row r="7745" spans="1:8" x14ac:dyDescent="0.3">
      <c r="A7745" t="s">
        <v>2096</v>
      </c>
      <c r="B7745" t="s">
        <v>2097</v>
      </c>
      <c r="C7745">
        <v>26</v>
      </c>
      <c r="D7745" t="s">
        <v>1447</v>
      </c>
      <c r="E7745" t="s">
        <v>1972</v>
      </c>
      <c r="F7745" t="s">
        <v>1748</v>
      </c>
      <c r="H7745" s="165" t="str">
        <f>IF(ISBLANK('Q 8'!$G182),"",IF('Q 8'!$G182="&lt;please select&gt;","",'Q 8'!$G182))</f>
        <v/>
      </c>
    </row>
    <row r="7746" spans="1:8" x14ac:dyDescent="0.3">
      <c r="A7746" t="s">
        <v>2096</v>
      </c>
      <c r="B7746" t="s">
        <v>2097</v>
      </c>
      <c r="C7746">
        <v>27</v>
      </c>
      <c r="D7746" t="s">
        <v>1447</v>
      </c>
      <c r="E7746" t="s">
        <v>1972</v>
      </c>
      <c r="F7746" t="s">
        <v>1748</v>
      </c>
      <c r="H7746" s="165" t="str">
        <f>IF(ISBLANK('Q 8'!$G183),"",IF('Q 8'!$G183="&lt;please select&gt;","",'Q 8'!$G183))</f>
        <v/>
      </c>
    </row>
    <row r="7747" spans="1:8" x14ac:dyDescent="0.3">
      <c r="A7747" t="s">
        <v>2096</v>
      </c>
      <c r="B7747" t="s">
        <v>2097</v>
      </c>
      <c r="C7747">
        <v>28</v>
      </c>
      <c r="D7747" t="s">
        <v>1447</v>
      </c>
      <c r="E7747" t="s">
        <v>1972</v>
      </c>
      <c r="F7747" t="s">
        <v>1748</v>
      </c>
      <c r="H7747" s="165" t="str">
        <f>IF(ISBLANK('Q 8'!$G184),"",IF('Q 8'!$G184="&lt;please select&gt;","",'Q 8'!$G184))</f>
        <v/>
      </c>
    </row>
    <row r="7748" spans="1:8" x14ac:dyDescent="0.3">
      <c r="A7748" t="s">
        <v>2096</v>
      </c>
      <c r="B7748" t="s">
        <v>2097</v>
      </c>
      <c r="C7748">
        <v>29</v>
      </c>
      <c r="D7748" t="s">
        <v>1447</v>
      </c>
      <c r="E7748" t="s">
        <v>1972</v>
      </c>
      <c r="F7748" t="s">
        <v>1748</v>
      </c>
      <c r="H7748" s="165" t="str">
        <f>IF(ISBLANK('Q 8'!$G185),"",IF('Q 8'!$G185="&lt;please select&gt;","",'Q 8'!$G185))</f>
        <v/>
      </c>
    </row>
    <row r="7749" spans="1:8" x14ac:dyDescent="0.3">
      <c r="A7749" t="s">
        <v>2096</v>
      </c>
      <c r="B7749" t="s">
        <v>2097</v>
      </c>
      <c r="C7749">
        <v>30</v>
      </c>
      <c r="D7749" t="s">
        <v>1447</v>
      </c>
      <c r="E7749" t="s">
        <v>1972</v>
      </c>
      <c r="F7749" t="s">
        <v>1748</v>
      </c>
      <c r="H7749" s="165" t="str">
        <f>IF(ISBLANK('Q 8'!$G186),"",IF('Q 8'!$G186="&lt;please select&gt;","",'Q 8'!$G186))</f>
        <v/>
      </c>
    </row>
    <row r="7750" spans="1:8" x14ac:dyDescent="0.3">
      <c r="A7750" t="s">
        <v>2096</v>
      </c>
      <c r="B7750" t="s">
        <v>2097</v>
      </c>
      <c r="C7750">
        <v>31</v>
      </c>
      <c r="D7750" t="s">
        <v>1447</v>
      </c>
      <c r="E7750" t="s">
        <v>1972</v>
      </c>
      <c r="F7750" t="s">
        <v>1748</v>
      </c>
      <c r="H7750" s="165" t="str">
        <f>IF(ISBLANK('Q 8'!$G187),"",IF('Q 8'!$G187="&lt;please select&gt;","",'Q 8'!$G187))</f>
        <v/>
      </c>
    </row>
    <row r="7751" spans="1:8" x14ac:dyDescent="0.3">
      <c r="A7751" t="s">
        <v>2096</v>
      </c>
      <c r="B7751" t="s">
        <v>2097</v>
      </c>
      <c r="C7751">
        <v>32</v>
      </c>
      <c r="D7751" t="s">
        <v>1447</v>
      </c>
      <c r="E7751" t="s">
        <v>1972</v>
      </c>
      <c r="F7751" t="s">
        <v>1748</v>
      </c>
      <c r="H7751" s="165" t="str">
        <f>IF(ISBLANK('Q 8'!$G188),"",IF('Q 8'!$G188="&lt;please select&gt;","",'Q 8'!$G188))</f>
        <v/>
      </c>
    </row>
    <row r="7752" spans="1:8" x14ac:dyDescent="0.3">
      <c r="A7752" t="s">
        <v>2096</v>
      </c>
      <c r="B7752" t="s">
        <v>2097</v>
      </c>
      <c r="C7752">
        <v>33</v>
      </c>
      <c r="D7752" t="s">
        <v>1447</v>
      </c>
      <c r="E7752" t="s">
        <v>1972</v>
      </c>
      <c r="F7752" t="s">
        <v>1748</v>
      </c>
      <c r="H7752" s="165" t="str">
        <f>IF(ISBLANK('Q 8'!$G189),"",IF('Q 8'!$G189="&lt;please select&gt;","",'Q 8'!$G189))</f>
        <v/>
      </c>
    </row>
    <row r="7753" spans="1:8" x14ac:dyDescent="0.3">
      <c r="A7753" t="s">
        <v>2096</v>
      </c>
      <c r="B7753" t="s">
        <v>2097</v>
      </c>
      <c r="C7753">
        <v>34</v>
      </c>
      <c r="D7753" t="s">
        <v>1447</v>
      </c>
      <c r="E7753" t="s">
        <v>1972</v>
      </c>
      <c r="F7753" t="s">
        <v>1748</v>
      </c>
      <c r="H7753" s="165" t="str">
        <f>IF(ISBLANK('Q 8'!$G190),"",IF('Q 8'!$G190="&lt;please select&gt;","",'Q 8'!$G190))</f>
        <v/>
      </c>
    </row>
    <row r="7754" spans="1:8" x14ac:dyDescent="0.3">
      <c r="A7754" t="s">
        <v>2096</v>
      </c>
      <c r="B7754" t="s">
        <v>2097</v>
      </c>
      <c r="C7754">
        <v>35</v>
      </c>
      <c r="D7754" t="s">
        <v>1447</v>
      </c>
      <c r="E7754" t="s">
        <v>1972</v>
      </c>
      <c r="F7754" t="s">
        <v>1748</v>
      </c>
      <c r="H7754" s="165" t="str">
        <f>IF(ISBLANK('Q 8'!$G191),"",IF('Q 8'!$G191="&lt;please select&gt;","",'Q 8'!$G191))</f>
        <v/>
      </c>
    </row>
    <row r="7755" spans="1:8" x14ac:dyDescent="0.3">
      <c r="A7755" t="s">
        <v>2096</v>
      </c>
      <c r="B7755" t="s">
        <v>2097</v>
      </c>
      <c r="C7755">
        <v>36</v>
      </c>
      <c r="D7755" t="s">
        <v>1447</v>
      </c>
      <c r="E7755" t="s">
        <v>1972</v>
      </c>
      <c r="F7755" t="s">
        <v>1748</v>
      </c>
      <c r="H7755" s="165" t="str">
        <f>IF(ISBLANK('Q 8'!$G192),"",IF('Q 8'!$G192="&lt;please select&gt;","",'Q 8'!$G192))</f>
        <v/>
      </c>
    </row>
    <row r="7756" spans="1:8" x14ac:dyDescent="0.3">
      <c r="A7756" t="s">
        <v>2096</v>
      </c>
      <c r="B7756" t="s">
        <v>2097</v>
      </c>
      <c r="C7756">
        <v>37</v>
      </c>
      <c r="D7756" t="s">
        <v>1447</v>
      </c>
      <c r="E7756" t="s">
        <v>1972</v>
      </c>
      <c r="F7756" t="s">
        <v>1748</v>
      </c>
      <c r="H7756" s="165" t="str">
        <f>IF(ISBLANK('Q 8'!$G193),"",IF('Q 8'!$G193="&lt;please select&gt;","",'Q 8'!$G193))</f>
        <v/>
      </c>
    </row>
    <row r="7757" spans="1:8" x14ac:dyDescent="0.3">
      <c r="A7757" t="s">
        <v>2096</v>
      </c>
      <c r="B7757" t="s">
        <v>2097</v>
      </c>
      <c r="C7757">
        <v>38</v>
      </c>
      <c r="D7757" t="s">
        <v>1447</v>
      </c>
      <c r="E7757" t="s">
        <v>1972</v>
      </c>
      <c r="F7757" t="s">
        <v>1748</v>
      </c>
      <c r="H7757" s="165" t="str">
        <f>IF(ISBLANK('Q 8'!$G194),"",IF('Q 8'!$G194="&lt;please select&gt;","",'Q 8'!$G194))</f>
        <v/>
      </c>
    </row>
    <row r="7758" spans="1:8" x14ac:dyDescent="0.3">
      <c r="A7758" t="s">
        <v>2096</v>
      </c>
      <c r="B7758" t="s">
        <v>2097</v>
      </c>
      <c r="C7758">
        <v>39</v>
      </c>
      <c r="D7758" t="s">
        <v>1447</v>
      </c>
      <c r="E7758" t="s">
        <v>1972</v>
      </c>
      <c r="F7758" t="s">
        <v>1748</v>
      </c>
      <c r="H7758" s="165" t="str">
        <f>IF(ISBLANK('Q 8'!$G195),"",IF('Q 8'!$G195="&lt;please select&gt;","",'Q 8'!$G195))</f>
        <v/>
      </c>
    </row>
    <row r="7759" spans="1:8" x14ac:dyDescent="0.3">
      <c r="A7759" t="s">
        <v>2096</v>
      </c>
      <c r="B7759" t="s">
        <v>2097</v>
      </c>
      <c r="C7759">
        <v>40</v>
      </c>
      <c r="D7759" t="s">
        <v>1447</v>
      </c>
      <c r="E7759" t="s">
        <v>1972</v>
      </c>
      <c r="F7759" t="s">
        <v>1748</v>
      </c>
      <c r="H7759" s="165" t="str">
        <f>IF(ISBLANK('Q 8'!$G196),"",IF('Q 8'!$G196="&lt;please select&gt;","",'Q 8'!$G196))</f>
        <v/>
      </c>
    </row>
    <row r="7760" spans="1:8" x14ac:dyDescent="0.3">
      <c r="A7760" t="s">
        <v>2096</v>
      </c>
      <c r="B7760" t="s">
        <v>2097</v>
      </c>
      <c r="C7760">
        <v>41</v>
      </c>
      <c r="D7760" t="s">
        <v>1447</v>
      </c>
      <c r="E7760" t="s">
        <v>1972</v>
      </c>
      <c r="F7760" t="s">
        <v>1748</v>
      </c>
      <c r="H7760" s="165" t="str">
        <f>IF(ISBLANK('Q 8'!$G197),"",IF('Q 8'!$G197="&lt;please select&gt;","",'Q 8'!$G197))</f>
        <v/>
      </c>
    </row>
    <row r="7761" spans="1:8" x14ac:dyDescent="0.3">
      <c r="A7761" t="s">
        <v>2096</v>
      </c>
      <c r="B7761" t="s">
        <v>2097</v>
      </c>
      <c r="C7761">
        <v>42</v>
      </c>
      <c r="D7761" t="s">
        <v>1447</v>
      </c>
      <c r="E7761" t="s">
        <v>1972</v>
      </c>
      <c r="F7761" t="s">
        <v>1748</v>
      </c>
      <c r="H7761" s="165" t="str">
        <f>IF(ISBLANK('Q 8'!$G198),"",IF('Q 8'!$G198="&lt;please select&gt;","",'Q 8'!$G198))</f>
        <v/>
      </c>
    </row>
    <row r="7762" spans="1:8" x14ac:dyDescent="0.3">
      <c r="A7762" t="s">
        <v>2096</v>
      </c>
      <c r="B7762" t="s">
        <v>2097</v>
      </c>
      <c r="C7762">
        <v>43</v>
      </c>
      <c r="D7762" t="s">
        <v>1447</v>
      </c>
      <c r="E7762" t="s">
        <v>1972</v>
      </c>
      <c r="F7762" t="s">
        <v>1748</v>
      </c>
      <c r="H7762" s="165" t="str">
        <f>IF(ISBLANK('Q 8'!$G199),"",IF('Q 8'!$G199="&lt;please select&gt;","",'Q 8'!$G199))</f>
        <v/>
      </c>
    </row>
    <row r="7763" spans="1:8" x14ac:dyDescent="0.3">
      <c r="A7763" t="s">
        <v>2096</v>
      </c>
      <c r="B7763" t="s">
        <v>2097</v>
      </c>
      <c r="C7763">
        <v>44</v>
      </c>
      <c r="D7763" t="s">
        <v>1447</v>
      </c>
      <c r="E7763" t="s">
        <v>1972</v>
      </c>
      <c r="F7763" t="s">
        <v>1748</v>
      </c>
      <c r="H7763" s="165" t="str">
        <f>IF(ISBLANK('Q 8'!$G200),"",IF('Q 8'!$G200="&lt;please select&gt;","",'Q 8'!$G200))</f>
        <v/>
      </c>
    </row>
    <row r="7764" spans="1:8" x14ac:dyDescent="0.3">
      <c r="A7764" t="s">
        <v>2096</v>
      </c>
      <c r="B7764" t="s">
        <v>2097</v>
      </c>
      <c r="C7764">
        <v>45</v>
      </c>
      <c r="D7764" t="s">
        <v>1447</v>
      </c>
      <c r="E7764" t="s">
        <v>1972</v>
      </c>
      <c r="F7764" t="s">
        <v>1748</v>
      </c>
      <c r="H7764" s="165" t="str">
        <f>IF(ISBLANK('Q 8'!$G201),"",IF('Q 8'!$G201="&lt;please select&gt;","",'Q 8'!$G201))</f>
        <v/>
      </c>
    </row>
    <row r="7765" spans="1:8" x14ac:dyDescent="0.3">
      <c r="A7765" t="s">
        <v>2096</v>
      </c>
      <c r="B7765" t="s">
        <v>2097</v>
      </c>
      <c r="C7765">
        <v>46</v>
      </c>
      <c r="D7765" t="s">
        <v>1447</v>
      </c>
      <c r="E7765" t="s">
        <v>1972</v>
      </c>
      <c r="F7765" t="s">
        <v>1748</v>
      </c>
      <c r="H7765" s="165" t="str">
        <f>IF(ISBLANK('Q 8'!$G202),"",IF('Q 8'!$G202="&lt;please select&gt;","",'Q 8'!$G202))</f>
        <v/>
      </c>
    </row>
    <row r="7766" spans="1:8" x14ac:dyDescent="0.3">
      <c r="A7766" t="s">
        <v>2096</v>
      </c>
      <c r="B7766" t="s">
        <v>2097</v>
      </c>
      <c r="C7766">
        <v>47</v>
      </c>
      <c r="D7766" t="s">
        <v>1447</v>
      </c>
      <c r="E7766" t="s">
        <v>1972</v>
      </c>
      <c r="F7766" t="s">
        <v>1748</v>
      </c>
      <c r="H7766" s="165" t="str">
        <f>IF(ISBLANK('Q 8'!$G203),"",IF('Q 8'!$G203="&lt;please select&gt;","",'Q 8'!$G203))</f>
        <v/>
      </c>
    </row>
    <row r="7767" spans="1:8" x14ac:dyDescent="0.3">
      <c r="A7767" t="s">
        <v>2096</v>
      </c>
      <c r="B7767" t="s">
        <v>2097</v>
      </c>
      <c r="C7767">
        <v>48</v>
      </c>
      <c r="D7767" t="s">
        <v>1447</v>
      </c>
      <c r="E7767" t="s">
        <v>1972</v>
      </c>
      <c r="F7767" t="s">
        <v>1748</v>
      </c>
      <c r="H7767" s="165" t="str">
        <f>IF(ISBLANK('Q 8'!$G204),"",IF('Q 8'!$G204="&lt;please select&gt;","",'Q 8'!$G204))</f>
        <v/>
      </c>
    </row>
    <row r="7768" spans="1:8" x14ac:dyDescent="0.3">
      <c r="A7768" t="s">
        <v>2096</v>
      </c>
      <c r="B7768" t="s">
        <v>2097</v>
      </c>
      <c r="C7768">
        <v>49</v>
      </c>
      <c r="D7768" t="s">
        <v>1447</v>
      </c>
      <c r="E7768" t="s">
        <v>1972</v>
      </c>
      <c r="F7768" t="s">
        <v>1748</v>
      </c>
      <c r="H7768" s="165" t="str">
        <f>IF(ISBLANK('Q 8'!$G205),"",IF('Q 8'!$G205="&lt;please select&gt;","",'Q 8'!$G205))</f>
        <v/>
      </c>
    </row>
    <row r="7769" spans="1:8" x14ac:dyDescent="0.3">
      <c r="A7769" t="s">
        <v>2096</v>
      </c>
      <c r="B7769" t="s">
        <v>2097</v>
      </c>
      <c r="C7769">
        <v>50</v>
      </c>
      <c r="D7769" t="s">
        <v>1447</v>
      </c>
      <c r="E7769" t="s">
        <v>1972</v>
      </c>
      <c r="F7769" t="s">
        <v>1748</v>
      </c>
      <c r="H7769" s="165" t="str">
        <f>IF(ISBLANK('Q 8'!$G206),"",IF('Q 8'!$G206="&lt;please select&gt;","",'Q 8'!$G206))</f>
        <v/>
      </c>
    </row>
    <row r="7770" spans="1:8" x14ac:dyDescent="0.3">
      <c r="A7770" t="s">
        <v>2096</v>
      </c>
      <c r="B7770" t="s">
        <v>2097</v>
      </c>
      <c r="C7770">
        <v>51</v>
      </c>
      <c r="D7770" t="s">
        <v>1447</v>
      </c>
      <c r="E7770" t="s">
        <v>1972</v>
      </c>
      <c r="F7770" t="s">
        <v>1748</v>
      </c>
      <c r="H7770" s="165" t="str">
        <f>IF(ISBLANK('Q 8'!$G207),"",IF('Q 8'!$G207="&lt;please select&gt;","",'Q 8'!$G207))</f>
        <v/>
      </c>
    </row>
    <row r="7771" spans="1:8" x14ac:dyDescent="0.3">
      <c r="A7771" t="s">
        <v>2096</v>
      </c>
      <c r="B7771" t="s">
        <v>2097</v>
      </c>
      <c r="C7771">
        <v>52</v>
      </c>
      <c r="D7771" t="s">
        <v>1447</v>
      </c>
      <c r="E7771" t="s">
        <v>1972</v>
      </c>
      <c r="F7771" t="s">
        <v>1748</v>
      </c>
      <c r="H7771" s="165" t="str">
        <f>IF(ISBLANK('Q 8'!$G208),"",IF('Q 8'!$G208="&lt;please select&gt;","",'Q 8'!$G208))</f>
        <v/>
      </c>
    </row>
    <row r="7772" spans="1:8" x14ac:dyDescent="0.3">
      <c r="A7772" t="s">
        <v>2096</v>
      </c>
      <c r="B7772" t="s">
        <v>2097</v>
      </c>
      <c r="C7772">
        <v>53</v>
      </c>
      <c r="D7772" t="s">
        <v>1447</v>
      </c>
      <c r="E7772" t="s">
        <v>1972</v>
      </c>
      <c r="F7772" t="s">
        <v>1748</v>
      </c>
      <c r="H7772" s="165" t="str">
        <f>IF(ISBLANK('Q 8'!$G209),"",IF('Q 8'!$G209="&lt;please select&gt;","",'Q 8'!$G209))</f>
        <v/>
      </c>
    </row>
    <row r="7773" spans="1:8" x14ac:dyDescent="0.3">
      <c r="A7773" t="s">
        <v>2096</v>
      </c>
      <c r="B7773" t="s">
        <v>2097</v>
      </c>
      <c r="C7773">
        <v>54</v>
      </c>
      <c r="D7773" t="s">
        <v>1447</v>
      </c>
      <c r="E7773" t="s">
        <v>1972</v>
      </c>
      <c r="F7773" t="s">
        <v>1748</v>
      </c>
      <c r="H7773" s="165" t="str">
        <f>IF(ISBLANK('Q 8'!$G210),"",IF('Q 8'!$G210="&lt;please select&gt;","",'Q 8'!$G210))</f>
        <v/>
      </c>
    </row>
    <row r="7774" spans="1:8" x14ac:dyDescent="0.3">
      <c r="A7774" t="s">
        <v>2096</v>
      </c>
      <c r="B7774" t="s">
        <v>2097</v>
      </c>
      <c r="C7774">
        <v>55</v>
      </c>
      <c r="D7774" t="s">
        <v>1447</v>
      </c>
      <c r="E7774" t="s">
        <v>1972</v>
      </c>
      <c r="F7774" t="s">
        <v>1748</v>
      </c>
      <c r="H7774" s="165" t="str">
        <f>IF(ISBLANK('Q 8'!$G211),"",IF('Q 8'!$G211="&lt;please select&gt;","",'Q 8'!$G211))</f>
        <v/>
      </c>
    </row>
    <row r="7775" spans="1:8" x14ac:dyDescent="0.3">
      <c r="A7775" t="s">
        <v>2096</v>
      </c>
      <c r="B7775" t="s">
        <v>2097</v>
      </c>
      <c r="C7775">
        <v>56</v>
      </c>
      <c r="D7775" t="s">
        <v>1447</v>
      </c>
      <c r="E7775" t="s">
        <v>1972</v>
      </c>
      <c r="F7775" t="s">
        <v>1748</v>
      </c>
      <c r="H7775" s="165" t="str">
        <f>IF(ISBLANK('Q 8'!$G212),"",IF('Q 8'!$G212="&lt;please select&gt;","",'Q 8'!$G212))</f>
        <v/>
      </c>
    </row>
    <row r="7776" spans="1:8" x14ac:dyDescent="0.3">
      <c r="A7776" t="s">
        <v>2096</v>
      </c>
      <c r="B7776" t="s">
        <v>2097</v>
      </c>
      <c r="C7776">
        <v>57</v>
      </c>
      <c r="D7776" t="s">
        <v>1447</v>
      </c>
      <c r="E7776" t="s">
        <v>1972</v>
      </c>
      <c r="F7776" t="s">
        <v>1748</v>
      </c>
      <c r="H7776" s="165" t="str">
        <f>IF(ISBLANK('Q 8'!$G213),"",IF('Q 8'!$G213="&lt;please select&gt;","",'Q 8'!$G213))</f>
        <v/>
      </c>
    </row>
    <row r="7777" spans="1:8" x14ac:dyDescent="0.3">
      <c r="A7777" t="s">
        <v>2096</v>
      </c>
      <c r="B7777" t="s">
        <v>2097</v>
      </c>
      <c r="C7777">
        <v>58</v>
      </c>
      <c r="D7777" t="s">
        <v>1447</v>
      </c>
      <c r="E7777" t="s">
        <v>1972</v>
      </c>
      <c r="F7777" t="s">
        <v>1748</v>
      </c>
      <c r="H7777" s="165" t="str">
        <f>IF(ISBLANK('Q 8'!$G214),"",IF('Q 8'!$G214="&lt;please select&gt;","",'Q 8'!$G214))</f>
        <v/>
      </c>
    </row>
    <row r="7778" spans="1:8" x14ac:dyDescent="0.3">
      <c r="A7778" t="s">
        <v>2096</v>
      </c>
      <c r="B7778" t="s">
        <v>2097</v>
      </c>
      <c r="C7778">
        <v>59</v>
      </c>
      <c r="D7778" t="s">
        <v>1447</v>
      </c>
      <c r="E7778" t="s">
        <v>1972</v>
      </c>
      <c r="F7778" t="s">
        <v>1748</v>
      </c>
      <c r="H7778" s="165" t="str">
        <f>IF(ISBLANK('Q 8'!$G215),"",IF('Q 8'!$G215="&lt;please select&gt;","",'Q 8'!$G215))</f>
        <v/>
      </c>
    </row>
    <row r="7779" spans="1:8" x14ac:dyDescent="0.3">
      <c r="A7779" t="s">
        <v>2096</v>
      </c>
      <c r="B7779" t="s">
        <v>2097</v>
      </c>
      <c r="C7779">
        <v>60</v>
      </c>
      <c r="D7779" t="s">
        <v>1447</v>
      </c>
      <c r="E7779" t="s">
        <v>1972</v>
      </c>
      <c r="F7779" t="s">
        <v>1748</v>
      </c>
      <c r="H7779" s="165" t="str">
        <f>IF(ISBLANK('Q 8'!$G216),"",IF('Q 8'!$G216="&lt;please select&gt;","",'Q 8'!$G216))</f>
        <v/>
      </c>
    </row>
    <row r="7780" spans="1:8" x14ac:dyDescent="0.3">
      <c r="A7780" t="s">
        <v>2096</v>
      </c>
      <c r="B7780" t="s">
        <v>2097</v>
      </c>
      <c r="C7780">
        <v>61</v>
      </c>
      <c r="D7780" t="s">
        <v>1447</v>
      </c>
      <c r="E7780" t="s">
        <v>1972</v>
      </c>
      <c r="F7780" t="s">
        <v>1748</v>
      </c>
      <c r="H7780" s="165" t="str">
        <f>IF(ISBLANK('Q 8'!$G217),"",IF('Q 8'!$G217="&lt;please select&gt;","",'Q 8'!$G217))</f>
        <v/>
      </c>
    </row>
    <row r="7781" spans="1:8" x14ac:dyDescent="0.3">
      <c r="A7781" t="s">
        <v>2096</v>
      </c>
      <c r="B7781" t="s">
        <v>2097</v>
      </c>
      <c r="C7781">
        <v>62</v>
      </c>
      <c r="D7781" t="s">
        <v>1447</v>
      </c>
      <c r="E7781" t="s">
        <v>1972</v>
      </c>
      <c r="F7781" t="s">
        <v>1748</v>
      </c>
      <c r="H7781" s="165" t="str">
        <f>IF(ISBLANK('Q 8'!$G218),"",IF('Q 8'!$G218="&lt;please select&gt;","",'Q 8'!$G218))</f>
        <v/>
      </c>
    </row>
    <row r="7782" spans="1:8" x14ac:dyDescent="0.3">
      <c r="A7782" t="s">
        <v>2096</v>
      </c>
      <c r="B7782" t="s">
        <v>2097</v>
      </c>
      <c r="C7782">
        <v>63</v>
      </c>
      <c r="D7782" t="s">
        <v>1447</v>
      </c>
      <c r="E7782" t="s">
        <v>1972</v>
      </c>
      <c r="F7782" t="s">
        <v>1748</v>
      </c>
      <c r="H7782" s="165" t="str">
        <f>IF(ISBLANK('Q 8'!$G219),"",IF('Q 8'!$G219="&lt;please select&gt;","",'Q 8'!$G219))</f>
        <v/>
      </c>
    </row>
    <row r="7783" spans="1:8" x14ac:dyDescent="0.3">
      <c r="A7783" t="s">
        <v>2096</v>
      </c>
      <c r="B7783" t="s">
        <v>2097</v>
      </c>
      <c r="C7783">
        <v>64</v>
      </c>
      <c r="D7783" t="s">
        <v>1447</v>
      </c>
      <c r="E7783" t="s">
        <v>1972</v>
      </c>
      <c r="F7783" t="s">
        <v>1748</v>
      </c>
      <c r="H7783" s="165" t="str">
        <f>IF(ISBLANK('Q 8'!$G220),"",IF('Q 8'!$G220="&lt;please select&gt;","",'Q 8'!$G220))</f>
        <v/>
      </c>
    </row>
    <row r="7784" spans="1:8" x14ac:dyDescent="0.3">
      <c r="A7784" t="s">
        <v>2096</v>
      </c>
      <c r="B7784" t="s">
        <v>2097</v>
      </c>
      <c r="C7784">
        <v>65</v>
      </c>
      <c r="D7784" t="s">
        <v>1447</v>
      </c>
      <c r="E7784" t="s">
        <v>1972</v>
      </c>
      <c r="F7784" t="s">
        <v>1748</v>
      </c>
      <c r="H7784" s="165" t="str">
        <f>IF(ISBLANK('Q 8'!$G221),"",IF('Q 8'!$G221="&lt;please select&gt;","",'Q 8'!$G221))</f>
        <v/>
      </c>
    </row>
    <row r="7785" spans="1:8" x14ac:dyDescent="0.3">
      <c r="A7785" t="s">
        <v>2096</v>
      </c>
      <c r="B7785" t="s">
        <v>2097</v>
      </c>
      <c r="C7785">
        <v>66</v>
      </c>
      <c r="D7785" t="s">
        <v>1447</v>
      </c>
      <c r="E7785" t="s">
        <v>1972</v>
      </c>
      <c r="F7785" t="s">
        <v>1748</v>
      </c>
      <c r="H7785" s="165" t="str">
        <f>IF(ISBLANK('Q 8'!$G222),"",IF('Q 8'!$G222="&lt;please select&gt;","",'Q 8'!$G222))</f>
        <v/>
      </c>
    </row>
    <row r="7786" spans="1:8" x14ac:dyDescent="0.3">
      <c r="A7786" t="s">
        <v>2096</v>
      </c>
      <c r="B7786" t="s">
        <v>2097</v>
      </c>
      <c r="C7786">
        <v>67</v>
      </c>
      <c r="D7786" t="s">
        <v>1447</v>
      </c>
      <c r="E7786" t="s">
        <v>1972</v>
      </c>
      <c r="F7786" t="s">
        <v>1748</v>
      </c>
      <c r="H7786" s="165" t="str">
        <f>IF(ISBLANK('Q 8'!$G223),"",IF('Q 8'!$G223="&lt;please select&gt;","",'Q 8'!$G223))</f>
        <v/>
      </c>
    </row>
    <row r="7787" spans="1:8" x14ac:dyDescent="0.3">
      <c r="A7787" t="s">
        <v>2096</v>
      </c>
      <c r="B7787" t="s">
        <v>2097</v>
      </c>
      <c r="C7787">
        <v>68</v>
      </c>
      <c r="D7787" t="s">
        <v>1447</v>
      </c>
      <c r="E7787" t="s">
        <v>1972</v>
      </c>
      <c r="F7787" t="s">
        <v>1748</v>
      </c>
      <c r="H7787" s="165" t="str">
        <f>IF(ISBLANK('Q 8'!$G224),"",IF('Q 8'!$G224="&lt;please select&gt;","",'Q 8'!$G224))</f>
        <v/>
      </c>
    </row>
    <row r="7788" spans="1:8" x14ac:dyDescent="0.3">
      <c r="A7788" t="s">
        <v>2096</v>
      </c>
      <c r="B7788" t="s">
        <v>2097</v>
      </c>
      <c r="C7788">
        <v>69</v>
      </c>
      <c r="D7788" t="s">
        <v>1447</v>
      </c>
      <c r="E7788" t="s">
        <v>1972</v>
      </c>
      <c r="F7788" t="s">
        <v>1748</v>
      </c>
      <c r="H7788" s="165" t="str">
        <f>IF(ISBLANK('Q 8'!$G225),"",IF('Q 8'!$G225="&lt;please select&gt;","",'Q 8'!$G225))</f>
        <v/>
      </c>
    </row>
    <row r="7789" spans="1:8" x14ac:dyDescent="0.3">
      <c r="A7789" t="s">
        <v>2096</v>
      </c>
      <c r="B7789" t="s">
        <v>2097</v>
      </c>
      <c r="C7789">
        <v>70</v>
      </c>
      <c r="D7789" t="s">
        <v>1447</v>
      </c>
      <c r="E7789" t="s">
        <v>1972</v>
      </c>
      <c r="F7789" t="s">
        <v>1748</v>
      </c>
      <c r="H7789" s="165" t="str">
        <f>IF(ISBLANK('Q 8'!$G226),"",IF('Q 8'!$G226="&lt;please select&gt;","",'Q 8'!$G226))</f>
        <v/>
      </c>
    </row>
    <row r="7790" spans="1:8" x14ac:dyDescent="0.3">
      <c r="A7790" t="s">
        <v>2096</v>
      </c>
      <c r="B7790" t="s">
        <v>2097</v>
      </c>
      <c r="C7790">
        <v>71</v>
      </c>
      <c r="D7790" t="s">
        <v>1447</v>
      </c>
      <c r="E7790" t="s">
        <v>1972</v>
      </c>
      <c r="F7790" t="s">
        <v>1748</v>
      </c>
      <c r="H7790" s="165" t="str">
        <f>IF(ISBLANK('Q 8'!$G227),"",IF('Q 8'!$G227="&lt;please select&gt;","",'Q 8'!$G227))</f>
        <v/>
      </c>
    </row>
    <row r="7791" spans="1:8" x14ac:dyDescent="0.3">
      <c r="A7791" t="s">
        <v>2096</v>
      </c>
      <c r="B7791" t="s">
        <v>2097</v>
      </c>
      <c r="C7791">
        <v>72</v>
      </c>
      <c r="D7791" t="s">
        <v>1447</v>
      </c>
      <c r="E7791" t="s">
        <v>1972</v>
      </c>
      <c r="F7791" t="s">
        <v>1748</v>
      </c>
      <c r="H7791" s="165" t="str">
        <f>IF(ISBLANK('Q 8'!$G228),"",IF('Q 8'!$G228="&lt;please select&gt;","",'Q 8'!$G228))</f>
        <v/>
      </c>
    </row>
    <row r="7792" spans="1:8" x14ac:dyDescent="0.3">
      <c r="A7792" t="s">
        <v>2096</v>
      </c>
      <c r="B7792" t="s">
        <v>2097</v>
      </c>
      <c r="C7792">
        <v>73</v>
      </c>
      <c r="D7792" t="s">
        <v>1447</v>
      </c>
      <c r="E7792" t="s">
        <v>1972</v>
      </c>
      <c r="F7792" t="s">
        <v>1748</v>
      </c>
      <c r="H7792" s="165" t="str">
        <f>IF(ISBLANK('Q 8'!$G229),"",IF('Q 8'!$G229="&lt;please select&gt;","",'Q 8'!$G229))</f>
        <v/>
      </c>
    </row>
    <row r="7793" spans="1:8" x14ac:dyDescent="0.3">
      <c r="A7793" t="s">
        <v>2096</v>
      </c>
      <c r="B7793" t="s">
        <v>2097</v>
      </c>
      <c r="C7793">
        <v>74</v>
      </c>
      <c r="D7793" t="s">
        <v>1447</v>
      </c>
      <c r="E7793" t="s">
        <v>1972</v>
      </c>
      <c r="F7793" t="s">
        <v>1748</v>
      </c>
      <c r="H7793" s="165" t="str">
        <f>IF(ISBLANK('Q 8'!$G230),"",IF('Q 8'!$G230="&lt;please select&gt;","",'Q 8'!$G230))</f>
        <v/>
      </c>
    </row>
    <row r="7794" spans="1:8" x14ac:dyDescent="0.3">
      <c r="A7794" t="s">
        <v>2096</v>
      </c>
      <c r="B7794" t="s">
        <v>2097</v>
      </c>
      <c r="C7794">
        <v>75</v>
      </c>
      <c r="D7794" t="s">
        <v>1447</v>
      </c>
      <c r="E7794" t="s">
        <v>1972</v>
      </c>
      <c r="F7794" t="s">
        <v>1748</v>
      </c>
      <c r="H7794" s="165" t="str">
        <f>IF(ISBLANK('Q 8'!$G231),"",IF('Q 8'!$G231="&lt;please select&gt;","",'Q 8'!$G231))</f>
        <v/>
      </c>
    </row>
    <row r="7795" spans="1:8" x14ac:dyDescent="0.3">
      <c r="A7795" t="s">
        <v>2096</v>
      </c>
      <c r="B7795" t="s">
        <v>2097</v>
      </c>
      <c r="C7795">
        <v>76</v>
      </c>
      <c r="D7795" t="s">
        <v>1447</v>
      </c>
      <c r="E7795" t="s">
        <v>1972</v>
      </c>
      <c r="F7795" t="s">
        <v>1748</v>
      </c>
      <c r="H7795" s="165" t="str">
        <f>IF(ISBLANK('Q 8'!$G232),"",IF('Q 8'!$G232="&lt;please select&gt;","",'Q 8'!$G232))</f>
        <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
      </c>
    </row>
    <row r="7801" spans="1:8" x14ac:dyDescent="0.3">
      <c r="A7801" t="s">
        <v>2096</v>
      </c>
      <c r="B7801" t="s">
        <v>2097</v>
      </c>
      <c r="C7801">
        <v>2</v>
      </c>
      <c r="D7801" t="s">
        <v>1447</v>
      </c>
      <c r="E7801" t="s">
        <v>2094</v>
      </c>
      <c r="F7801" t="s">
        <v>1748</v>
      </c>
      <c r="H7801" s="165" t="str">
        <f>IF(ISBLANK('Q 8'!$H158),"",IF('Q 8'!$H158="&lt;please select&gt;","",'Q 8'!$H158))</f>
        <v/>
      </c>
    </row>
    <row r="7802" spans="1:8" x14ac:dyDescent="0.3">
      <c r="A7802" t="s">
        <v>2096</v>
      </c>
      <c r="B7802" t="s">
        <v>2097</v>
      </c>
      <c r="C7802">
        <v>3</v>
      </c>
      <c r="D7802" t="s">
        <v>1447</v>
      </c>
      <c r="E7802" t="s">
        <v>2094</v>
      </c>
      <c r="F7802" t="s">
        <v>1748</v>
      </c>
      <c r="H7802" s="165" t="str">
        <f>IF(ISBLANK('Q 8'!$H159),"",IF('Q 8'!$H159="&lt;please select&gt;","",'Q 8'!$H159))</f>
        <v/>
      </c>
    </row>
    <row r="7803" spans="1:8" x14ac:dyDescent="0.3">
      <c r="A7803" t="s">
        <v>2096</v>
      </c>
      <c r="B7803" t="s">
        <v>2097</v>
      </c>
      <c r="C7803">
        <v>4</v>
      </c>
      <c r="D7803" t="s">
        <v>1447</v>
      </c>
      <c r="E7803" t="s">
        <v>2094</v>
      </c>
      <c r="F7803" t="s">
        <v>1748</v>
      </c>
      <c r="H7803" s="165" t="str">
        <f>IF(ISBLANK('Q 8'!$H160),"",IF('Q 8'!$H160="&lt;please select&gt;","",'Q 8'!$H160))</f>
        <v/>
      </c>
    </row>
    <row r="7804" spans="1:8" x14ac:dyDescent="0.3">
      <c r="A7804" t="s">
        <v>2096</v>
      </c>
      <c r="B7804" t="s">
        <v>2097</v>
      </c>
      <c r="C7804">
        <v>5</v>
      </c>
      <c r="D7804" t="s">
        <v>1447</v>
      </c>
      <c r="E7804" t="s">
        <v>2094</v>
      </c>
      <c r="F7804" t="s">
        <v>1748</v>
      </c>
      <c r="H7804" s="165" t="str">
        <f>IF(ISBLANK('Q 8'!$H161),"",IF('Q 8'!$H161="&lt;please select&gt;","",'Q 8'!$H161))</f>
        <v/>
      </c>
    </row>
    <row r="7805" spans="1:8" x14ac:dyDescent="0.3">
      <c r="A7805" t="s">
        <v>2096</v>
      </c>
      <c r="B7805" t="s">
        <v>2097</v>
      </c>
      <c r="C7805">
        <v>6</v>
      </c>
      <c r="D7805" t="s">
        <v>1447</v>
      </c>
      <c r="E7805" t="s">
        <v>2094</v>
      </c>
      <c r="F7805" t="s">
        <v>1748</v>
      </c>
      <c r="H7805" s="165" t="str">
        <f>IF(ISBLANK('Q 8'!$H162),"",IF('Q 8'!$H162="&lt;please select&gt;","",'Q 8'!$H162))</f>
        <v/>
      </c>
    </row>
    <row r="7806" spans="1:8" x14ac:dyDescent="0.3">
      <c r="A7806" t="s">
        <v>2096</v>
      </c>
      <c r="B7806" t="s">
        <v>2097</v>
      </c>
      <c r="C7806">
        <v>7</v>
      </c>
      <c r="D7806" t="s">
        <v>1447</v>
      </c>
      <c r="E7806" t="s">
        <v>2094</v>
      </c>
      <c r="F7806" t="s">
        <v>1748</v>
      </c>
      <c r="H7806" s="165" t="str">
        <f>IF(ISBLANK('Q 8'!$H163),"",IF('Q 8'!$H163="&lt;please select&gt;","",'Q 8'!$H163))</f>
        <v/>
      </c>
    </row>
    <row r="7807" spans="1:8" x14ac:dyDescent="0.3">
      <c r="A7807" t="s">
        <v>2096</v>
      </c>
      <c r="B7807" t="s">
        <v>2097</v>
      </c>
      <c r="C7807">
        <v>8</v>
      </c>
      <c r="D7807" t="s">
        <v>1447</v>
      </c>
      <c r="E7807" t="s">
        <v>2094</v>
      </c>
      <c r="F7807" t="s">
        <v>1748</v>
      </c>
      <c r="H7807" s="165" t="str">
        <f>IF(ISBLANK('Q 8'!$H164),"",IF('Q 8'!$H164="&lt;please select&gt;","",'Q 8'!$H164))</f>
        <v/>
      </c>
    </row>
    <row r="7808" spans="1:8" x14ac:dyDescent="0.3">
      <c r="A7808" t="s">
        <v>2096</v>
      </c>
      <c r="B7808" t="s">
        <v>2097</v>
      </c>
      <c r="C7808">
        <v>9</v>
      </c>
      <c r="D7808" t="s">
        <v>1447</v>
      </c>
      <c r="E7808" t="s">
        <v>2094</v>
      </c>
      <c r="F7808" t="s">
        <v>1748</v>
      </c>
      <c r="H7808" s="165" t="str">
        <f>IF(ISBLANK('Q 8'!$H165),"",IF('Q 8'!$H165="&lt;please select&gt;","",'Q 8'!$H165))</f>
        <v/>
      </c>
    </row>
    <row r="7809" spans="1:8" x14ac:dyDescent="0.3">
      <c r="A7809" t="s">
        <v>2096</v>
      </c>
      <c r="B7809" t="s">
        <v>2097</v>
      </c>
      <c r="C7809">
        <v>10</v>
      </c>
      <c r="D7809" t="s">
        <v>1447</v>
      </c>
      <c r="E7809" t="s">
        <v>2094</v>
      </c>
      <c r="F7809" t="s">
        <v>1748</v>
      </c>
      <c r="H7809" s="165" t="str">
        <f>IF(ISBLANK('Q 8'!$H166),"",IF('Q 8'!$H166="&lt;please select&gt;","",'Q 8'!$H166))</f>
        <v/>
      </c>
    </row>
    <row r="7810" spans="1:8" x14ac:dyDescent="0.3">
      <c r="A7810" t="s">
        <v>2096</v>
      </c>
      <c r="B7810" t="s">
        <v>2097</v>
      </c>
      <c r="C7810">
        <v>11</v>
      </c>
      <c r="D7810" t="s">
        <v>1447</v>
      </c>
      <c r="E7810" t="s">
        <v>2094</v>
      </c>
      <c r="F7810" t="s">
        <v>1748</v>
      </c>
      <c r="H7810" s="165" t="str">
        <f>IF(ISBLANK('Q 8'!$H167),"",IF('Q 8'!$H167="&lt;please select&gt;","",'Q 8'!$H167))</f>
        <v/>
      </c>
    </row>
    <row r="7811" spans="1:8" x14ac:dyDescent="0.3">
      <c r="A7811" t="s">
        <v>2096</v>
      </c>
      <c r="B7811" t="s">
        <v>2097</v>
      </c>
      <c r="C7811">
        <v>12</v>
      </c>
      <c r="D7811" t="s">
        <v>1447</v>
      </c>
      <c r="E7811" t="s">
        <v>2094</v>
      </c>
      <c r="F7811" t="s">
        <v>1748</v>
      </c>
      <c r="H7811" s="165" t="str">
        <f>IF(ISBLANK('Q 8'!$H168),"",IF('Q 8'!$H168="&lt;please select&gt;","",'Q 8'!$H168))</f>
        <v/>
      </c>
    </row>
    <row r="7812" spans="1:8" x14ac:dyDescent="0.3">
      <c r="A7812" t="s">
        <v>2096</v>
      </c>
      <c r="B7812" t="s">
        <v>2097</v>
      </c>
      <c r="C7812">
        <v>13</v>
      </c>
      <c r="D7812" t="s">
        <v>1447</v>
      </c>
      <c r="E7812" t="s">
        <v>2094</v>
      </c>
      <c r="F7812" t="s">
        <v>1748</v>
      </c>
      <c r="H7812" s="165" t="str">
        <f>IF(ISBLANK('Q 8'!$H169),"",IF('Q 8'!$H169="&lt;please select&gt;","",'Q 8'!$H169))</f>
        <v/>
      </c>
    </row>
    <row r="7813" spans="1:8" x14ac:dyDescent="0.3">
      <c r="A7813" t="s">
        <v>2096</v>
      </c>
      <c r="B7813" t="s">
        <v>2097</v>
      </c>
      <c r="C7813">
        <v>14</v>
      </c>
      <c r="D7813" t="s">
        <v>1447</v>
      </c>
      <c r="E7813" t="s">
        <v>2094</v>
      </c>
      <c r="F7813" t="s">
        <v>1748</v>
      </c>
      <c r="H7813" s="165" t="str">
        <f>IF(ISBLANK('Q 8'!$H170),"",IF('Q 8'!$H170="&lt;please select&gt;","",'Q 8'!$H170))</f>
        <v/>
      </c>
    </row>
    <row r="7814" spans="1:8" x14ac:dyDescent="0.3">
      <c r="A7814" t="s">
        <v>2096</v>
      </c>
      <c r="B7814" t="s">
        <v>2097</v>
      </c>
      <c r="C7814">
        <v>15</v>
      </c>
      <c r="D7814" t="s">
        <v>1447</v>
      </c>
      <c r="E7814" t="s">
        <v>2094</v>
      </c>
      <c r="F7814" t="s">
        <v>1748</v>
      </c>
      <c r="H7814" s="165" t="str">
        <f>IF(ISBLANK('Q 8'!$H171),"",IF('Q 8'!$H171="&lt;please select&gt;","",'Q 8'!$H171))</f>
        <v/>
      </c>
    </row>
    <row r="7815" spans="1:8" x14ac:dyDescent="0.3">
      <c r="A7815" t="s">
        <v>2096</v>
      </c>
      <c r="B7815" t="s">
        <v>2097</v>
      </c>
      <c r="C7815">
        <v>16</v>
      </c>
      <c r="D7815" t="s">
        <v>1447</v>
      </c>
      <c r="E7815" t="s">
        <v>2094</v>
      </c>
      <c r="F7815" t="s">
        <v>1748</v>
      </c>
      <c r="H7815" s="165" t="str">
        <f>IF(ISBLANK('Q 8'!$H172),"",IF('Q 8'!$H172="&lt;please select&gt;","",'Q 8'!$H172))</f>
        <v/>
      </c>
    </row>
    <row r="7816" spans="1:8" x14ac:dyDescent="0.3">
      <c r="A7816" t="s">
        <v>2096</v>
      </c>
      <c r="B7816" t="s">
        <v>2097</v>
      </c>
      <c r="C7816">
        <v>17</v>
      </c>
      <c r="D7816" t="s">
        <v>1447</v>
      </c>
      <c r="E7816" t="s">
        <v>2094</v>
      </c>
      <c r="F7816" t="s">
        <v>1748</v>
      </c>
      <c r="H7816" s="165" t="str">
        <f>IF(ISBLANK('Q 8'!$H173),"",IF('Q 8'!$H173="&lt;please select&gt;","",'Q 8'!$H173))</f>
        <v/>
      </c>
    </row>
    <row r="7817" spans="1:8" x14ac:dyDescent="0.3">
      <c r="A7817" t="s">
        <v>2096</v>
      </c>
      <c r="B7817" t="s">
        <v>2097</v>
      </c>
      <c r="C7817">
        <v>18</v>
      </c>
      <c r="D7817" t="s">
        <v>1447</v>
      </c>
      <c r="E7817" t="s">
        <v>2094</v>
      </c>
      <c r="F7817" t="s">
        <v>1748</v>
      </c>
      <c r="H7817" s="165" t="str">
        <f>IF(ISBLANK('Q 8'!$H174),"",IF('Q 8'!$H174="&lt;please select&gt;","",'Q 8'!$H174))</f>
        <v/>
      </c>
    </row>
    <row r="7818" spans="1:8" x14ac:dyDescent="0.3">
      <c r="A7818" t="s">
        <v>2096</v>
      </c>
      <c r="B7818" t="s">
        <v>2097</v>
      </c>
      <c r="C7818">
        <v>19</v>
      </c>
      <c r="D7818" t="s">
        <v>1447</v>
      </c>
      <c r="E7818" t="s">
        <v>2094</v>
      </c>
      <c r="F7818" t="s">
        <v>1748</v>
      </c>
      <c r="H7818" s="165" t="str">
        <f>IF(ISBLANK('Q 8'!$H175),"",IF('Q 8'!$H175="&lt;please select&gt;","",'Q 8'!$H175))</f>
        <v/>
      </c>
    </row>
    <row r="7819" spans="1:8" x14ac:dyDescent="0.3">
      <c r="A7819" t="s">
        <v>2096</v>
      </c>
      <c r="B7819" t="s">
        <v>2097</v>
      </c>
      <c r="C7819">
        <v>20</v>
      </c>
      <c r="D7819" t="s">
        <v>1447</v>
      </c>
      <c r="E7819" t="s">
        <v>2094</v>
      </c>
      <c r="F7819" t="s">
        <v>1748</v>
      </c>
      <c r="H7819" s="165" t="str">
        <f>IF(ISBLANK('Q 8'!$H176),"",IF('Q 8'!$H176="&lt;please select&gt;","",'Q 8'!$H176))</f>
        <v/>
      </c>
    </row>
    <row r="7820" spans="1:8" x14ac:dyDescent="0.3">
      <c r="A7820" t="s">
        <v>2096</v>
      </c>
      <c r="B7820" t="s">
        <v>2097</v>
      </c>
      <c r="C7820">
        <v>21</v>
      </c>
      <c r="D7820" t="s">
        <v>1447</v>
      </c>
      <c r="E7820" t="s">
        <v>2094</v>
      </c>
      <c r="F7820" t="s">
        <v>1748</v>
      </c>
      <c r="H7820" s="165" t="str">
        <f>IF(ISBLANK('Q 8'!$H177),"",IF('Q 8'!$H177="&lt;please select&gt;","",'Q 8'!$H177))</f>
        <v/>
      </c>
    </row>
    <row r="7821" spans="1:8" x14ac:dyDescent="0.3">
      <c r="A7821" t="s">
        <v>2096</v>
      </c>
      <c r="B7821" t="s">
        <v>2097</v>
      </c>
      <c r="C7821">
        <v>22</v>
      </c>
      <c r="D7821" t="s">
        <v>1447</v>
      </c>
      <c r="E7821" t="s">
        <v>2094</v>
      </c>
      <c r="F7821" t="s">
        <v>1748</v>
      </c>
      <c r="H7821" s="165" t="str">
        <f>IF(ISBLANK('Q 8'!$H178),"",IF('Q 8'!$H178="&lt;please select&gt;","",'Q 8'!$H178))</f>
        <v/>
      </c>
    </row>
    <row r="7822" spans="1:8" x14ac:dyDescent="0.3">
      <c r="A7822" t="s">
        <v>2096</v>
      </c>
      <c r="B7822" t="s">
        <v>2097</v>
      </c>
      <c r="C7822">
        <v>23</v>
      </c>
      <c r="D7822" t="s">
        <v>1447</v>
      </c>
      <c r="E7822" t="s">
        <v>2094</v>
      </c>
      <c r="F7822" t="s">
        <v>1748</v>
      </c>
      <c r="H7822" s="165" t="str">
        <f>IF(ISBLANK('Q 8'!$H179),"",IF('Q 8'!$H179="&lt;please select&gt;","",'Q 8'!$H179))</f>
        <v/>
      </c>
    </row>
    <row r="7823" spans="1:8" x14ac:dyDescent="0.3">
      <c r="A7823" t="s">
        <v>2096</v>
      </c>
      <c r="B7823" t="s">
        <v>2097</v>
      </c>
      <c r="C7823">
        <v>24</v>
      </c>
      <c r="D7823" t="s">
        <v>1447</v>
      </c>
      <c r="E7823" t="s">
        <v>2094</v>
      </c>
      <c r="F7823" t="s">
        <v>1748</v>
      </c>
      <c r="H7823" s="165" t="str">
        <f>IF(ISBLANK('Q 8'!$H180),"",IF('Q 8'!$H180="&lt;please select&gt;","",'Q 8'!$H180))</f>
        <v/>
      </c>
    </row>
    <row r="7824" spans="1:8" x14ac:dyDescent="0.3">
      <c r="A7824" t="s">
        <v>2096</v>
      </c>
      <c r="B7824" t="s">
        <v>2097</v>
      </c>
      <c r="C7824">
        <v>25</v>
      </c>
      <c r="D7824" t="s">
        <v>1447</v>
      </c>
      <c r="E7824" t="s">
        <v>2094</v>
      </c>
      <c r="F7824" t="s">
        <v>1748</v>
      </c>
      <c r="H7824" s="165" t="str">
        <f>IF(ISBLANK('Q 8'!$H181),"",IF('Q 8'!$H181="&lt;please select&gt;","",'Q 8'!$H181))</f>
        <v/>
      </c>
    </row>
    <row r="7825" spans="1:8" x14ac:dyDescent="0.3">
      <c r="A7825" t="s">
        <v>2096</v>
      </c>
      <c r="B7825" t="s">
        <v>2097</v>
      </c>
      <c r="C7825">
        <v>26</v>
      </c>
      <c r="D7825" t="s">
        <v>1447</v>
      </c>
      <c r="E7825" t="s">
        <v>2094</v>
      </c>
      <c r="F7825" t="s">
        <v>1748</v>
      </c>
      <c r="H7825" s="165" t="str">
        <f>IF(ISBLANK('Q 8'!$H182),"",IF('Q 8'!$H182="&lt;please select&gt;","",'Q 8'!$H182))</f>
        <v/>
      </c>
    </row>
    <row r="7826" spans="1:8" x14ac:dyDescent="0.3">
      <c r="A7826" t="s">
        <v>2096</v>
      </c>
      <c r="B7826" t="s">
        <v>2097</v>
      </c>
      <c r="C7826">
        <v>27</v>
      </c>
      <c r="D7826" t="s">
        <v>1447</v>
      </c>
      <c r="E7826" t="s">
        <v>2094</v>
      </c>
      <c r="F7826" t="s">
        <v>1748</v>
      </c>
      <c r="H7826" s="165" t="str">
        <f>IF(ISBLANK('Q 8'!$H183),"",IF('Q 8'!$H183="&lt;please select&gt;","",'Q 8'!$H183))</f>
        <v/>
      </c>
    </row>
    <row r="7827" spans="1:8" x14ac:dyDescent="0.3">
      <c r="A7827" t="s">
        <v>2096</v>
      </c>
      <c r="B7827" t="s">
        <v>2097</v>
      </c>
      <c r="C7827">
        <v>28</v>
      </c>
      <c r="D7827" t="s">
        <v>1447</v>
      </c>
      <c r="E7827" t="s">
        <v>2094</v>
      </c>
      <c r="F7827" t="s">
        <v>1748</v>
      </c>
      <c r="H7827" s="165" t="str">
        <f>IF(ISBLANK('Q 8'!$H184),"",IF('Q 8'!$H184="&lt;please select&gt;","",'Q 8'!$H184))</f>
        <v/>
      </c>
    </row>
    <row r="7828" spans="1:8" x14ac:dyDescent="0.3">
      <c r="A7828" t="s">
        <v>2096</v>
      </c>
      <c r="B7828" t="s">
        <v>2097</v>
      </c>
      <c r="C7828">
        <v>29</v>
      </c>
      <c r="D7828" t="s">
        <v>1447</v>
      </c>
      <c r="E7828" t="s">
        <v>2094</v>
      </c>
      <c r="F7828" t="s">
        <v>1748</v>
      </c>
      <c r="H7828" s="165" t="str">
        <f>IF(ISBLANK('Q 8'!$H185),"",IF('Q 8'!$H185="&lt;please select&gt;","",'Q 8'!$H185))</f>
        <v/>
      </c>
    </row>
    <row r="7829" spans="1:8" x14ac:dyDescent="0.3">
      <c r="A7829" t="s">
        <v>2096</v>
      </c>
      <c r="B7829" t="s">
        <v>2097</v>
      </c>
      <c r="C7829">
        <v>30</v>
      </c>
      <c r="D7829" t="s">
        <v>1447</v>
      </c>
      <c r="E7829" t="s">
        <v>2094</v>
      </c>
      <c r="F7829" t="s">
        <v>1748</v>
      </c>
      <c r="H7829" s="165" t="str">
        <f>IF(ISBLANK('Q 8'!$H186),"",IF('Q 8'!$H186="&lt;please select&gt;","",'Q 8'!$H186))</f>
        <v/>
      </c>
    </row>
    <row r="7830" spans="1:8" x14ac:dyDescent="0.3">
      <c r="A7830" t="s">
        <v>2096</v>
      </c>
      <c r="B7830" t="s">
        <v>2097</v>
      </c>
      <c r="C7830">
        <v>31</v>
      </c>
      <c r="D7830" t="s">
        <v>1447</v>
      </c>
      <c r="E7830" t="s">
        <v>2094</v>
      </c>
      <c r="F7830" t="s">
        <v>1748</v>
      </c>
      <c r="H7830" s="165" t="str">
        <f>IF(ISBLANK('Q 8'!$H187),"",IF('Q 8'!$H187="&lt;please select&gt;","",'Q 8'!$H187))</f>
        <v/>
      </c>
    </row>
    <row r="7831" spans="1:8" x14ac:dyDescent="0.3">
      <c r="A7831" t="s">
        <v>2096</v>
      </c>
      <c r="B7831" t="s">
        <v>2097</v>
      </c>
      <c r="C7831">
        <v>32</v>
      </c>
      <c r="D7831" t="s">
        <v>1447</v>
      </c>
      <c r="E7831" t="s">
        <v>2094</v>
      </c>
      <c r="F7831" t="s">
        <v>1748</v>
      </c>
      <c r="H7831" s="165" t="str">
        <f>IF(ISBLANK('Q 8'!$H188),"",IF('Q 8'!$H188="&lt;please select&gt;","",'Q 8'!$H188))</f>
        <v/>
      </c>
    </row>
    <row r="7832" spans="1:8" x14ac:dyDescent="0.3">
      <c r="A7832" t="s">
        <v>2096</v>
      </c>
      <c r="B7832" t="s">
        <v>2097</v>
      </c>
      <c r="C7832">
        <v>33</v>
      </c>
      <c r="D7832" t="s">
        <v>1447</v>
      </c>
      <c r="E7832" t="s">
        <v>2094</v>
      </c>
      <c r="F7832" t="s">
        <v>1748</v>
      </c>
      <c r="H7832" s="165" t="str">
        <f>IF(ISBLANK('Q 8'!$H189),"",IF('Q 8'!$H189="&lt;please select&gt;","",'Q 8'!$H189))</f>
        <v/>
      </c>
    </row>
    <row r="7833" spans="1:8" x14ac:dyDescent="0.3">
      <c r="A7833" t="s">
        <v>2096</v>
      </c>
      <c r="B7833" t="s">
        <v>2097</v>
      </c>
      <c r="C7833">
        <v>34</v>
      </c>
      <c r="D7833" t="s">
        <v>1447</v>
      </c>
      <c r="E7833" t="s">
        <v>2094</v>
      </c>
      <c r="F7833" t="s">
        <v>1748</v>
      </c>
      <c r="H7833" s="165" t="str">
        <f>IF(ISBLANK('Q 8'!$H190),"",IF('Q 8'!$H190="&lt;please select&gt;","",'Q 8'!$H190))</f>
        <v/>
      </c>
    </row>
    <row r="7834" spans="1:8" x14ac:dyDescent="0.3">
      <c r="A7834" t="s">
        <v>2096</v>
      </c>
      <c r="B7834" t="s">
        <v>2097</v>
      </c>
      <c r="C7834">
        <v>35</v>
      </c>
      <c r="D7834" t="s">
        <v>1447</v>
      </c>
      <c r="E7834" t="s">
        <v>2094</v>
      </c>
      <c r="F7834" t="s">
        <v>1748</v>
      </c>
      <c r="H7834" s="165" t="str">
        <f>IF(ISBLANK('Q 8'!$H191),"",IF('Q 8'!$H191="&lt;please select&gt;","",'Q 8'!$H191))</f>
        <v/>
      </c>
    </row>
    <row r="7835" spans="1:8" x14ac:dyDescent="0.3">
      <c r="A7835" t="s">
        <v>2096</v>
      </c>
      <c r="B7835" t="s">
        <v>2097</v>
      </c>
      <c r="C7835">
        <v>36</v>
      </c>
      <c r="D7835" t="s">
        <v>1447</v>
      </c>
      <c r="E7835" t="s">
        <v>2094</v>
      </c>
      <c r="F7835" t="s">
        <v>1748</v>
      </c>
      <c r="H7835" s="165" t="str">
        <f>IF(ISBLANK('Q 8'!$H192),"",IF('Q 8'!$H192="&lt;please select&gt;","",'Q 8'!$H192))</f>
        <v/>
      </c>
    </row>
    <row r="7836" spans="1:8" x14ac:dyDescent="0.3">
      <c r="A7836" t="s">
        <v>2096</v>
      </c>
      <c r="B7836" t="s">
        <v>2097</v>
      </c>
      <c r="C7836">
        <v>37</v>
      </c>
      <c r="D7836" t="s">
        <v>1447</v>
      </c>
      <c r="E7836" t="s">
        <v>2094</v>
      </c>
      <c r="F7836" t="s">
        <v>1748</v>
      </c>
      <c r="H7836" s="165" t="str">
        <f>IF(ISBLANK('Q 8'!$H193),"",IF('Q 8'!$H193="&lt;please select&gt;","",'Q 8'!$H193))</f>
        <v/>
      </c>
    </row>
    <row r="7837" spans="1:8" x14ac:dyDescent="0.3">
      <c r="A7837" t="s">
        <v>2096</v>
      </c>
      <c r="B7837" t="s">
        <v>2097</v>
      </c>
      <c r="C7837">
        <v>38</v>
      </c>
      <c r="D7837" t="s">
        <v>1447</v>
      </c>
      <c r="E7837" t="s">
        <v>2094</v>
      </c>
      <c r="F7837" t="s">
        <v>1748</v>
      </c>
      <c r="H7837" s="165" t="str">
        <f>IF(ISBLANK('Q 8'!$H194),"",IF('Q 8'!$H194="&lt;please select&gt;","",'Q 8'!$H194))</f>
        <v/>
      </c>
    </row>
    <row r="7838" spans="1:8" x14ac:dyDescent="0.3">
      <c r="A7838" t="s">
        <v>2096</v>
      </c>
      <c r="B7838" t="s">
        <v>2097</v>
      </c>
      <c r="C7838">
        <v>39</v>
      </c>
      <c r="D7838" t="s">
        <v>1447</v>
      </c>
      <c r="E7838" t="s">
        <v>2094</v>
      </c>
      <c r="F7838" t="s">
        <v>1748</v>
      </c>
      <c r="H7838" s="165" t="str">
        <f>IF(ISBLANK('Q 8'!$H195),"",IF('Q 8'!$H195="&lt;please select&gt;","",'Q 8'!$H195))</f>
        <v/>
      </c>
    </row>
    <row r="7839" spans="1:8" x14ac:dyDescent="0.3">
      <c r="A7839" t="s">
        <v>2096</v>
      </c>
      <c r="B7839" t="s">
        <v>2097</v>
      </c>
      <c r="C7839">
        <v>40</v>
      </c>
      <c r="D7839" t="s">
        <v>1447</v>
      </c>
      <c r="E7839" t="s">
        <v>2094</v>
      </c>
      <c r="F7839" t="s">
        <v>1748</v>
      </c>
      <c r="H7839" s="165" t="str">
        <f>IF(ISBLANK('Q 8'!$H196),"",IF('Q 8'!$H196="&lt;please select&gt;","",'Q 8'!$H196))</f>
        <v/>
      </c>
    </row>
    <row r="7840" spans="1:8" x14ac:dyDescent="0.3">
      <c r="A7840" t="s">
        <v>2096</v>
      </c>
      <c r="B7840" t="s">
        <v>2097</v>
      </c>
      <c r="C7840">
        <v>41</v>
      </c>
      <c r="D7840" t="s">
        <v>1447</v>
      </c>
      <c r="E7840" t="s">
        <v>2094</v>
      </c>
      <c r="F7840" t="s">
        <v>1748</v>
      </c>
      <c r="H7840" s="165" t="str">
        <f>IF(ISBLANK('Q 8'!$H197),"",IF('Q 8'!$H197="&lt;please select&gt;","",'Q 8'!$H197))</f>
        <v/>
      </c>
    </row>
    <row r="7841" spans="1:8" x14ac:dyDescent="0.3">
      <c r="A7841" t="s">
        <v>2096</v>
      </c>
      <c r="B7841" t="s">
        <v>2097</v>
      </c>
      <c r="C7841">
        <v>42</v>
      </c>
      <c r="D7841" t="s">
        <v>1447</v>
      </c>
      <c r="E7841" t="s">
        <v>2094</v>
      </c>
      <c r="F7841" t="s">
        <v>1748</v>
      </c>
      <c r="H7841" s="165" t="str">
        <f>IF(ISBLANK('Q 8'!$H198),"",IF('Q 8'!$H198="&lt;please select&gt;","",'Q 8'!$H198))</f>
        <v/>
      </c>
    </row>
    <row r="7842" spans="1:8" x14ac:dyDescent="0.3">
      <c r="A7842" t="s">
        <v>2096</v>
      </c>
      <c r="B7842" t="s">
        <v>2097</v>
      </c>
      <c r="C7842">
        <v>43</v>
      </c>
      <c r="D7842" t="s">
        <v>1447</v>
      </c>
      <c r="E7842" t="s">
        <v>2094</v>
      </c>
      <c r="F7842" t="s">
        <v>1748</v>
      </c>
      <c r="H7842" s="165" t="str">
        <f>IF(ISBLANK('Q 8'!$H199),"",IF('Q 8'!$H199="&lt;please select&gt;","",'Q 8'!$H199))</f>
        <v/>
      </c>
    </row>
    <row r="7843" spans="1:8" x14ac:dyDescent="0.3">
      <c r="A7843" t="s">
        <v>2096</v>
      </c>
      <c r="B7843" t="s">
        <v>2097</v>
      </c>
      <c r="C7843">
        <v>44</v>
      </c>
      <c r="D7843" t="s">
        <v>1447</v>
      </c>
      <c r="E7843" t="s">
        <v>2094</v>
      </c>
      <c r="F7843" t="s">
        <v>1748</v>
      </c>
      <c r="H7843" s="165" t="str">
        <f>IF(ISBLANK('Q 8'!$H200),"",IF('Q 8'!$H200="&lt;please select&gt;","",'Q 8'!$H200))</f>
        <v/>
      </c>
    </row>
    <row r="7844" spans="1:8" x14ac:dyDescent="0.3">
      <c r="A7844" t="s">
        <v>2096</v>
      </c>
      <c r="B7844" t="s">
        <v>2097</v>
      </c>
      <c r="C7844">
        <v>45</v>
      </c>
      <c r="D7844" t="s">
        <v>1447</v>
      </c>
      <c r="E7844" t="s">
        <v>2094</v>
      </c>
      <c r="F7844" t="s">
        <v>1748</v>
      </c>
      <c r="H7844" s="165" t="str">
        <f>IF(ISBLANK('Q 8'!$H201),"",IF('Q 8'!$H201="&lt;please select&gt;","",'Q 8'!$H201))</f>
        <v/>
      </c>
    </row>
    <row r="7845" spans="1:8" x14ac:dyDescent="0.3">
      <c r="A7845" t="s">
        <v>2096</v>
      </c>
      <c r="B7845" t="s">
        <v>2097</v>
      </c>
      <c r="C7845">
        <v>46</v>
      </c>
      <c r="D7845" t="s">
        <v>1447</v>
      </c>
      <c r="E7845" t="s">
        <v>2094</v>
      </c>
      <c r="F7845" t="s">
        <v>1748</v>
      </c>
      <c r="H7845" s="165" t="str">
        <f>IF(ISBLANK('Q 8'!$H202),"",IF('Q 8'!$H202="&lt;please select&gt;","",'Q 8'!$H202))</f>
        <v/>
      </c>
    </row>
    <row r="7846" spans="1:8" x14ac:dyDescent="0.3">
      <c r="A7846" t="s">
        <v>2096</v>
      </c>
      <c r="B7846" t="s">
        <v>2097</v>
      </c>
      <c r="C7846">
        <v>47</v>
      </c>
      <c r="D7846" t="s">
        <v>1447</v>
      </c>
      <c r="E7846" t="s">
        <v>2094</v>
      </c>
      <c r="F7846" t="s">
        <v>1748</v>
      </c>
      <c r="H7846" s="165" t="str">
        <f>IF(ISBLANK('Q 8'!$H203),"",IF('Q 8'!$H203="&lt;please select&gt;","",'Q 8'!$H203))</f>
        <v/>
      </c>
    </row>
    <row r="7847" spans="1:8" x14ac:dyDescent="0.3">
      <c r="A7847" t="s">
        <v>2096</v>
      </c>
      <c r="B7847" t="s">
        <v>2097</v>
      </c>
      <c r="C7847">
        <v>48</v>
      </c>
      <c r="D7847" t="s">
        <v>1447</v>
      </c>
      <c r="E7847" t="s">
        <v>2094</v>
      </c>
      <c r="F7847" t="s">
        <v>1748</v>
      </c>
      <c r="H7847" s="165" t="str">
        <f>IF(ISBLANK('Q 8'!$H204),"",IF('Q 8'!$H204="&lt;please select&gt;","",'Q 8'!$H204))</f>
        <v/>
      </c>
    </row>
    <row r="7848" spans="1:8" x14ac:dyDescent="0.3">
      <c r="A7848" t="s">
        <v>2096</v>
      </c>
      <c r="B7848" t="s">
        <v>2097</v>
      </c>
      <c r="C7848">
        <v>49</v>
      </c>
      <c r="D7848" t="s">
        <v>1447</v>
      </c>
      <c r="E7848" t="s">
        <v>2094</v>
      </c>
      <c r="F7848" t="s">
        <v>1748</v>
      </c>
      <c r="H7848" s="165" t="str">
        <f>IF(ISBLANK('Q 8'!$H205),"",IF('Q 8'!$H205="&lt;please select&gt;","",'Q 8'!$H205))</f>
        <v/>
      </c>
    </row>
    <row r="7849" spans="1:8" x14ac:dyDescent="0.3">
      <c r="A7849" t="s">
        <v>2096</v>
      </c>
      <c r="B7849" t="s">
        <v>2097</v>
      </c>
      <c r="C7849">
        <v>50</v>
      </c>
      <c r="D7849" t="s">
        <v>1447</v>
      </c>
      <c r="E7849" t="s">
        <v>2094</v>
      </c>
      <c r="F7849" t="s">
        <v>1748</v>
      </c>
      <c r="H7849" s="165" t="str">
        <f>IF(ISBLANK('Q 8'!$H206),"",IF('Q 8'!$H206="&lt;please select&gt;","",'Q 8'!$H206))</f>
        <v/>
      </c>
    </row>
    <row r="7850" spans="1:8" x14ac:dyDescent="0.3">
      <c r="A7850" t="s">
        <v>2096</v>
      </c>
      <c r="B7850" t="s">
        <v>2097</v>
      </c>
      <c r="C7850">
        <v>51</v>
      </c>
      <c r="D7850" t="s">
        <v>1447</v>
      </c>
      <c r="E7850" t="s">
        <v>2094</v>
      </c>
      <c r="F7850" t="s">
        <v>1748</v>
      </c>
      <c r="H7850" s="165" t="str">
        <f>IF(ISBLANK('Q 8'!$H207),"",IF('Q 8'!$H207="&lt;please select&gt;","",'Q 8'!$H207))</f>
        <v/>
      </c>
    </row>
    <row r="7851" spans="1:8" x14ac:dyDescent="0.3">
      <c r="A7851" t="s">
        <v>2096</v>
      </c>
      <c r="B7851" t="s">
        <v>2097</v>
      </c>
      <c r="C7851">
        <v>52</v>
      </c>
      <c r="D7851" t="s">
        <v>1447</v>
      </c>
      <c r="E7851" t="s">
        <v>2094</v>
      </c>
      <c r="F7851" t="s">
        <v>1748</v>
      </c>
      <c r="H7851" s="165" t="str">
        <f>IF(ISBLANK('Q 8'!$H208),"",IF('Q 8'!$H208="&lt;please select&gt;","",'Q 8'!$H208))</f>
        <v/>
      </c>
    </row>
    <row r="7852" spans="1:8" x14ac:dyDescent="0.3">
      <c r="A7852" t="s">
        <v>2096</v>
      </c>
      <c r="B7852" t="s">
        <v>2097</v>
      </c>
      <c r="C7852">
        <v>53</v>
      </c>
      <c r="D7852" t="s">
        <v>1447</v>
      </c>
      <c r="E7852" t="s">
        <v>2094</v>
      </c>
      <c r="F7852" t="s">
        <v>1748</v>
      </c>
      <c r="H7852" s="165" t="str">
        <f>IF(ISBLANK('Q 8'!$H209),"",IF('Q 8'!$H209="&lt;please select&gt;","",'Q 8'!$H209))</f>
        <v/>
      </c>
    </row>
    <row r="7853" spans="1:8" x14ac:dyDescent="0.3">
      <c r="A7853" t="s">
        <v>2096</v>
      </c>
      <c r="B7853" t="s">
        <v>2097</v>
      </c>
      <c r="C7853">
        <v>54</v>
      </c>
      <c r="D7853" t="s">
        <v>1447</v>
      </c>
      <c r="E7853" t="s">
        <v>2094</v>
      </c>
      <c r="F7853" t="s">
        <v>1748</v>
      </c>
      <c r="H7853" s="165" t="str">
        <f>IF(ISBLANK('Q 8'!$H210),"",IF('Q 8'!$H210="&lt;please select&gt;","",'Q 8'!$H210))</f>
        <v/>
      </c>
    </row>
    <row r="7854" spans="1:8" x14ac:dyDescent="0.3">
      <c r="A7854" t="s">
        <v>2096</v>
      </c>
      <c r="B7854" t="s">
        <v>2097</v>
      </c>
      <c r="C7854">
        <v>55</v>
      </c>
      <c r="D7854" t="s">
        <v>1447</v>
      </c>
      <c r="E7854" t="s">
        <v>2094</v>
      </c>
      <c r="F7854" t="s">
        <v>1748</v>
      </c>
      <c r="H7854" s="165" t="str">
        <f>IF(ISBLANK('Q 8'!$H211),"",IF('Q 8'!$H211="&lt;please select&gt;","",'Q 8'!$H211))</f>
        <v/>
      </c>
    </row>
    <row r="7855" spans="1:8" x14ac:dyDescent="0.3">
      <c r="A7855" t="s">
        <v>2096</v>
      </c>
      <c r="B7855" t="s">
        <v>2097</v>
      </c>
      <c r="C7855">
        <v>56</v>
      </c>
      <c r="D7855" t="s">
        <v>1447</v>
      </c>
      <c r="E7855" t="s">
        <v>2094</v>
      </c>
      <c r="F7855" t="s">
        <v>1748</v>
      </c>
      <c r="H7855" s="165" t="str">
        <f>IF(ISBLANK('Q 8'!$H212),"",IF('Q 8'!$H212="&lt;please select&gt;","",'Q 8'!$H212))</f>
        <v/>
      </c>
    </row>
    <row r="7856" spans="1:8" x14ac:dyDescent="0.3">
      <c r="A7856" t="s">
        <v>2096</v>
      </c>
      <c r="B7856" t="s">
        <v>2097</v>
      </c>
      <c r="C7856">
        <v>57</v>
      </c>
      <c r="D7856" t="s">
        <v>1447</v>
      </c>
      <c r="E7856" t="s">
        <v>2094</v>
      </c>
      <c r="F7856" t="s">
        <v>1748</v>
      </c>
      <c r="H7856" s="165" t="str">
        <f>IF(ISBLANK('Q 8'!$H213),"",IF('Q 8'!$H213="&lt;please select&gt;","",'Q 8'!$H213))</f>
        <v/>
      </c>
    </row>
    <row r="7857" spans="1:8" x14ac:dyDescent="0.3">
      <c r="A7857" t="s">
        <v>2096</v>
      </c>
      <c r="B7857" t="s">
        <v>2097</v>
      </c>
      <c r="C7857">
        <v>58</v>
      </c>
      <c r="D7857" t="s">
        <v>1447</v>
      </c>
      <c r="E7857" t="s">
        <v>2094</v>
      </c>
      <c r="F7857" t="s">
        <v>1748</v>
      </c>
      <c r="H7857" s="165" t="str">
        <f>IF(ISBLANK('Q 8'!$H214),"",IF('Q 8'!$H214="&lt;please select&gt;","",'Q 8'!$H214))</f>
        <v/>
      </c>
    </row>
    <row r="7858" spans="1:8" x14ac:dyDescent="0.3">
      <c r="A7858" t="s">
        <v>2096</v>
      </c>
      <c r="B7858" t="s">
        <v>2097</v>
      </c>
      <c r="C7858">
        <v>59</v>
      </c>
      <c r="D7858" t="s">
        <v>1447</v>
      </c>
      <c r="E7858" t="s">
        <v>2094</v>
      </c>
      <c r="F7858" t="s">
        <v>1748</v>
      </c>
      <c r="H7858" s="165" t="str">
        <f>IF(ISBLANK('Q 8'!$H215),"",IF('Q 8'!$H215="&lt;please select&gt;","",'Q 8'!$H215))</f>
        <v/>
      </c>
    </row>
    <row r="7859" spans="1:8" x14ac:dyDescent="0.3">
      <c r="A7859" t="s">
        <v>2096</v>
      </c>
      <c r="B7859" t="s">
        <v>2097</v>
      </c>
      <c r="C7859">
        <v>60</v>
      </c>
      <c r="D7859" t="s">
        <v>1447</v>
      </c>
      <c r="E7859" t="s">
        <v>2094</v>
      </c>
      <c r="F7859" t="s">
        <v>1748</v>
      </c>
      <c r="H7859" s="165" t="str">
        <f>IF(ISBLANK('Q 8'!$H216),"",IF('Q 8'!$H216="&lt;please select&gt;","",'Q 8'!$H216))</f>
        <v/>
      </c>
    </row>
    <row r="7860" spans="1:8" x14ac:dyDescent="0.3">
      <c r="A7860" t="s">
        <v>2096</v>
      </c>
      <c r="B7860" t="s">
        <v>2097</v>
      </c>
      <c r="C7860">
        <v>61</v>
      </c>
      <c r="D7860" t="s">
        <v>1447</v>
      </c>
      <c r="E7860" t="s">
        <v>2094</v>
      </c>
      <c r="F7860" t="s">
        <v>1748</v>
      </c>
      <c r="H7860" s="165" t="str">
        <f>IF(ISBLANK('Q 8'!$H217),"",IF('Q 8'!$H217="&lt;please select&gt;","",'Q 8'!$H217))</f>
        <v/>
      </c>
    </row>
    <row r="7861" spans="1:8" x14ac:dyDescent="0.3">
      <c r="A7861" t="s">
        <v>2096</v>
      </c>
      <c r="B7861" t="s">
        <v>2097</v>
      </c>
      <c r="C7861">
        <v>62</v>
      </c>
      <c r="D7861" t="s">
        <v>1447</v>
      </c>
      <c r="E7861" t="s">
        <v>2094</v>
      </c>
      <c r="F7861" t="s">
        <v>1748</v>
      </c>
      <c r="H7861" s="165" t="str">
        <f>IF(ISBLANK('Q 8'!$H218),"",IF('Q 8'!$H218="&lt;please select&gt;","",'Q 8'!$H218))</f>
        <v/>
      </c>
    </row>
    <row r="7862" spans="1:8" x14ac:dyDescent="0.3">
      <c r="A7862" t="s">
        <v>2096</v>
      </c>
      <c r="B7862" t="s">
        <v>2097</v>
      </c>
      <c r="C7862">
        <v>63</v>
      </c>
      <c r="D7862" t="s">
        <v>1447</v>
      </c>
      <c r="E7862" t="s">
        <v>2094</v>
      </c>
      <c r="F7862" t="s">
        <v>1748</v>
      </c>
      <c r="H7862" s="165" t="str">
        <f>IF(ISBLANK('Q 8'!$H219),"",IF('Q 8'!$H219="&lt;please select&gt;","",'Q 8'!$H219))</f>
        <v/>
      </c>
    </row>
    <row r="7863" spans="1:8" x14ac:dyDescent="0.3">
      <c r="A7863" t="s">
        <v>2096</v>
      </c>
      <c r="B7863" t="s">
        <v>2097</v>
      </c>
      <c r="C7863">
        <v>64</v>
      </c>
      <c r="D7863" t="s">
        <v>1447</v>
      </c>
      <c r="E7863" t="s">
        <v>2094</v>
      </c>
      <c r="F7863" t="s">
        <v>1748</v>
      </c>
      <c r="H7863" s="165" t="str">
        <f>IF(ISBLANK('Q 8'!$H220),"",IF('Q 8'!$H220="&lt;please select&gt;","",'Q 8'!$H220))</f>
        <v/>
      </c>
    </row>
    <row r="7864" spans="1:8" x14ac:dyDescent="0.3">
      <c r="A7864" t="s">
        <v>2096</v>
      </c>
      <c r="B7864" t="s">
        <v>2097</v>
      </c>
      <c r="C7864">
        <v>65</v>
      </c>
      <c r="D7864" t="s">
        <v>1447</v>
      </c>
      <c r="E7864" t="s">
        <v>2094</v>
      </c>
      <c r="F7864" t="s">
        <v>1748</v>
      </c>
      <c r="H7864" s="165" t="str">
        <f>IF(ISBLANK('Q 8'!$H221),"",IF('Q 8'!$H221="&lt;please select&gt;","",'Q 8'!$H221))</f>
        <v/>
      </c>
    </row>
    <row r="7865" spans="1:8" x14ac:dyDescent="0.3">
      <c r="A7865" t="s">
        <v>2096</v>
      </c>
      <c r="B7865" t="s">
        <v>2097</v>
      </c>
      <c r="C7865">
        <v>66</v>
      </c>
      <c r="D7865" t="s">
        <v>1447</v>
      </c>
      <c r="E7865" t="s">
        <v>2094</v>
      </c>
      <c r="F7865" t="s">
        <v>1748</v>
      </c>
      <c r="H7865" s="165" t="str">
        <f>IF(ISBLANK('Q 8'!$H222),"",IF('Q 8'!$H222="&lt;please select&gt;","",'Q 8'!$H222))</f>
        <v/>
      </c>
    </row>
    <row r="7866" spans="1:8" x14ac:dyDescent="0.3">
      <c r="A7866" t="s">
        <v>2096</v>
      </c>
      <c r="B7866" t="s">
        <v>2097</v>
      </c>
      <c r="C7866">
        <v>67</v>
      </c>
      <c r="D7866" t="s">
        <v>1447</v>
      </c>
      <c r="E7866" t="s">
        <v>2094</v>
      </c>
      <c r="F7866" t="s">
        <v>1748</v>
      </c>
      <c r="H7866" s="165" t="str">
        <f>IF(ISBLANK('Q 8'!$H223),"",IF('Q 8'!$H223="&lt;please select&gt;","",'Q 8'!$H223))</f>
        <v/>
      </c>
    </row>
    <row r="7867" spans="1:8" x14ac:dyDescent="0.3">
      <c r="A7867" t="s">
        <v>2096</v>
      </c>
      <c r="B7867" t="s">
        <v>2097</v>
      </c>
      <c r="C7867">
        <v>68</v>
      </c>
      <c r="D7867" t="s">
        <v>1447</v>
      </c>
      <c r="E7867" t="s">
        <v>2094</v>
      </c>
      <c r="F7867" t="s">
        <v>1748</v>
      </c>
      <c r="H7867" s="165" t="str">
        <f>IF(ISBLANK('Q 8'!$H224),"",IF('Q 8'!$H224="&lt;please select&gt;","",'Q 8'!$H224))</f>
        <v/>
      </c>
    </row>
    <row r="7868" spans="1:8" x14ac:dyDescent="0.3">
      <c r="A7868" t="s">
        <v>2096</v>
      </c>
      <c r="B7868" t="s">
        <v>2097</v>
      </c>
      <c r="C7868">
        <v>69</v>
      </c>
      <c r="D7868" t="s">
        <v>1447</v>
      </c>
      <c r="E7868" t="s">
        <v>2094</v>
      </c>
      <c r="F7868" t="s">
        <v>1748</v>
      </c>
      <c r="H7868" s="165" t="str">
        <f>IF(ISBLANK('Q 8'!$H225),"",IF('Q 8'!$H225="&lt;please select&gt;","",'Q 8'!$H225))</f>
        <v/>
      </c>
    </row>
    <row r="7869" spans="1:8" x14ac:dyDescent="0.3">
      <c r="A7869" t="s">
        <v>2096</v>
      </c>
      <c r="B7869" t="s">
        <v>2097</v>
      </c>
      <c r="C7869">
        <v>70</v>
      </c>
      <c r="D7869" t="s">
        <v>1447</v>
      </c>
      <c r="E7869" t="s">
        <v>2094</v>
      </c>
      <c r="F7869" t="s">
        <v>1748</v>
      </c>
      <c r="H7869" s="165" t="str">
        <f>IF(ISBLANK('Q 8'!$H226),"",IF('Q 8'!$H226="&lt;please select&gt;","",'Q 8'!$H226))</f>
        <v/>
      </c>
    </row>
    <row r="7870" spans="1:8" x14ac:dyDescent="0.3">
      <c r="A7870" t="s">
        <v>2096</v>
      </c>
      <c r="B7870" t="s">
        <v>2097</v>
      </c>
      <c r="C7870">
        <v>71</v>
      </c>
      <c r="D7870" t="s">
        <v>1447</v>
      </c>
      <c r="E7870" t="s">
        <v>2094</v>
      </c>
      <c r="F7870" t="s">
        <v>1748</v>
      </c>
      <c r="H7870" s="165" t="str">
        <f>IF(ISBLANK('Q 8'!$H227),"",IF('Q 8'!$H227="&lt;please select&gt;","",'Q 8'!$H227))</f>
        <v/>
      </c>
    </row>
    <row r="7871" spans="1:8" x14ac:dyDescent="0.3">
      <c r="A7871" t="s">
        <v>2096</v>
      </c>
      <c r="B7871" t="s">
        <v>2097</v>
      </c>
      <c r="C7871">
        <v>72</v>
      </c>
      <c r="D7871" t="s">
        <v>1447</v>
      </c>
      <c r="E7871" t="s">
        <v>2094</v>
      </c>
      <c r="F7871" t="s">
        <v>1748</v>
      </c>
      <c r="H7871" s="165" t="str">
        <f>IF(ISBLANK('Q 8'!$H228),"",IF('Q 8'!$H228="&lt;please select&gt;","",'Q 8'!$H228))</f>
        <v/>
      </c>
    </row>
    <row r="7872" spans="1:8" x14ac:dyDescent="0.3">
      <c r="A7872" t="s">
        <v>2096</v>
      </c>
      <c r="B7872" t="s">
        <v>2097</v>
      </c>
      <c r="C7872">
        <v>73</v>
      </c>
      <c r="D7872" t="s">
        <v>1447</v>
      </c>
      <c r="E7872" t="s">
        <v>2094</v>
      </c>
      <c r="F7872" t="s">
        <v>1748</v>
      </c>
      <c r="H7872" s="165" t="str">
        <f>IF(ISBLANK('Q 8'!$H229),"",IF('Q 8'!$H229="&lt;please select&gt;","",'Q 8'!$H229))</f>
        <v/>
      </c>
    </row>
    <row r="7873" spans="1:11" x14ac:dyDescent="0.3">
      <c r="A7873" t="s">
        <v>2096</v>
      </c>
      <c r="B7873" t="s">
        <v>2097</v>
      </c>
      <c r="C7873">
        <v>74</v>
      </c>
      <c r="D7873" t="s">
        <v>1447</v>
      </c>
      <c r="E7873" t="s">
        <v>2094</v>
      </c>
      <c r="F7873" t="s">
        <v>1748</v>
      </c>
      <c r="H7873" s="165" t="str">
        <f>IF(ISBLANK('Q 8'!$H230),"",IF('Q 8'!$H230="&lt;please select&gt;","",'Q 8'!$H230))</f>
        <v/>
      </c>
    </row>
    <row r="7874" spans="1:11" x14ac:dyDescent="0.3">
      <c r="A7874" t="s">
        <v>2096</v>
      </c>
      <c r="B7874" t="s">
        <v>2097</v>
      </c>
      <c r="C7874">
        <v>75</v>
      </c>
      <c r="D7874" t="s">
        <v>1447</v>
      </c>
      <c r="E7874" t="s">
        <v>2094</v>
      </c>
      <c r="F7874" t="s">
        <v>1748</v>
      </c>
      <c r="H7874" s="165" t="str">
        <f>IF(ISBLANK('Q 8'!$H231),"",IF('Q 8'!$H231="&lt;please select&gt;","",'Q 8'!$H231))</f>
        <v/>
      </c>
    </row>
    <row r="7875" spans="1:11" x14ac:dyDescent="0.3">
      <c r="A7875" t="s">
        <v>2096</v>
      </c>
      <c r="B7875" t="s">
        <v>2097</v>
      </c>
      <c r="C7875">
        <v>76</v>
      </c>
      <c r="D7875" t="s">
        <v>1447</v>
      </c>
      <c r="E7875" t="s">
        <v>2094</v>
      </c>
      <c r="F7875" t="s">
        <v>1748</v>
      </c>
      <c r="H7875" s="165" t="str">
        <f>IF(ISBLANK('Q 8'!$H232),"",IF('Q 8'!$H232="&lt;please select&gt;","",'Q 8'!$H232))</f>
        <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No</v>
      </c>
    </row>
    <row r="7881" spans="1:11" x14ac:dyDescent="0.3">
      <c r="A7881" t="s">
        <v>2098</v>
      </c>
      <c r="B7881" t="s">
        <v>2100</v>
      </c>
      <c r="C7881">
        <v>1</v>
      </c>
      <c r="D7881" t="s">
        <v>1447</v>
      </c>
      <c r="E7881" t="s">
        <v>2101</v>
      </c>
      <c r="F7881" t="s">
        <v>1748</v>
      </c>
      <c r="H7881" s="165" t="str">
        <f>IF(ISBLANK('Q 8'!$F243),"",IF('Q 8'!$F243="&lt;please select&gt;","",'Q 8'!$F243))</f>
        <v/>
      </c>
    </row>
    <row r="7882" spans="1:11" x14ac:dyDescent="0.3">
      <c r="A7882" t="s">
        <v>2098</v>
      </c>
      <c r="B7882" t="s">
        <v>2100</v>
      </c>
      <c r="C7882">
        <v>2</v>
      </c>
      <c r="D7882" t="s">
        <v>1447</v>
      </c>
      <c r="E7882" t="s">
        <v>2101</v>
      </c>
      <c r="F7882" t="s">
        <v>1748</v>
      </c>
      <c r="H7882" s="165" t="str">
        <f>IF(ISBLANK('Q 8'!$F244),"",IF('Q 8'!$F244="&lt;please select&gt;","",'Q 8'!$F244))</f>
        <v/>
      </c>
    </row>
    <row r="7883" spans="1:11" x14ac:dyDescent="0.3">
      <c r="A7883" t="s">
        <v>2098</v>
      </c>
      <c r="B7883" t="s">
        <v>2100</v>
      </c>
      <c r="C7883">
        <v>2</v>
      </c>
      <c r="D7883" t="s">
        <v>1447</v>
      </c>
      <c r="E7883" t="s">
        <v>2102</v>
      </c>
      <c r="F7883" t="s">
        <v>1791</v>
      </c>
      <c r="J7883" s="165" t="str">
        <f>IF(ISBLANK('Q 8'!$H$244),"",IF('Q 8'!$H$244="&lt;please select&gt;","",'Q 8'!$H$244))</f>
        <v/>
      </c>
    </row>
    <row r="7884" spans="1:11" x14ac:dyDescent="0.3">
      <c r="A7884" t="s">
        <v>2098</v>
      </c>
      <c r="B7884" t="s">
        <v>2100</v>
      </c>
      <c r="C7884">
        <v>3</v>
      </c>
      <c r="D7884" t="s">
        <v>1447</v>
      </c>
      <c r="E7884" t="s">
        <v>2000</v>
      </c>
      <c r="F7884" t="s">
        <v>1741</v>
      </c>
      <c r="G7884" t="str">
        <f>IF(ISBLANK('Q 8'!$F$245),"",IF('Q 8'!$F$245="&lt;please select&gt;","",'Q 8'!$F$245))</f>
        <v/>
      </c>
    </row>
    <row r="7885" spans="1:11" x14ac:dyDescent="0.3">
      <c r="A7885" t="s">
        <v>2098</v>
      </c>
      <c r="B7885" t="s">
        <v>2100</v>
      </c>
      <c r="C7885">
        <v>4</v>
      </c>
      <c r="D7885" t="s">
        <v>1419</v>
      </c>
      <c r="E7885" t="s">
        <v>2000</v>
      </c>
      <c r="F7885" t="s">
        <v>1791</v>
      </c>
      <c r="J7885" t="str">
        <f>IF(ISBLANK('Q 8'!$F$246),"",IF('Q 8'!$F$246="&lt;please select&gt;","",'Q 8'!$F$246))</f>
        <v/>
      </c>
    </row>
    <row r="7886" spans="1:11" x14ac:dyDescent="0.3">
      <c r="A7886" t="s">
        <v>2103</v>
      </c>
      <c r="B7886" t="s">
        <v>2104</v>
      </c>
      <c r="C7886">
        <v>0</v>
      </c>
      <c r="D7886" t="s">
        <v>1447</v>
      </c>
      <c r="E7886" t="s">
        <v>2104</v>
      </c>
      <c r="F7886" t="s">
        <v>1759</v>
      </c>
      <c r="K7886" t="str">
        <f>IF(ISBLANK('Q 8'!$I$248),"",IF('Q 8'!$I$248="&lt;please select&gt;","",'Q 8'!$I$248))</f>
        <v>No</v>
      </c>
    </row>
    <row r="7887" spans="1:11" x14ac:dyDescent="0.3">
      <c r="A7887" t="s">
        <v>2103</v>
      </c>
      <c r="B7887" t="s">
        <v>2105</v>
      </c>
      <c r="C7887">
        <v>1</v>
      </c>
      <c r="D7887" t="s">
        <v>1447</v>
      </c>
      <c r="E7887" t="s">
        <v>1798</v>
      </c>
      <c r="F7887" t="s">
        <v>1748</v>
      </c>
      <c r="H7887" s="165" t="str">
        <f>IF(ISBLANK('Q 8'!$G251),"",IF('Q 8'!$G251="&lt;please select&gt;","",'Q 8'!$G251))</f>
        <v/>
      </c>
    </row>
    <row r="7888" spans="1:11" x14ac:dyDescent="0.3">
      <c r="A7888" t="s">
        <v>2103</v>
      </c>
      <c r="B7888" t="s">
        <v>2105</v>
      </c>
      <c r="C7888">
        <v>2</v>
      </c>
      <c r="D7888" t="s">
        <v>1447</v>
      </c>
      <c r="E7888" t="s">
        <v>1798</v>
      </c>
      <c r="F7888" t="s">
        <v>1748</v>
      </c>
      <c r="H7888" s="165" t="str">
        <f>IF(ISBLANK('Q 8'!$G252),"",IF('Q 8'!$G252="&lt;please select&gt;","",'Q 8'!$G252))</f>
        <v/>
      </c>
    </row>
    <row r="7889" spans="1:11" x14ac:dyDescent="0.3">
      <c r="A7889" t="s">
        <v>2103</v>
      </c>
      <c r="B7889" t="s">
        <v>2105</v>
      </c>
      <c r="C7889">
        <v>3</v>
      </c>
      <c r="D7889" t="s">
        <v>1447</v>
      </c>
      <c r="E7889" t="s">
        <v>1798</v>
      </c>
      <c r="F7889" t="s">
        <v>1748</v>
      </c>
      <c r="H7889" s="165" t="str">
        <f>IF(ISBLANK('Q 8'!$G253),"",IF('Q 8'!$G253="&lt;please select&gt;","",'Q 8'!$G253))</f>
        <v/>
      </c>
    </row>
    <row r="7890" spans="1:11" x14ac:dyDescent="0.3">
      <c r="A7890" t="s">
        <v>2103</v>
      </c>
      <c r="B7890" t="s">
        <v>2105</v>
      </c>
      <c r="C7890">
        <v>4</v>
      </c>
      <c r="D7890" t="s">
        <v>1447</v>
      </c>
      <c r="E7890" t="s">
        <v>1798</v>
      </c>
      <c r="F7890" t="s">
        <v>1748</v>
      </c>
      <c r="H7890" s="165" t="str">
        <f>IF(ISBLANK('Q 8'!$G254),"",IF('Q 8'!$G254="&lt;please select&gt;","",'Q 8'!$G254))</f>
        <v/>
      </c>
    </row>
    <row r="7891" spans="1:11" x14ac:dyDescent="0.3">
      <c r="A7891" t="s">
        <v>2103</v>
      </c>
      <c r="B7891" t="s">
        <v>2105</v>
      </c>
      <c r="C7891">
        <v>5</v>
      </c>
      <c r="D7891" t="s">
        <v>1447</v>
      </c>
      <c r="E7891" t="s">
        <v>1798</v>
      </c>
      <c r="F7891" t="s">
        <v>1748</v>
      </c>
      <c r="H7891" s="165" t="str">
        <f>IF(ISBLANK('Q 8'!$G255),"",IF('Q 8'!$G255="&lt;please select&gt;","",'Q 8'!$G255))</f>
        <v/>
      </c>
    </row>
    <row r="7892" spans="1:11" x14ac:dyDescent="0.3">
      <c r="A7892" t="s">
        <v>2106</v>
      </c>
      <c r="B7892" t="s">
        <v>2107</v>
      </c>
      <c r="C7892">
        <v>0</v>
      </c>
      <c r="D7892" t="s">
        <v>1447</v>
      </c>
      <c r="E7892" t="s">
        <v>2107</v>
      </c>
      <c r="F7892" t="s">
        <v>1759</v>
      </c>
      <c r="K7892" t="str">
        <f>IF(ISBLANK('Q 8'!$I$258),"",IF('Q 8'!$I$258="&lt;please select&gt;","",'Q 8'!$I$258))</f>
        <v>No</v>
      </c>
    </row>
    <row r="7893" spans="1:11" x14ac:dyDescent="0.3">
      <c r="A7893" t="s">
        <v>2106</v>
      </c>
      <c r="B7893" t="s">
        <v>2108</v>
      </c>
      <c r="C7893">
        <v>1</v>
      </c>
      <c r="D7893" t="s">
        <v>1447</v>
      </c>
      <c r="E7893" t="s">
        <v>2010</v>
      </c>
      <c r="F7893" t="s">
        <v>1741</v>
      </c>
      <c r="G7893" t="str">
        <f>IF(ISBLANK('Q 8'!$C264),"",IF('Q 8'!$C264="&lt;please select&gt;","",'Q 8'!$C264))</f>
        <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70</v>
      </c>
    </row>
    <row r="7942" spans="1:9" x14ac:dyDescent="0.3">
      <c r="A7942" t="s">
        <v>2109</v>
      </c>
      <c r="B7942" t="s">
        <v>2110</v>
      </c>
      <c r="C7942">
        <v>2</v>
      </c>
      <c r="D7942" t="s">
        <v>1447</v>
      </c>
      <c r="E7942" t="s">
        <v>2111</v>
      </c>
      <c r="F7942" t="s">
        <v>1806</v>
      </c>
      <c r="I7942" s="165" t="str">
        <f>IF(ISBLANK('Q 8'!E284),"",IF('Q 8'!E284="&lt;please select&gt;","",'Q 8'!E284))</f>
        <v>70</v>
      </c>
    </row>
    <row r="7943" spans="1:9" x14ac:dyDescent="0.3">
      <c r="A7943" t="s">
        <v>2109</v>
      </c>
      <c r="B7943" t="s">
        <v>2110</v>
      </c>
      <c r="C7943">
        <v>3</v>
      </c>
      <c r="D7943" t="s">
        <v>1447</v>
      </c>
      <c r="E7943" t="s">
        <v>2111</v>
      </c>
      <c r="F7943" t="s">
        <v>1806</v>
      </c>
      <c r="I7943" s="165" t="str">
        <f>IF(ISBLANK('Q 8'!E285),"",IF('Q 8'!E285="&lt;please select&gt;","",'Q 8'!E285))</f>
        <v>70</v>
      </c>
    </row>
    <row r="7944" spans="1:9" x14ac:dyDescent="0.3">
      <c r="A7944" t="s">
        <v>2109</v>
      </c>
      <c r="B7944" t="s">
        <v>2110</v>
      </c>
      <c r="C7944">
        <v>4</v>
      </c>
      <c r="D7944" t="s">
        <v>1447</v>
      </c>
      <c r="E7944" t="s">
        <v>2111</v>
      </c>
      <c r="F7944" t="s">
        <v>1806</v>
      </c>
      <c r="I7944" s="165" t="str">
        <f>IF(ISBLANK('Q 8'!E286),"",IF('Q 8'!E286="&lt;please select&gt;","",'Q 8'!E286))</f>
        <v>70</v>
      </c>
    </row>
    <row r="7945" spans="1:9" x14ac:dyDescent="0.3">
      <c r="A7945" t="s">
        <v>2109</v>
      </c>
      <c r="B7945" t="s">
        <v>2110</v>
      </c>
      <c r="C7945">
        <v>5</v>
      </c>
      <c r="D7945" t="s">
        <v>1419</v>
      </c>
      <c r="E7945" t="s">
        <v>2111</v>
      </c>
      <c r="F7945" t="s">
        <v>1806</v>
      </c>
      <c r="I7945" s="165" t="str">
        <f>IF(ISBLANK('Q 8'!E287),"",IF('Q 8'!E287="&lt;please select&gt;","",'Q 8'!E287))</f>
        <v>140</v>
      </c>
    </row>
    <row r="7946" spans="1:9" x14ac:dyDescent="0.3">
      <c r="A7946" t="s">
        <v>2109</v>
      </c>
      <c r="B7946" t="s">
        <v>2110</v>
      </c>
      <c r="C7946">
        <v>6</v>
      </c>
      <c r="D7946" t="s">
        <v>1419</v>
      </c>
      <c r="E7946" t="s">
        <v>2111</v>
      </c>
      <c r="F7946" t="s">
        <v>1806</v>
      </c>
      <c r="I7946" s="165" t="str">
        <f>IF(ISBLANK('Q 8'!E288),"",IF('Q 8'!E288="&lt;please select&gt;","",'Q 8'!E288))</f>
        <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1400</v>
      </c>
    </row>
    <row r="7950" spans="1:9" x14ac:dyDescent="0.3">
      <c r="A7950" t="s">
        <v>2109</v>
      </c>
      <c r="B7950" t="s">
        <v>2110</v>
      </c>
      <c r="C7950">
        <v>2</v>
      </c>
      <c r="D7950" t="s">
        <v>1447</v>
      </c>
      <c r="E7950" t="s">
        <v>2112</v>
      </c>
      <c r="F7950" t="s">
        <v>1806</v>
      </c>
      <c r="I7950" s="165" t="str">
        <f>IF(ISBLANK('Q 8'!$F284),"",IF('Q 8'!$F284="&lt;please select&gt;","",'Q 8'!$F284))</f>
        <v>1400</v>
      </c>
    </row>
    <row r="7951" spans="1:9" x14ac:dyDescent="0.3">
      <c r="A7951" t="s">
        <v>2109</v>
      </c>
      <c r="B7951" t="s">
        <v>2110</v>
      </c>
      <c r="C7951">
        <v>3</v>
      </c>
      <c r="D7951" t="s">
        <v>1447</v>
      </c>
      <c r="E7951" t="s">
        <v>2112</v>
      </c>
      <c r="F7951" t="s">
        <v>1806</v>
      </c>
      <c r="I7951" s="165" t="str">
        <f>IF(ISBLANK('Q 8'!$F285),"",IF('Q 8'!$F285="&lt;please select&gt;","",'Q 8'!$F285))</f>
        <v>1400</v>
      </c>
    </row>
    <row r="7952" spans="1:9" x14ac:dyDescent="0.3">
      <c r="A7952" t="s">
        <v>2109</v>
      </c>
      <c r="B7952" t="s">
        <v>2110</v>
      </c>
      <c r="C7952">
        <v>4</v>
      </c>
      <c r="D7952" t="s">
        <v>1447</v>
      </c>
      <c r="E7952" t="s">
        <v>2112</v>
      </c>
      <c r="F7952" t="s">
        <v>1806</v>
      </c>
      <c r="I7952" s="165" t="str">
        <f>IF(ISBLANK('Q 8'!$F286),"",IF('Q 8'!$F286="&lt;please select&gt;","",'Q 8'!$F286))</f>
        <v>1400</v>
      </c>
    </row>
    <row r="7953" spans="1:9" x14ac:dyDescent="0.3">
      <c r="A7953" t="s">
        <v>2109</v>
      </c>
      <c r="B7953" t="s">
        <v>2110</v>
      </c>
      <c r="C7953">
        <v>5</v>
      </c>
      <c r="D7953" t="s">
        <v>1419</v>
      </c>
      <c r="E7953" t="s">
        <v>2112</v>
      </c>
      <c r="F7953" t="s">
        <v>1806</v>
      </c>
      <c r="I7953" s="165" t="str">
        <f>IF(ISBLANK('Q 8'!$F287),"",IF('Q 8'!$F287="&lt;please select&gt;","",'Q 8'!$F287))</f>
        <v>2900</v>
      </c>
    </row>
    <row r="7954" spans="1:9" x14ac:dyDescent="0.3">
      <c r="A7954" t="s">
        <v>2109</v>
      </c>
      <c r="B7954" t="s">
        <v>2110</v>
      </c>
      <c r="C7954">
        <v>6</v>
      </c>
      <c r="D7954" t="s">
        <v>1419</v>
      </c>
      <c r="E7954" t="s">
        <v>2112</v>
      </c>
      <c r="F7954" t="s">
        <v>1806</v>
      </c>
      <c r="I7954" s="165" t="str">
        <f>IF(ISBLANK('Q 8'!$F288),"",IF('Q 8'!$F288="&lt;please select&gt;","",'Q 8'!$F288))</f>
        <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0</v>
      </c>
    </row>
    <row r="7958" spans="1:9" x14ac:dyDescent="0.3">
      <c r="A7958" t="s">
        <v>2109</v>
      </c>
      <c r="B7958" t="s">
        <v>2110</v>
      </c>
      <c r="C7958">
        <v>2</v>
      </c>
      <c r="D7958" t="s">
        <v>1447</v>
      </c>
      <c r="E7958" t="s">
        <v>2113</v>
      </c>
      <c r="F7958" t="s">
        <v>1806</v>
      </c>
      <c r="I7958" s="165" t="str">
        <f>IF(ISBLANK('Q 8'!G284),"",IF('Q 8'!G284="&lt;please select&gt;","",'Q 8'!G284))</f>
        <v>0</v>
      </c>
    </row>
    <row r="7959" spans="1:9" x14ac:dyDescent="0.3">
      <c r="A7959" t="s">
        <v>2109</v>
      </c>
      <c r="B7959" t="s">
        <v>2110</v>
      </c>
      <c r="C7959">
        <v>3</v>
      </c>
      <c r="D7959" t="s">
        <v>1447</v>
      </c>
      <c r="E7959" t="s">
        <v>2113</v>
      </c>
      <c r="F7959" t="s">
        <v>1806</v>
      </c>
      <c r="I7959" s="165" t="str">
        <f>IF(ISBLANK('Q 8'!G285),"",IF('Q 8'!G285="&lt;please select&gt;","",'Q 8'!G285))</f>
        <v>0</v>
      </c>
    </row>
    <row r="7960" spans="1:9" x14ac:dyDescent="0.3">
      <c r="A7960" t="s">
        <v>2109</v>
      </c>
      <c r="B7960" t="s">
        <v>2110</v>
      </c>
      <c r="C7960">
        <v>4</v>
      </c>
      <c r="D7960" t="s">
        <v>1447</v>
      </c>
      <c r="E7960" t="s">
        <v>2113</v>
      </c>
      <c r="F7960" t="s">
        <v>1806</v>
      </c>
      <c r="I7960" s="165" t="str">
        <f>IF(ISBLANK('Q 8'!G286),"",IF('Q 8'!G286="&lt;please select&gt;","",'Q 8'!G286))</f>
        <v>0</v>
      </c>
    </row>
    <row r="7961" spans="1:9" x14ac:dyDescent="0.3">
      <c r="A7961" t="s">
        <v>2109</v>
      </c>
      <c r="B7961" t="s">
        <v>2110</v>
      </c>
      <c r="C7961">
        <v>5</v>
      </c>
      <c r="D7961" t="s">
        <v>1419</v>
      </c>
      <c r="E7961" t="s">
        <v>2113</v>
      </c>
      <c r="F7961" t="s">
        <v>1806</v>
      </c>
      <c r="I7961" s="165" t="str">
        <f>IF(ISBLANK('Q 8'!G287),"",IF('Q 8'!G287="&lt;please select&gt;","",'Q 8'!G287))</f>
        <v>0</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0</v>
      </c>
    </row>
    <row r="7966" spans="1:9" x14ac:dyDescent="0.3">
      <c r="A7966" t="s">
        <v>2109</v>
      </c>
      <c r="B7966" t="s">
        <v>2110</v>
      </c>
      <c r="C7966">
        <v>2</v>
      </c>
      <c r="D7966" t="s">
        <v>1447</v>
      </c>
      <c r="E7966" t="s">
        <v>2114</v>
      </c>
      <c r="F7966" t="s">
        <v>1806</v>
      </c>
      <c r="I7966" s="165" t="str">
        <f>IF(ISBLANK('Q 8'!H284),"",IF('Q 8'!H284="&lt;please select&gt;","",'Q 8'!H284))</f>
        <v>0</v>
      </c>
    </row>
    <row r="7967" spans="1:9" x14ac:dyDescent="0.3">
      <c r="A7967" t="s">
        <v>2109</v>
      </c>
      <c r="B7967" t="s">
        <v>2110</v>
      </c>
      <c r="C7967">
        <v>3</v>
      </c>
      <c r="D7967" t="s">
        <v>1447</v>
      </c>
      <c r="E7967" t="s">
        <v>2114</v>
      </c>
      <c r="F7967" t="s">
        <v>1806</v>
      </c>
      <c r="I7967" s="165" t="str">
        <f>IF(ISBLANK('Q 8'!H285),"",IF('Q 8'!H285="&lt;please select&gt;","",'Q 8'!H285))</f>
        <v>0</v>
      </c>
    </row>
    <row r="7968" spans="1:9" x14ac:dyDescent="0.3">
      <c r="A7968" t="s">
        <v>2109</v>
      </c>
      <c r="B7968" t="s">
        <v>2110</v>
      </c>
      <c r="C7968">
        <v>4</v>
      </c>
      <c r="D7968" t="s">
        <v>1447</v>
      </c>
      <c r="E7968" t="s">
        <v>2114</v>
      </c>
      <c r="F7968" t="s">
        <v>1806</v>
      </c>
      <c r="I7968" s="165" t="str">
        <f>IF(ISBLANK('Q 8'!H286),"",IF('Q 8'!H286="&lt;please select&gt;","",'Q 8'!H286))</f>
        <v>0</v>
      </c>
    </row>
    <row r="7969" spans="1:10" x14ac:dyDescent="0.3">
      <c r="A7969" t="s">
        <v>2109</v>
      </c>
      <c r="B7969" t="s">
        <v>2110</v>
      </c>
      <c r="C7969">
        <v>5</v>
      </c>
      <c r="D7969" t="s">
        <v>1419</v>
      </c>
      <c r="E7969" t="s">
        <v>2114</v>
      </c>
      <c r="F7969" t="s">
        <v>1806</v>
      </c>
      <c r="I7969" s="165" t="str">
        <f>IF(ISBLANK('Q 8'!H287),"",IF('Q 8'!H287="&lt;please select&gt;","",'Q 8'!H287))</f>
        <v>0</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0</v>
      </c>
    </row>
    <row r="7974" spans="1:10" x14ac:dyDescent="0.3">
      <c r="A7974" t="s">
        <v>2109</v>
      </c>
      <c r="B7974" t="s">
        <v>2110</v>
      </c>
      <c r="C7974">
        <v>2</v>
      </c>
      <c r="D7974" t="s">
        <v>1447</v>
      </c>
      <c r="E7974" t="s">
        <v>2115</v>
      </c>
      <c r="F7974" t="s">
        <v>1741</v>
      </c>
      <c r="G7974" t="str">
        <f>IF(ISBLANK('Q 8'!$I284),"",IF('Q 8'!$I284="&lt;please select&gt;","",'Q 8'!$I284))</f>
        <v>0</v>
      </c>
    </row>
    <row r="7975" spans="1:10" x14ac:dyDescent="0.3">
      <c r="A7975" t="s">
        <v>2109</v>
      </c>
      <c r="B7975" t="s">
        <v>2110</v>
      </c>
      <c r="C7975">
        <v>3</v>
      </c>
      <c r="D7975" t="s">
        <v>1447</v>
      </c>
      <c r="E7975" t="s">
        <v>2115</v>
      </c>
      <c r="F7975" t="s">
        <v>1741</v>
      </c>
      <c r="G7975" t="str">
        <f>IF(ISBLANK('Q 8'!$I285),"",IF('Q 8'!$I285="&lt;please select&gt;","",'Q 8'!$I285))</f>
        <v>0</v>
      </c>
    </row>
    <row r="7976" spans="1:10" x14ac:dyDescent="0.3">
      <c r="A7976" t="s">
        <v>2109</v>
      </c>
      <c r="B7976" t="s">
        <v>2110</v>
      </c>
      <c r="C7976">
        <v>4</v>
      </c>
      <c r="D7976" t="s">
        <v>1447</v>
      </c>
      <c r="E7976" t="s">
        <v>2115</v>
      </c>
      <c r="F7976" t="s">
        <v>1741</v>
      </c>
      <c r="G7976" t="str">
        <f>IF(ISBLANK('Q 8'!$I286),"",IF('Q 8'!$I286="&lt;please select&gt;","",'Q 8'!$I286))</f>
        <v>0</v>
      </c>
    </row>
    <row r="7977" spans="1:10" x14ac:dyDescent="0.3">
      <c r="A7977" t="s">
        <v>2109</v>
      </c>
      <c r="B7977" t="s">
        <v>2110</v>
      </c>
      <c r="C7977">
        <v>5</v>
      </c>
      <c r="D7977" t="s">
        <v>1419</v>
      </c>
      <c r="E7977" t="s">
        <v>2115</v>
      </c>
      <c r="F7977" t="s">
        <v>1741</v>
      </c>
      <c r="G7977" t="str">
        <f>IF(ISBLANK('Q 8'!$I287),"",IF('Q 8'!$I287="&lt;please select&gt;","",'Q 8'!$I287))</f>
        <v>0</v>
      </c>
    </row>
    <row r="7978" spans="1:10" x14ac:dyDescent="0.3">
      <c r="A7978" t="s">
        <v>2109</v>
      </c>
      <c r="B7978" t="s">
        <v>2110</v>
      </c>
      <c r="C7978">
        <v>6</v>
      </c>
      <c r="D7978" t="s">
        <v>1419</v>
      </c>
      <c r="E7978" t="s">
        <v>2115</v>
      </c>
      <c r="F7978" t="s">
        <v>1741</v>
      </c>
      <c r="G7978" t="str">
        <f>IF(ISBLANK('Q 8'!$I288),"",IF('Q 8'!$I288="&lt;please select&gt;","",'Q 8'!$I288))</f>
        <v/>
      </c>
    </row>
    <row r="7979" spans="1:10" x14ac:dyDescent="0.3">
      <c r="A7979" t="s">
        <v>2109</v>
      </c>
      <c r="B7979" t="s">
        <v>2110</v>
      </c>
      <c r="C7979">
        <v>7</v>
      </c>
      <c r="D7979" t="s">
        <v>1419</v>
      </c>
      <c r="E7979" t="s">
        <v>2115</v>
      </c>
      <c r="F7979" t="s">
        <v>1741</v>
      </c>
      <c r="G7979" t="str">
        <f>IF(ISBLANK('Q 8'!$I289),"",IF('Q 8'!$I289="&lt;please select&gt;","",'Q 8'!$I289))</f>
        <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
      </c>
    </row>
    <row r="7982" spans="1:10" x14ac:dyDescent="0.3">
      <c r="A7982" t="s">
        <v>2109</v>
      </c>
      <c r="B7982" t="s">
        <v>2110</v>
      </c>
      <c r="C7982">
        <v>6</v>
      </c>
      <c r="D7982" t="s">
        <v>1419</v>
      </c>
      <c r="E7982" t="s">
        <v>2116</v>
      </c>
      <c r="F7982" t="s">
        <v>1791</v>
      </c>
      <c r="J7982" t="str">
        <f>IF(ISBLANK('Q 8'!D288),"",IF('Q 8'!D288="&lt;please select&gt;","",'Q 8'!D288))</f>
        <v/>
      </c>
    </row>
    <row r="7983" spans="1:10" x14ac:dyDescent="0.3">
      <c r="A7983" t="s">
        <v>2109</v>
      </c>
      <c r="B7983" t="s">
        <v>2110</v>
      </c>
      <c r="C7983">
        <v>7</v>
      </c>
      <c r="D7983" t="s">
        <v>1419</v>
      </c>
      <c r="E7983" t="s">
        <v>2116</v>
      </c>
      <c r="F7983" t="s">
        <v>1791</v>
      </c>
      <c r="J7983" t="str">
        <f>IF(ISBLANK('Q 8'!D289),"",IF('Q 8'!D289="&lt;please select&gt;","",'Q 8'!D289))</f>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No</v>
      </c>
    </row>
    <row r="8118" spans="1:11" x14ac:dyDescent="0.3">
      <c r="A8118" t="s">
        <v>2117</v>
      </c>
      <c r="B8118" t="s">
        <v>2126</v>
      </c>
      <c r="C8118">
        <v>1</v>
      </c>
      <c r="D8118" t="s">
        <v>1447</v>
      </c>
      <c r="E8118" t="s">
        <v>2127</v>
      </c>
      <c r="F8118" t="s">
        <v>1741</v>
      </c>
      <c r="G8118" t="str">
        <f>IF(ISBLANK('Q 8'!$C324),"",IF('Q 8'!$C324="&lt;please select&gt;","",'Q 8'!$C324))</f>
        <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No</v>
      </c>
    </row>
    <row r="8170" spans="1:11" x14ac:dyDescent="0.3">
      <c r="A8170" t="s">
        <v>2130</v>
      </c>
      <c r="B8170" t="s">
        <v>2132</v>
      </c>
      <c r="C8170">
        <v>1</v>
      </c>
      <c r="D8170" t="s">
        <v>1447</v>
      </c>
      <c r="E8170" t="s">
        <v>2133</v>
      </c>
      <c r="F8170" t="s">
        <v>1806</v>
      </c>
      <c r="I8170" s="165" t="str">
        <f>IF(ISBLANK('Q 9'!$G9),"",IF('Q 9'!$G9="&lt;please select&gt;","",'Q 9'!$G9))</f>
        <v/>
      </c>
    </row>
    <row r="8171" spans="1:11" x14ac:dyDescent="0.3">
      <c r="A8171" t="s">
        <v>2130</v>
      </c>
      <c r="B8171" t="s">
        <v>2132</v>
      </c>
      <c r="C8171">
        <v>2</v>
      </c>
      <c r="D8171" t="s">
        <v>1447</v>
      </c>
      <c r="E8171" t="s">
        <v>2133</v>
      </c>
      <c r="F8171" t="s">
        <v>1806</v>
      </c>
      <c r="I8171" s="165" t="str">
        <f>IF(ISBLANK('Q 9'!$G10),"",IF('Q 9'!$G10="&lt;please select&gt;","",'Q 9'!$G10))</f>
        <v/>
      </c>
    </row>
    <row r="8172" spans="1:11" x14ac:dyDescent="0.3">
      <c r="A8172" t="s">
        <v>2130</v>
      </c>
      <c r="B8172" t="s">
        <v>2132</v>
      </c>
      <c r="C8172">
        <v>3</v>
      </c>
      <c r="D8172" t="s">
        <v>1447</v>
      </c>
      <c r="E8172" t="s">
        <v>2133</v>
      </c>
      <c r="F8172" t="s">
        <v>1806</v>
      </c>
      <c r="I8172" s="165" t="str">
        <f>IF(ISBLANK('Q 9'!$G11),"",IF('Q 9'!$G11="&lt;please select&gt;","",'Q 9'!$G11))</f>
        <v/>
      </c>
    </row>
    <row r="8173" spans="1:11" x14ac:dyDescent="0.3">
      <c r="A8173" t="s">
        <v>2130</v>
      </c>
      <c r="B8173" t="s">
        <v>2132</v>
      </c>
      <c r="C8173">
        <v>4</v>
      </c>
      <c r="D8173" t="s">
        <v>1447</v>
      </c>
      <c r="E8173" t="s">
        <v>2133</v>
      </c>
      <c r="F8173" t="s">
        <v>1806</v>
      </c>
      <c r="I8173" s="165" t="str">
        <f>IF(ISBLANK('Q 9'!$G12),"",IF('Q 9'!$G12="&lt;please select&gt;","",'Q 9'!$G12))</f>
        <v/>
      </c>
    </row>
    <row r="8174" spans="1:11" x14ac:dyDescent="0.3">
      <c r="A8174" t="s">
        <v>2130</v>
      </c>
      <c r="B8174" t="s">
        <v>2132</v>
      </c>
      <c r="C8174">
        <v>5</v>
      </c>
      <c r="D8174" t="s">
        <v>1447</v>
      </c>
      <c r="E8174" t="s">
        <v>2133</v>
      </c>
      <c r="F8174" t="s">
        <v>1806</v>
      </c>
      <c r="I8174" s="165" t="str">
        <f>IF(ISBLANK('Q 9'!$G13),"",IF('Q 9'!$G13="&lt;please select&gt;","",'Q 9'!$G13))</f>
        <v/>
      </c>
    </row>
    <row r="8175" spans="1:11" x14ac:dyDescent="0.3">
      <c r="A8175" t="s">
        <v>2130</v>
      </c>
      <c r="B8175" t="s">
        <v>2132</v>
      </c>
      <c r="C8175">
        <v>6</v>
      </c>
      <c r="D8175" t="s">
        <v>1419</v>
      </c>
      <c r="E8175" t="s">
        <v>2133</v>
      </c>
      <c r="F8175" t="s">
        <v>1806</v>
      </c>
      <c r="I8175" s="165" t="str">
        <f>IF(ISBLANK('Q 9'!$G14),"",IF('Q 9'!$G14="&lt;please select&gt;","",'Q 9'!$G14))</f>
        <v/>
      </c>
    </row>
    <row r="8176" spans="1:11" x14ac:dyDescent="0.3">
      <c r="A8176" t="s">
        <v>2130</v>
      </c>
      <c r="B8176" t="s">
        <v>2132</v>
      </c>
      <c r="C8176">
        <v>7</v>
      </c>
      <c r="D8176" t="s">
        <v>1419</v>
      </c>
      <c r="E8176" t="s">
        <v>2133</v>
      </c>
      <c r="F8176" t="s">
        <v>1806</v>
      </c>
      <c r="I8176" s="165" t="str">
        <f>IF(ISBLANK('Q 9'!$G15),"",IF('Q 9'!$G15="&lt;please select&gt;","",'Q 9'!$G15))</f>
        <v/>
      </c>
    </row>
    <row r="8177" spans="1:11" x14ac:dyDescent="0.3">
      <c r="A8177" t="s">
        <v>2130</v>
      </c>
      <c r="B8177" t="s">
        <v>2132</v>
      </c>
      <c r="C8177">
        <v>8</v>
      </c>
      <c r="D8177" t="s">
        <v>1419</v>
      </c>
      <c r="E8177" t="s">
        <v>2133</v>
      </c>
      <c r="F8177" t="s">
        <v>1806</v>
      </c>
      <c r="I8177" s="165" t="str">
        <f>IF(ISBLANK('Q 9'!$G16),"",IF('Q 9'!$G16="&lt;please select&gt;","",'Q 9'!$G16))</f>
        <v/>
      </c>
    </row>
    <row r="8178" spans="1:11" x14ac:dyDescent="0.3">
      <c r="A8178" t="s">
        <v>2130</v>
      </c>
      <c r="B8178" t="s">
        <v>2132</v>
      </c>
      <c r="C8178">
        <v>9</v>
      </c>
      <c r="D8178" t="s">
        <v>1419</v>
      </c>
      <c r="E8178" t="s">
        <v>2133</v>
      </c>
      <c r="F8178" t="s">
        <v>1806</v>
      </c>
      <c r="I8178" s="165" t="str">
        <f>IF(ISBLANK('Q 9'!$G17),"",IF('Q 9'!$G17="&lt;please select&gt;","",'Q 9'!$G17))</f>
        <v/>
      </c>
    </row>
    <row r="8179" spans="1:11" x14ac:dyDescent="0.3">
      <c r="A8179" t="s">
        <v>2130</v>
      </c>
      <c r="B8179" t="s">
        <v>2132</v>
      </c>
      <c r="C8179">
        <v>6</v>
      </c>
      <c r="D8179" t="s">
        <v>1419</v>
      </c>
      <c r="E8179" t="s">
        <v>2134</v>
      </c>
      <c r="F8179" t="s">
        <v>1791</v>
      </c>
      <c r="J8179" t="str">
        <f>IF(ISBLANK('Q 9'!D14),"",IF('Q 9'!D14="&lt;please select&gt;","",'Q 9'!D14))</f>
        <v/>
      </c>
    </row>
    <row r="8180" spans="1:11" x14ac:dyDescent="0.3">
      <c r="A8180" t="s">
        <v>2130</v>
      </c>
      <c r="B8180" t="s">
        <v>2132</v>
      </c>
      <c r="C8180">
        <v>7</v>
      </c>
      <c r="D8180" t="s">
        <v>1419</v>
      </c>
      <c r="E8180" t="s">
        <v>2134</v>
      </c>
      <c r="F8180" t="s">
        <v>1791</v>
      </c>
      <c r="J8180" t="str">
        <f>IF(ISBLANK('Q 9'!D15),"",IF('Q 9'!D15="&lt;please select&gt;","",'Q 9'!D15))</f>
        <v/>
      </c>
    </row>
    <row r="8181" spans="1:11" x14ac:dyDescent="0.3">
      <c r="A8181" t="s">
        <v>2130</v>
      </c>
      <c r="B8181" t="s">
        <v>2132</v>
      </c>
      <c r="C8181">
        <v>8</v>
      </c>
      <c r="D8181" t="s">
        <v>1419</v>
      </c>
      <c r="E8181" t="s">
        <v>2134</v>
      </c>
      <c r="F8181" t="s">
        <v>1791</v>
      </c>
      <c r="J8181" t="str">
        <f>IF(ISBLANK('Q 9'!D16),"",IF('Q 9'!D16="&lt;please select&gt;","",'Q 9'!D16))</f>
        <v/>
      </c>
    </row>
    <row r="8182" spans="1:11" x14ac:dyDescent="0.3">
      <c r="A8182" t="s">
        <v>2130</v>
      </c>
      <c r="B8182" t="s">
        <v>2132</v>
      </c>
      <c r="C8182">
        <v>9</v>
      </c>
      <c r="D8182" t="s">
        <v>1419</v>
      </c>
      <c r="E8182" t="s">
        <v>2134</v>
      </c>
      <c r="F8182" t="s">
        <v>1791</v>
      </c>
      <c r="J8182" t="str">
        <f>IF(ISBLANK('Q 9'!D17),"",IF('Q 9'!D17="&lt;please select&gt;","",'Q 9'!D17))</f>
        <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
      </c>
    </row>
    <row r="8185" spans="1:11" x14ac:dyDescent="0.3">
      <c r="A8185" t="s">
        <v>2130</v>
      </c>
      <c r="B8185" t="s">
        <v>2135</v>
      </c>
      <c r="C8185">
        <v>3</v>
      </c>
      <c r="D8185" t="s">
        <v>1419</v>
      </c>
      <c r="E8185" t="s">
        <v>2133</v>
      </c>
      <c r="F8185" t="s">
        <v>1806</v>
      </c>
      <c r="I8185" s="165" t="str">
        <f>IF(ISBLANK('Q 9'!$G24),"",IF('Q 9'!$G24="&lt;please select&gt;","",'Q 9'!$G24))</f>
        <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
      </c>
    </row>
    <row r="8189" spans="1:11" x14ac:dyDescent="0.3">
      <c r="A8189" t="s">
        <v>2130</v>
      </c>
      <c r="B8189" t="s">
        <v>2135</v>
      </c>
      <c r="C8189">
        <v>3</v>
      </c>
      <c r="D8189" t="s">
        <v>1419</v>
      </c>
      <c r="E8189" t="s">
        <v>2134</v>
      </c>
      <c r="F8189" t="s">
        <v>1791</v>
      </c>
      <c r="J8189" t="str">
        <f>IF(ISBLANK('Q 9'!D24),"",IF('Q 9'!D24="&lt;please select&gt;","",'Q 9'!D24))</f>
        <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No</v>
      </c>
    </row>
    <row r="8193" spans="1:10" x14ac:dyDescent="0.3">
      <c r="A8193" t="s">
        <v>2136</v>
      </c>
      <c r="B8193" t="s">
        <v>2138</v>
      </c>
      <c r="C8193">
        <v>1</v>
      </c>
      <c r="D8193" t="s">
        <v>1447</v>
      </c>
      <c r="E8193" t="s">
        <v>2133</v>
      </c>
      <c r="F8193" t="s">
        <v>1806</v>
      </c>
      <c r="I8193" s="165" t="str">
        <f>IF(ISBLANK('Q 9'!G34),"",IF('Q 9'!G34="&lt;please select&gt;","",'Q 9'!G34))</f>
        <v/>
      </c>
    </row>
    <row r="8194" spans="1:10" x14ac:dyDescent="0.3">
      <c r="A8194" t="s">
        <v>2136</v>
      </c>
      <c r="B8194" t="s">
        <v>2138</v>
      </c>
      <c r="C8194">
        <v>2</v>
      </c>
      <c r="D8194" t="s">
        <v>1447</v>
      </c>
      <c r="E8194" t="s">
        <v>2133</v>
      </c>
      <c r="F8194" t="s">
        <v>1806</v>
      </c>
      <c r="I8194" s="165" t="str">
        <f>IF(ISBLANK('Q 9'!G35),"",IF('Q 9'!G35="&lt;please select&gt;","",'Q 9'!G35))</f>
        <v/>
      </c>
    </row>
    <row r="8195" spans="1:10" x14ac:dyDescent="0.3">
      <c r="A8195" t="s">
        <v>2136</v>
      </c>
      <c r="B8195" t="s">
        <v>2138</v>
      </c>
      <c r="C8195">
        <v>3</v>
      </c>
      <c r="D8195" t="s">
        <v>1447</v>
      </c>
      <c r="E8195" t="s">
        <v>2133</v>
      </c>
      <c r="F8195" t="s">
        <v>1806</v>
      </c>
      <c r="I8195" s="165" t="str">
        <f>IF(ISBLANK('Q 9'!G36),"",IF('Q 9'!G36="&lt;please select&gt;","",'Q 9'!G36))</f>
        <v/>
      </c>
    </row>
    <row r="8196" spans="1:10" x14ac:dyDescent="0.3">
      <c r="A8196" t="s">
        <v>2136</v>
      </c>
      <c r="B8196" t="s">
        <v>2138</v>
      </c>
      <c r="C8196">
        <v>4</v>
      </c>
      <c r="D8196" t="s">
        <v>1447</v>
      </c>
      <c r="E8196" t="s">
        <v>2133</v>
      </c>
      <c r="F8196" t="s">
        <v>1806</v>
      </c>
      <c r="I8196" s="165" t="str">
        <f>IF(ISBLANK('Q 9'!G37),"",IF('Q 9'!G37="&lt;please select&gt;","",'Q 9'!G37))</f>
        <v/>
      </c>
    </row>
    <row r="8197" spans="1:10" x14ac:dyDescent="0.3">
      <c r="A8197" t="s">
        <v>2136</v>
      </c>
      <c r="B8197" t="s">
        <v>2138</v>
      </c>
      <c r="C8197">
        <v>5</v>
      </c>
      <c r="D8197" t="s">
        <v>1447</v>
      </c>
      <c r="E8197" t="s">
        <v>2133</v>
      </c>
      <c r="F8197" t="s">
        <v>1806</v>
      </c>
      <c r="I8197" s="165" t="str">
        <f>IF(ISBLANK('Q 9'!G38),"",IF('Q 9'!G38="&lt;please select&gt;","",'Q 9'!G38))</f>
        <v/>
      </c>
    </row>
    <row r="8198" spans="1:10" x14ac:dyDescent="0.3">
      <c r="A8198" t="s">
        <v>2136</v>
      </c>
      <c r="B8198" t="s">
        <v>2138</v>
      </c>
      <c r="C8198">
        <v>6</v>
      </c>
      <c r="D8198" t="s">
        <v>1447</v>
      </c>
      <c r="E8198" t="s">
        <v>2133</v>
      </c>
      <c r="F8198" t="s">
        <v>1806</v>
      </c>
      <c r="I8198" s="165" t="str">
        <f>IF(ISBLANK('Q 9'!G39),"",IF('Q 9'!G39="&lt;please select&gt;","",'Q 9'!G39))</f>
        <v/>
      </c>
    </row>
    <row r="8199" spans="1:10" x14ac:dyDescent="0.3">
      <c r="A8199" t="s">
        <v>2136</v>
      </c>
      <c r="B8199" t="s">
        <v>2138</v>
      </c>
      <c r="C8199">
        <v>7</v>
      </c>
      <c r="D8199" t="s">
        <v>1419</v>
      </c>
      <c r="E8199" t="s">
        <v>2133</v>
      </c>
      <c r="F8199" t="s">
        <v>1806</v>
      </c>
      <c r="I8199" s="165" t="str">
        <f>IF(ISBLANK('Q 9'!G40),"",IF('Q 9'!G40="&lt;please select&gt;","",'Q 9'!G40))</f>
        <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Tādas darbības emisijas reģistrā, kas tiek veiktas operatora vai gaisa kuģa operatora vietā, tai skaitā verificētā emisiju apjoma ievadīšana un nodošanas pārskaitījuma veikšana, visu veidu darījumu veikšana, darījumu apstiprināšana, uzticamo kontu saraksta pievienošana</v>
      </c>
    </row>
    <row r="8217" spans="1:10" x14ac:dyDescent="0.3">
      <c r="A8217" t="s">
        <v>2136</v>
      </c>
      <c r="B8217" t="s">
        <v>2140</v>
      </c>
      <c r="C8217">
        <v>2</v>
      </c>
      <c r="D8217" t="s">
        <v>1447</v>
      </c>
      <c r="E8217" t="s">
        <v>2141</v>
      </c>
      <c r="F8217" t="s">
        <v>1741</v>
      </c>
      <c r="G8217" t="str">
        <f>IF(ISBLANK('Q 9'!$C61),"",IF('Q 9'!$C61="&lt;please select&gt;","",'Q 9'!$C61))</f>
        <v/>
      </c>
    </row>
    <row r="8218" spans="1:10" x14ac:dyDescent="0.3">
      <c r="A8218" t="s">
        <v>2136</v>
      </c>
      <c r="B8218" t="s">
        <v>2140</v>
      </c>
      <c r="C8218">
        <v>3</v>
      </c>
      <c r="D8218" t="s">
        <v>1447</v>
      </c>
      <c r="E8218" t="s">
        <v>2141</v>
      </c>
      <c r="F8218" t="s">
        <v>1741</v>
      </c>
      <c r="G8218" t="str">
        <f>IF(ISBLANK('Q 9'!$C62),"",IF('Q 9'!$C62="&lt;please select&gt;","",'Q 9'!$C62))</f>
        <v/>
      </c>
    </row>
    <row r="8219" spans="1:10" x14ac:dyDescent="0.3">
      <c r="A8219" t="s">
        <v>2136</v>
      </c>
      <c r="B8219" t="s">
        <v>2140</v>
      </c>
      <c r="C8219">
        <v>4</v>
      </c>
      <c r="D8219" t="s">
        <v>1447</v>
      </c>
      <c r="E8219" t="s">
        <v>2141</v>
      </c>
      <c r="F8219" t="s">
        <v>1741</v>
      </c>
      <c r="G8219" t="str">
        <f>IF(ISBLANK('Q 9'!$C63),"",IF('Q 9'!$C63="&lt;please select&gt;","",'Q 9'!$C63))</f>
        <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31.9</v>
      </c>
    </row>
    <row r="8227" spans="1:9" x14ac:dyDescent="0.3">
      <c r="A8227" t="s">
        <v>2136</v>
      </c>
      <c r="B8227" t="s">
        <v>2140</v>
      </c>
      <c r="C8227">
        <v>2</v>
      </c>
      <c r="D8227" t="s">
        <v>1447</v>
      </c>
      <c r="E8227" t="s">
        <v>2142</v>
      </c>
      <c r="F8227" t="s">
        <v>1806</v>
      </c>
      <c r="I8227" s="165" t="str">
        <f>IF(ISBLANK('Q 9'!$G61),"",IF('Q 9'!$G61="&lt;please select&gt;","",'Q 9'!$G61))</f>
        <v/>
      </c>
    </row>
    <row r="8228" spans="1:9" x14ac:dyDescent="0.3">
      <c r="A8228" t="s">
        <v>2136</v>
      </c>
      <c r="B8228" t="s">
        <v>2140</v>
      </c>
      <c r="C8228">
        <v>3</v>
      </c>
      <c r="D8228" t="s">
        <v>1447</v>
      </c>
      <c r="E8228" t="s">
        <v>2142</v>
      </c>
      <c r="F8228" t="s">
        <v>1806</v>
      </c>
      <c r="I8228" s="165" t="str">
        <f>IF(ISBLANK('Q 9'!$G62),"",IF('Q 9'!$G62="&lt;please select&gt;","",'Q 9'!$G62))</f>
        <v/>
      </c>
    </row>
    <row r="8229" spans="1:9" x14ac:dyDescent="0.3">
      <c r="A8229" t="s">
        <v>2136</v>
      </c>
      <c r="B8229" t="s">
        <v>2140</v>
      </c>
      <c r="C8229">
        <v>4</v>
      </c>
      <c r="D8229" t="s">
        <v>1447</v>
      </c>
      <c r="E8229" t="s">
        <v>2142</v>
      </c>
      <c r="F8229" t="s">
        <v>1806</v>
      </c>
      <c r="I8229" s="165" t="str">
        <f>IF(ISBLANK('Q 9'!$G63),"",IF('Q 9'!$G63="&lt;please select&gt;","",'Q 9'!$G63))</f>
        <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Operatora vai gaisa kuģa operatora konta pilnvarotā pārstāvja apstiprināšana, ja konta turētājs nav Latvijas pilsonis, nepilsonis vai persona, kas Latvijā saņēmusi uzturēšanās atļauju, pastāvīgās uzturēšanās apliecību vai normatīvajos aktos par kārtību, kādā Savienības pilsoņi un viņu ģimenes locekļi ieceļo un uzturas Latvijas Republikā, noteikto Savienības pilsoņa reģistrācijas apliecību, un attiecīgi nav reģistrēts Iedzīvotāju reģistrā sākot no 638 līdz 1914</v>
      </c>
    </row>
    <row r="8237" spans="1:9" x14ac:dyDescent="0.3">
      <c r="A8237" t="s">
        <v>2136</v>
      </c>
      <c r="B8237" t="s">
        <v>2143</v>
      </c>
      <c r="C8237">
        <v>2</v>
      </c>
      <c r="D8237" t="s">
        <v>1447</v>
      </c>
      <c r="E8237" t="s">
        <v>2144</v>
      </c>
      <c r="F8237" t="s">
        <v>1741</v>
      </c>
      <c r="G8237" t="str">
        <f>IF(ISBLANK('Q 9'!$C75),"",IF('Q 9'!$C75="&lt;please select&gt;","",'Q 9'!$C75))</f>
        <v>Operatora vai gaisa kuģa operatora konta apkalpošanas gada maksa tiek noteikta, ņemot vērā operatoram vai gaisa kuģa operatoram piešķirto emisijas kvotu vai aviācijas emisijas kvotu apjomu konkrētajā gadā. sākot no 95,70 līdz 957</v>
      </c>
    </row>
    <row r="8238" spans="1:9" x14ac:dyDescent="0.3">
      <c r="A8238" t="s">
        <v>2136</v>
      </c>
      <c r="B8238" t="s">
        <v>2143</v>
      </c>
      <c r="C8238">
        <v>3</v>
      </c>
      <c r="D8238" t="s">
        <v>1447</v>
      </c>
      <c r="E8238" t="s">
        <v>2144</v>
      </c>
      <c r="F8238" t="s">
        <v>1741</v>
      </c>
      <c r="G8238" t="str">
        <f>IF(ISBLANK('Q 9'!$C76),"",IF('Q 9'!$C76="&lt;please select&gt;","",'Q 9'!$C76))</f>
        <v/>
      </c>
    </row>
    <row r="8239" spans="1:9" x14ac:dyDescent="0.3">
      <c r="A8239" t="s">
        <v>2136</v>
      </c>
      <c r="B8239" t="s">
        <v>2143</v>
      </c>
      <c r="C8239">
        <v>4</v>
      </c>
      <c r="D8239" t="s">
        <v>1447</v>
      </c>
      <c r="E8239" t="s">
        <v>2144</v>
      </c>
      <c r="F8239" t="s">
        <v>1741</v>
      </c>
      <c r="G8239" t="str">
        <f>IF(ISBLANK('Q 9'!$C77),"",IF('Q 9'!$C77="&lt;please select&gt;","",'Q 9'!$C77))</f>
        <v/>
      </c>
    </row>
    <row r="8240" spans="1:9" x14ac:dyDescent="0.3">
      <c r="A8240" t="s">
        <v>2136</v>
      </c>
      <c r="B8240" t="s">
        <v>2143</v>
      </c>
      <c r="C8240">
        <v>5</v>
      </c>
      <c r="D8240" t="s">
        <v>1447</v>
      </c>
      <c r="E8240" t="s">
        <v>2144</v>
      </c>
      <c r="F8240" t="s">
        <v>1741</v>
      </c>
      <c r="G8240" t="str">
        <f>IF(ISBLANK('Q 9'!$C78),"",IF('Q 9'!$C78="&lt;please select&gt;","",'Q 9'!$C78))</f>
        <v/>
      </c>
    </row>
    <row r="8241" spans="1:11" x14ac:dyDescent="0.3">
      <c r="A8241" t="s">
        <v>2136</v>
      </c>
      <c r="B8241" t="s">
        <v>2143</v>
      </c>
      <c r="C8241">
        <v>6</v>
      </c>
      <c r="D8241" t="s">
        <v>1447</v>
      </c>
      <c r="E8241" t="s">
        <v>2144</v>
      </c>
      <c r="F8241" t="s">
        <v>1741</v>
      </c>
      <c r="G8241" t="str">
        <f>IF(ISBLANK('Q 9'!$C79),"",IF('Q 9'!$C79="&lt;please select&gt;","",'Q 9'!$C79))</f>
        <v/>
      </c>
    </row>
    <row r="8242" spans="1:11" x14ac:dyDescent="0.3">
      <c r="A8242" t="s">
        <v>2136</v>
      </c>
      <c r="B8242" t="s">
        <v>2143</v>
      </c>
      <c r="C8242">
        <v>7</v>
      </c>
      <c r="D8242" t="s">
        <v>1447</v>
      </c>
      <c r="E8242" t="s">
        <v>2144</v>
      </c>
      <c r="F8242" t="s">
        <v>1741</v>
      </c>
      <c r="G8242" t="str">
        <f>IF(ISBLANK('Q 9'!$C80),"",IF('Q 9'!$C80="&lt;please select&gt;","",'Q 9'!$C80))</f>
        <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638</v>
      </c>
    </row>
    <row r="8247" spans="1:11" x14ac:dyDescent="0.3">
      <c r="A8247" t="s">
        <v>2136</v>
      </c>
      <c r="B8247" t="s">
        <v>2143</v>
      </c>
      <c r="C8247">
        <v>2</v>
      </c>
      <c r="D8247" t="s">
        <v>1447</v>
      </c>
      <c r="E8247" t="s">
        <v>2145</v>
      </c>
      <c r="F8247" t="s">
        <v>1806</v>
      </c>
      <c r="I8247" s="165" t="str">
        <f>IF(ISBLANK('Q 9'!$G75),"",IF('Q 9'!$G75="&lt;please select&gt;","",'Q 9'!$G75))</f>
        <v>95.7</v>
      </c>
    </row>
    <row r="8248" spans="1:11" x14ac:dyDescent="0.3">
      <c r="A8248" t="s">
        <v>2136</v>
      </c>
      <c r="B8248" t="s">
        <v>2143</v>
      </c>
      <c r="C8248">
        <v>3</v>
      </c>
      <c r="D8248" t="s">
        <v>1447</v>
      </c>
      <c r="E8248" t="s">
        <v>2145</v>
      </c>
      <c r="F8248" t="s">
        <v>1806</v>
      </c>
      <c r="I8248" s="165" t="str">
        <f>IF(ISBLANK('Q 9'!$G76),"",IF('Q 9'!$G76="&lt;please select&gt;","",'Q 9'!$G76))</f>
        <v/>
      </c>
    </row>
    <row r="8249" spans="1:11" x14ac:dyDescent="0.3">
      <c r="A8249" t="s">
        <v>2136</v>
      </c>
      <c r="B8249" t="s">
        <v>2143</v>
      </c>
      <c r="C8249">
        <v>4</v>
      </c>
      <c r="D8249" t="s">
        <v>1447</v>
      </c>
      <c r="E8249" t="s">
        <v>2145</v>
      </c>
      <c r="F8249" t="s">
        <v>1806</v>
      </c>
      <c r="I8249" s="165" t="str">
        <f>IF(ISBLANK('Q 9'!$G77),"",IF('Q 9'!$G77="&lt;please select&gt;","",'Q 9'!$G77))</f>
        <v/>
      </c>
    </row>
    <row r="8250" spans="1:11" x14ac:dyDescent="0.3">
      <c r="A8250" t="s">
        <v>2136</v>
      </c>
      <c r="B8250" t="s">
        <v>2143</v>
      </c>
      <c r="C8250">
        <v>5</v>
      </c>
      <c r="D8250" t="s">
        <v>1447</v>
      </c>
      <c r="E8250" t="s">
        <v>2145</v>
      </c>
      <c r="F8250" t="s">
        <v>1806</v>
      </c>
      <c r="I8250" s="165" t="str">
        <f>IF(ISBLANK('Q 9'!$G78),"",IF('Q 9'!$G78="&lt;please select&gt;","",'Q 9'!$G78))</f>
        <v/>
      </c>
    </row>
    <row r="8251" spans="1:11" x14ac:dyDescent="0.3">
      <c r="A8251" t="s">
        <v>2136</v>
      </c>
      <c r="B8251" t="s">
        <v>2143</v>
      </c>
      <c r="C8251">
        <v>6</v>
      </c>
      <c r="D8251" t="s">
        <v>1447</v>
      </c>
      <c r="E8251" t="s">
        <v>2145</v>
      </c>
      <c r="F8251" t="s">
        <v>1806</v>
      </c>
      <c r="I8251" s="165" t="str">
        <f>IF(ISBLANK('Q 9'!$G79),"",IF('Q 9'!$G79="&lt;please select&gt;","",'Q 9'!$G79))</f>
        <v/>
      </c>
    </row>
    <row r="8252" spans="1:11" x14ac:dyDescent="0.3">
      <c r="A8252" t="s">
        <v>2136</v>
      </c>
      <c r="B8252" t="s">
        <v>2143</v>
      </c>
      <c r="C8252">
        <v>7</v>
      </c>
      <c r="D8252" t="s">
        <v>1447</v>
      </c>
      <c r="E8252" t="s">
        <v>2145</v>
      </c>
      <c r="F8252" t="s">
        <v>1806</v>
      </c>
      <c r="I8252" s="165" t="str">
        <f>IF(ISBLANK('Q 9'!$G80),"",IF('Q 9'!$G80="&lt;please select&gt;","",'Q 9'!$G80))</f>
        <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No</v>
      </c>
    </row>
    <row r="8257" spans="1:11" x14ac:dyDescent="0.3">
      <c r="A8257" t="s">
        <v>2146</v>
      </c>
      <c r="B8257" t="s">
        <v>2147</v>
      </c>
      <c r="C8257">
        <v>2</v>
      </c>
      <c r="D8257" t="s">
        <v>1447</v>
      </c>
      <c r="E8257" t="s">
        <v>2148</v>
      </c>
      <c r="F8257" t="s">
        <v>1759</v>
      </c>
      <c r="K8257" t="str">
        <f>IF(ISBLANK('Q 10'!$H8),"",IF('Q 10'!$H8="&lt;please select&gt;","",'Q 10'!$H8))</f>
        <v>No</v>
      </c>
    </row>
    <row r="8258" spans="1:11" x14ac:dyDescent="0.3">
      <c r="A8258" t="s">
        <v>2146</v>
      </c>
      <c r="B8258" t="s">
        <v>2147</v>
      </c>
      <c r="C8258">
        <v>3</v>
      </c>
      <c r="D8258" t="s">
        <v>1447</v>
      </c>
      <c r="E8258" t="s">
        <v>2148</v>
      </c>
      <c r="F8258" t="s">
        <v>1759</v>
      </c>
      <c r="K8258" t="str">
        <f>IF(ISBLANK('Q 10'!$H9),"",IF('Q 10'!$H9="&lt;please select&gt;","",'Q 10'!$H9))</f>
        <v>No</v>
      </c>
    </row>
    <row r="8259" spans="1:11" x14ac:dyDescent="0.3">
      <c r="A8259" t="s">
        <v>2146</v>
      </c>
      <c r="B8259" t="s">
        <v>2147</v>
      </c>
      <c r="C8259">
        <v>4</v>
      </c>
      <c r="D8259" t="s">
        <v>1447</v>
      </c>
      <c r="E8259" t="s">
        <v>2148</v>
      </c>
      <c r="F8259" t="s">
        <v>1759</v>
      </c>
      <c r="K8259" t="str">
        <f>IF(ISBLANK('Q 10'!$H10),"",IF('Q 10'!$H10="&lt;please select&gt;","",'Q 10'!$H10))</f>
        <v>No</v>
      </c>
    </row>
    <row r="8260" spans="1:11" x14ac:dyDescent="0.3">
      <c r="A8260" t="s">
        <v>2146</v>
      </c>
      <c r="B8260" t="s">
        <v>2147</v>
      </c>
      <c r="C8260">
        <v>5</v>
      </c>
      <c r="D8260" t="s">
        <v>1447</v>
      </c>
      <c r="E8260" t="s">
        <v>2148</v>
      </c>
      <c r="F8260" t="s">
        <v>1759</v>
      </c>
      <c r="K8260" t="str">
        <f>IF(ISBLANK('Q 10'!$H11),"",IF('Q 10'!$H11="&lt;please select&gt;","",'Q 10'!$H11))</f>
        <v>No</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
      </c>
    </row>
    <row r="8265" spans="1:11" x14ac:dyDescent="0.3">
      <c r="A8265" t="s">
        <v>2146</v>
      </c>
      <c r="B8265" t="s">
        <v>2147</v>
      </c>
      <c r="C8265">
        <v>2</v>
      </c>
      <c r="D8265" t="s">
        <v>1447</v>
      </c>
      <c r="E8265" t="s">
        <v>2149</v>
      </c>
      <c r="F8265" t="s">
        <v>1791</v>
      </c>
      <c r="J8265" t="str">
        <f>IF(ISBLANK('Q 10'!$I8),"",IF('Q 10'!$I8="&lt;please select&gt;","",'Q 10'!$I8))</f>
        <v/>
      </c>
    </row>
    <row r="8266" spans="1:11" x14ac:dyDescent="0.3">
      <c r="A8266" t="s">
        <v>2146</v>
      </c>
      <c r="B8266" t="s">
        <v>2147</v>
      </c>
      <c r="C8266">
        <v>3</v>
      </c>
      <c r="D8266" t="s">
        <v>1447</v>
      </c>
      <c r="E8266" t="s">
        <v>2149</v>
      </c>
      <c r="F8266" t="s">
        <v>1791</v>
      </c>
      <c r="J8266" t="str">
        <f>IF(ISBLANK('Q 10'!$I9),"",IF('Q 10'!$I9="&lt;please select&gt;","",'Q 10'!$I9))</f>
        <v/>
      </c>
    </row>
    <row r="8267" spans="1:11" x14ac:dyDescent="0.3">
      <c r="A8267" t="s">
        <v>2146</v>
      </c>
      <c r="B8267" t="s">
        <v>2147</v>
      </c>
      <c r="C8267">
        <v>4</v>
      </c>
      <c r="D8267" t="s">
        <v>1447</v>
      </c>
      <c r="E8267" t="s">
        <v>2149</v>
      </c>
      <c r="F8267" t="s">
        <v>1791</v>
      </c>
      <c r="J8267" t="str">
        <f>IF(ISBLANK('Q 10'!$I10),"",IF('Q 10'!$I10="&lt;please select&gt;","",'Q 10'!$I10))</f>
        <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
      </c>
    </row>
    <row r="8277" spans="1:10" x14ac:dyDescent="0.3">
      <c r="A8277" t="s">
        <v>2151</v>
      </c>
      <c r="B8277" t="s">
        <v>2152</v>
      </c>
      <c r="C8277">
        <v>2</v>
      </c>
      <c r="D8277" t="s">
        <v>1447</v>
      </c>
      <c r="E8277" t="s">
        <v>2111</v>
      </c>
      <c r="F8277" t="s">
        <v>1806</v>
      </c>
      <c r="I8277" s="165" t="str">
        <f>IF(ISBLANK('Q 10'!$E22),"",IF('Q 10'!$E22="&lt;please select&gt;","",'Q 10'!$E22))</f>
        <v/>
      </c>
    </row>
    <row r="8278" spans="1:10" x14ac:dyDescent="0.3">
      <c r="A8278" t="s">
        <v>2151</v>
      </c>
      <c r="B8278" t="s">
        <v>2152</v>
      </c>
      <c r="C8278">
        <v>3</v>
      </c>
      <c r="D8278" t="s">
        <v>1447</v>
      </c>
      <c r="E8278" t="s">
        <v>2111</v>
      </c>
      <c r="F8278" t="s">
        <v>1806</v>
      </c>
      <c r="I8278" s="165" t="str">
        <f>IF(ISBLANK('Q 10'!$E23),"",IF('Q 10'!$E23="&lt;please select&gt;","",'Q 10'!$E23))</f>
        <v/>
      </c>
    </row>
    <row r="8279" spans="1:10" x14ac:dyDescent="0.3">
      <c r="A8279" t="s">
        <v>2151</v>
      </c>
      <c r="B8279" t="s">
        <v>2152</v>
      </c>
      <c r="C8279">
        <v>4</v>
      </c>
      <c r="D8279" t="s">
        <v>1447</v>
      </c>
      <c r="E8279" t="s">
        <v>2111</v>
      </c>
      <c r="F8279" t="s">
        <v>1806</v>
      </c>
      <c r="I8279" s="165" t="str">
        <f>IF(ISBLANK('Q 10'!$E24),"",IF('Q 10'!$E24="&lt;please select&gt;","",'Q 10'!$E24))</f>
        <v/>
      </c>
    </row>
    <row r="8280" spans="1:10" x14ac:dyDescent="0.3">
      <c r="A8280" t="s">
        <v>2151</v>
      </c>
      <c r="B8280" t="s">
        <v>2152</v>
      </c>
      <c r="C8280">
        <v>5</v>
      </c>
      <c r="D8280" t="s">
        <v>1447</v>
      </c>
      <c r="E8280" t="s">
        <v>2111</v>
      </c>
      <c r="F8280" t="s">
        <v>1806</v>
      </c>
      <c r="I8280" s="165" t="str">
        <f>IF(ISBLANK('Q 10'!$E25),"",IF('Q 10'!$E25="&lt;please select&gt;","",'Q 10'!$E25))</f>
        <v/>
      </c>
    </row>
    <row r="8281" spans="1:10" x14ac:dyDescent="0.3">
      <c r="A8281" t="s">
        <v>2151</v>
      </c>
      <c r="B8281" t="s">
        <v>2152</v>
      </c>
      <c r="C8281">
        <v>6</v>
      </c>
      <c r="D8281" t="s">
        <v>1447</v>
      </c>
      <c r="E8281" t="s">
        <v>2111</v>
      </c>
      <c r="F8281" t="s">
        <v>1806</v>
      </c>
      <c r="I8281" s="165" t="str">
        <f>IF(ISBLANK('Q 10'!$E26),"",IF('Q 10'!$E26="&lt;please select&gt;","",'Q 10'!$E26))</f>
        <v/>
      </c>
    </row>
    <row r="8282" spans="1:10" x14ac:dyDescent="0.3">
      <c r="A8282" t="s">
        <v>2151</v>
      </c>
      <c r="B8282" t="s">
        <v>2152</v>
      </c>
      <c r="C8282">
        <v>7</v>
      </c>
      <c r="D8282" t="s">
        <v>1447</v>
      </c>
      <c r="E8282" t="s">
        <v>2111</v>
      </c>
      <c r="F8282" t="s">
        <v>1806</v>
      </c>
      <c r="I8282" s="165" t="str">
        <f>IF(ISBLANK('Q 10'!$E27),"",IF('Q 10'!$E27="&lt;please select&gt;","",'Q 10'!$E27))</f>
        <v/>
      </c>
    </row>
    <row r="8283" spans="1:10" x14ac:dyDescent="0.3">
      <c r="A8283" t="s">
        <v>2151</v>
      </c>
      <c r="B8283" t="s">
        <v>2152</v>
      </c>
      <c r="C8283">
        <v>8</v>
      </c>
      <c r="D8283" t="s">
        <v>1447</v>
      </c>
      <c r="E8283" t="s">
        <v>2111</v>
      </c>
      <c r="F8283" t="s">
        <v>1806</v>
      </c>
      <c r="I8283" s="165" t="str">
        <f>IF(ISBLANK('Q 10'!$E28),"",IF('Q 10'!$E28="&lt;please select&gt;","",'Q 10'!$E28))</f>
        <v/>
      </c>
    </row>
    <row r="8284" spans="1:10" x14ac:dyDescent="0.3">
      <c r="A8284" t="s">
        <v>2151</v>
      </c>
      <c r="B8284" t="s">
        <v>2152</v>
      </c>
      <c r="C8284">
        <v>9</v>
      </c>
      <c r="D8284" t="s">
        <v>1447</v>
      </c>
      <c r="E8284" t="s">
        <v>2111</v>
      </c>
      <c r="F8284" t="s">
        <v>1806</v>
      </c>
      <c r="I8284" s="165" t="str">
        <f>IF(ISBLANK('Q 10'!$E29),"",IF('Q 10'!$E29="&lt;please select&gt;","",'Q 10'!$E29))</f>
        <v/>
      </c>
    </row>
    <row r="8285" spans="1:10" x14ac:dyDescent="0.3">
      <c r="A8285" t="s">
        <v>2151</v>
      </c>
      <c r="B8285" t="s">
        <v>2152</v>
      </c>
      <c r="C8285">
        <v>10</v>
      </c>
      <c r="D8285" t="s">
        <v>1447</v>
      </c>
      <c r="E8285" t="s">
        <v>2111</v>
      </c>
      <c r="F8285" t="s">
        <v>1806</v>
      </c>
      <c r="I8285" s="165" t="str">
        <f>IF(ISBLANK('Q 10'!$E30),"",IF('Q 10'!$E30="&lt;please select&gt;","",'Q 10'!$E30))</f>
        <v/>
      </c>
    </row>
    <row r="8286" spans="1:10" x14ac:dyDescent="0.3">
      <c r="A8286" t="s">
        <v>2151</v>
      </c>
      <c r="B8286" t="s">
        <v>2152</v>
      </c>
      <c r="C8286">
        <v>11</v>
      </c>
      <c r="D8286" t="s">
        <v>1447</v>
      </c>
      <c r="E8286" t="s">
        <v>2111</v>
      </c>
      <c r="F8286" t="s">
        <v>1806</v>
      </c>
      <c r="I8286" s="165" t="str">
        <f>IF(ISBLANK('Q 10'!$E31),"",IF('Q 10'!$E31="&lt;please select&gt;","",'Q 10'!$E31))</f>
        <v/>
      </c>
    </row>
    <row r="8287" spans="1:10" x14ac:dyDescent="0.3">
      <c r="A8287" t="s">
        <v>2151</v>
      </c>
      <c r="B8287" t="s">
        <v>2152</v>
      </c>
      <c r="C8287">
        <v>12</v>
      </c>
      <c r="D8287" t="s">
        <v>1447</v>
      </c>
      <c r="E8287" t="s">
        <v>2111</v>
      </c>
      <c r="F8287" t="s">
        <v>1806</v>
      </c>
      <c r="I8287" s="165" t="str">
        <f>IF(ISBLANK('Q 10'!$E32),"",IF('Q 10'!$E32="&lt;please select&gt;","",'Q 10'!$E32))</f>
        <v/>
      </c>
    </row>
    <row r="8288" spans="1:10" x14ac:dyDescent="0.3">
      <c r="A8288" t="s">
        <v>2151</v>
      </c>
      <c r="B8288" t="s">
        <v>2152</v>
      </c>
      <c r="C8288">
        <v>13</v>
      </c>
      <c r="D8288" t="s">
        <v>1447</v>
      </c>
      <c r="E8288" t="s">
        <v>2111</v>
      </c>
      <c r="F8288" t="s">
        <v>1806</v>
      </c>
      <c r="I8288" s="165" t="str">
        <f>IF(ISBLANK('Q 10'!$E33),"",IF('Q 10'!$E33="&lt;please select&gt;","",'Q 10'!$E33))</f>
        <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
      </c>
    </row>
    <row r="8313" spans="1:9" x14ac:dyDescent="0.3">
      <c r="A8313" t="s">
        <v>2151</v>
      </c>
      <c r="B8313" t="s">
        <v>2152</v>
      </c>
      <c r="C8313">
        <v>2</v>
      </c>
      <c r="D8313" t="s">
        <v>1447</v>
      </c>
      <c r="E8313" t="s">
        <v>2112</v>
      </c>
      <c r="F8313" t="s">
        <v>1806</v>
      </c>
      <c r="I8313" s="165" t="str">
        <f>IF(ISBLANK('Q 10'!$F22),"",IF('Q 10'!$F22="&lt;please select&gt;","",'Q 10'!$F22))</f>
        <v/>
      </c>
    </row>
    <row r="8314" spans="1:9" x14ac:dyDescent="0.3">
      <c r="A8314" t="s">
        <v>2151</v>
      </c>
      <c r="B8314" t="s">
        <v>2152</v>
      </c>
      <c r="C8314">
        <v>3</v>
      </c>
      <c r="D8314" t="s">
        <v>1447</v>
      </c>
      <c r="E8314" t="s">
        <v>2112</v>
      </c>
      <c r="F8314" t="s">
        <v>1806</v>
      </c>
      <c r="I8314" s="165" t="str">
        <f>IF(ISBLANK('Q 10'!$F23),"",IF('Q 10'!$F23="&lt;please select&gt;","",'Q 10'!$F23))</f>
        <v/>
      </c>
    </row>
    <row r="8315" spans="1:9" x14ac:dyDescent="0.3">
      <c r="A8315" t="s">
        <v>2151</v>
      </c>
      <c r="B8315" t="s">
        <v>2152</v>
      </c>
      <c r="C8315">
        <v>4</v>
      </c>
      <c r="D8315" t="s">
        <v>1447</v>
      </c>
      <c r="E8315" t="s">
        <v>2112</v>
      </c>
      <c r="F8315" t="s">
        <v>1806</v>
      </c>
      <c r="I8315" s="165" t="str">
        <f>IF(ISBLANK('Q 10'!$F24),"",IF('Q 10'!$F24="&lt;please select&gt;","",'Q 10'!$F24))</f>
        <v/>
      </c>
    </row>
    <row r="8316" spans="1:9" x14ac:dyDescent="0.3">
      <c r="A8316" t="s">
        <v>2151</v>
      </c>
      <c r="B8316" t="s">
        <v>2152</v>
      </c>
      <c r="C8316">
        <v>5</v>
      </c>
      <c r="D8316" t="s">
        <v>1447</v>
      </c>
      <c r="E8316" t="s">
        <v>2112</v>
      </c>
      <c r="F8316" t="s">
        <v>1806</v>
      </c>
      <c r="I8316" s="165" t="str">
        <f>IF(ISBLANK('Q 10'!$F25),"",IF('Q 10'!$F25="&lt;please select&gt;","",'Q 10'!$F25))</f>
        <v/>
      </c>
    </row>
    <row r="8317" spans="1:9" x14ac:dyDescent="0.3">
      <c r="A8317" t="s">
        <v>2151</v>
      </c>
      <c r="B8317" t="s">
        <v>2152</v>
      </c>
      <c r="C8317">
        <v>6</v>
      </c>
      <c r="D8317" t="s">
        <v>1447</v>
      </c>
      <c r="E8317" t="s">
        <v>2112</v>
      </c>
      <c r="F8317" t="s">
        <v>1806</v>
      </c>
      <c r="I8317" s="165" t="str">
        <f>IF(ISBLANK('Q 10'!$F26),"",IF('Q 10'!$F26="&lt;please select&gt;","",'Q 10'!$F26))</f>
        <v/>
      </c>
    </row>
    <row r="8318" spans="1:9" x14ac:dyDescent="0.3">
      <c r="A8318" t="s">
        <v>2151</v>
      </c>
      <c r="B8318" t="s">
        <v>2152</v>
      </c>
      <c r="C8318">
        <v>7</v>
      </c>
      <c r="D8318" t="s">
        <v>1447</v>
      </c>
      <c r="E8318" t="s">
        <v>2112</v>
      </c>
      <c r="F8318" t="s">
        <v>1806</v>
      </c>
      <c r="I8318" s="165" t="str">
        <f>IF(ISBLANK('Q 10'!$F27),"",IF('Q 10'!$F27="&lt;please select&gt;","",'Q 10'!$F27))</f>
        <v/>
      </c>
    </row>
    <row r="8319" spans="1:9" x14ac:dyDescent="0.3">
      <c r="A8319" t="s">
        <v>2151</v>
      </c>
      <c r="B8319" t="s">
        <v>2152</v>
      </c>
      <c r="C8319">
        <v>8</v>
      </c>
      <c r="D8319" t="s">
        <v>1447</v>
      </c>
      <c r="E8319" t="s">
        <v>2112</v>
      </c>
      <c r="F8319" t="s">
        <v>1806</v>
      </c>
      <c r="I8319" s="165" t="str">
        <f>IF(ISBLANK('Q 10'!$F28),"",IF('Q 10'!$F28="&lt;please select&gt;","",'Q 10'!$F28))</f>
        <v/>
      </c>
    </row>
    <row r="8320" spans="1:9" x14ac:dyDescent="0.3">
      <c r="A8320" t="s">
        <v>2151</v>
      </c>
      <c r="B8320" t="s">
        <v>2152</v>
      </c>
      <c r="C8320">
        <v>9</v>
      </c>
      <c r="D8320" t="s">
        <v>1447</v>
      </c>
      <c r="E8320" t="s">
        <v>2112</v>
      </c>
      <c r="F8320" t="s">
        <v>1806</v>
      </c>
      <c r="I8320" s="165" t="str">
        <f>IF(ISBLANK('Q 10'!$F29),"",IF('Q 10'!$F29="&lt;please select&gt;","",'Q 10'!$F29))</f>
        <v/>
      </c>
    </row>
    <row r="8321" spans="1:9" x14ac:dyDescent="0.3">
      <c r="A8321" t="s">
        <v>2151</v>
      </c>
      <c r="B8321" t="s">
        <v>2152</v>
      </c>
      <c r="C8321">
        <v>10</v>
      </c>
      <c r="D8321" t="s">
        <v>1447</v>
      </c>
      <c r="E8321" t="s">
        <v>2112</v>
      </c>
      <c r="F8321" t="s">
        <v>1806</v>
      </c>
      <c r="I8321" s="165" t="str">
        <f>IF(ISBLANK('Q 10'!$F30),"",IF('Q 10'!$F30="&lt;please select&gt;","",'Q 10'!$F30))</f>
        <v/>
      </c>
    </row>
    <row r="8322" spans="1:9" x14ac:dyDescent="0.3">
      <c r="A8322" t="s">
        <v>2151</v>
      </c>
      <c r="B8322" t="s">
        <v>2152</v>
      </c>
      <c r="C8322">
        <v>11</v>
      </c>
      <c r="D8322" t="s">
        <v>1447</v>
      </c>
      <c r="E8322" t="s">
        <v>2112</v>
      </c>
      <c r="F8322" t="s">
        <v>1806</v>
      </c>
      <c r="I8322" s="165" t="str">
        <f>IF(ISBLANK('Q 10'!$F31),"",IF('Q 10'!$F31="&lt;please select&gt;","",'Q 10'!$F31))</f>
        <v/>
      </c>
    </row>
    <row r="8323" spans="1:9" x14ac:dyDescent="0.3">
      <c r="A8323" t="s">
        <v>2151</v>
      </c>
      <c r="B8323" t="s">
        <v>2152</v>
      </c>
      <c r="C8323">
        <v>12</v>
      </c>
      <c r="D8323" t="s">
        <v>1447</v>
      </c>
      <c r="E8323" t="s">
        <v>2112</v>
      </c>
      <c r="F8323" t="s">
        <v>1806</v>
      </c>
      <c r="I8323" s="165" t="str">
        <f>IF(ISBLANK('Q 10'!$F32),"",IF('Q 10'!$F32="&lt;please select&gt;","",'Q 10'!$F32))</f>
        <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
      </c>
    </row>
    <row r="8349" spans="1:9" x14ac:dyDescent="0.3">
      <c r="A8349" t="s">
        <v>2151</v>
      </c>
      <c r="B8349" t="s">
        <v>2152</v>
      </c>
      <c r="C8349">
        <v>2</v>
      </c>
      <c r="D8349" t="s">
        <v>1447</v>
      </c>
      <c r="E8349" t="s">
        <v>2113</v>
      </c>
      <c r="F8349" t="s">
        <v>1806</v>
      </c>
      <c r="I8349" s="165" t="str">
        <f>IF(ISBLANK('Q 10'!$G22),"",IF('Q 10'!$G22="&lt;please select&gt;","",'Q 10'!$G22))</f>
        <v/>
      </c>
    </row>
    <row r="8350" spans="1:9" x14ac:dyDescent="0.3">
      <c r="A8350" t="s">
        <v>2151</v>
      </c>
      <c r="B8350" t="s">
        <v>2152</v>
      </c>
      <c r="C8350">
        <v>3</v>
      </c>
      <c r="D8350" t="s">
        <v>1447</v>
      </c>
      <c r="E8350" t="s">
        <v>2113</v>
      </c>
      <c r="F8350" t="s">
        <v>1806</v>
      </c>
      <c r="I8350" s="165" t="str">
        <f>IF(ISBLANK('Q 10'!$G23),"",IF('Q 10'!$G23="&lt;please select&gt;","",'Q 10'!$G23))</f>
        <v/>
      </c>
    </row>
    <row r="8351" spans="1:9" x14ac:dyDescent="0.3">
      <c r="A8351" t="s">
        <v>2151</v>
      </c>
      <c r="B8351" t="s">
        <v>2152</v>
      </c>
      <c r="C8351">
        <v>4</v>
      </c>
      <c r="D8351" t="s">
        <v>1447</v>
      </c>
      <c r="E8351" t="s">
        <v>2113</v>
      </c>
      <c r="F8351" t="s">
        <v>1806</v>
      </c>
      <c r="I8351" s="165" t="str">
        <f>IF(ISBLANK('Q 10'!$G24),"",IF('Q 10'!$G24="&lt;please select&gt;","",'Q 10'!$G24))</f>
        <v/>
      </c>
    </row>
    <row r="8352" spans="1:9" x14ac:dyDescent="0.3">
      <c r="A8352" t="s">
        <v>2151</v>
      </c>
      <c r="B8352" t="s">
        <v>2152</v>
      </c>
      <c r="C8352">
        <v>5</v>
      </c>
      <c r="D8352" t="s">
        <v>1447</v>
      </c>
      <c r="E8352" t="s">
        <v>2113</v>
      </c>
      <c r="F8352" t="s">
        <v>1806</v>
      </c>
      <c r="I8352" s="165" t="str">
        <f>IF(ISBLANK('Q 10'!$G25),"",IF('Q 10'!$G25="&lt;please select&gt;","",'Q 10'!$G25))</f>
        <v/>
      </c>
    </row>
    <row r="8353" spans="1:9" x14ac:dyDescent="0.3">
      <c r="A8353" t="s">
        <v>2151</v>
      </c>
      <c r="B8353" t="s">
        <v>2152</v>
      </c>
      <c r="C8353">
        <v>6</v>
      </c>
      <c r="D8353" t="s">
        <v>1447</v>
      </c>
      <c r="E8353" t="s">
        <v>2113</v>
      </c>
      <c r="F8353" t="s">
        <v>1806</v>
      </c>
      <c r="I8353" s="165" t="str">
        <f>IF(ISBLANK('Q 10'!$G26),"",IF('Q 10'!$G26="&lt;please select&gt;","",'Q 10'!$G26))</f>
        <v/>
      </c>
    </row>
    <row r="8354" spans="1:9" x14ac:dyDescent="0.3">
      <c r="A8354" t="s">
        <v>2151</v>
      </c>
      <c r="B8354" t="s">
        <v>2152</v>
      </c>
      <c r="C8354">
        <v>7</v>
      </c>
      <c r="D8354" t="s">
        <v>1447</v>
      </c>
      <c r="E8354" t="s">
        <v>2113</v>
      </c>
      <c r="F8354" t="s">
        <v>1806</v>
      </c>
      <c r="I8354" s="165" t="str">
        <f>IF(ISBLANK('Q 10'!$G27),"",IF('Q 10'!$G27="&lt;please select&gt;","",'Q 10'!$G27))</f>
        <v/>
      </c>
    </row>
    <row r="8355" spans="1:9" x14ac:dyDescent="0.3">
      <c r="A8355" t="s">
        <v>2151</v>
      </c>
      <c r="B8355" t="s">
        <v>2152</v>
      </c>
      <c r="C8355">
        <v>8</v>
      </c>
      <c r="D8355" t="s">
        <v>1447</v>
      </c>
      <c r="E8355" t="s">
        <v>2113</v>
      </c>
      <c r="F8355" t="s">
        <v>1806</v>
      </c>
      <c r="I8355" s="165" t="str">
        <f>IF(ISBLANK('Q 10'!$G28),"",IF('Q 10'!$G28="&lt;please select&gt;","",'Q 10'!$G28))</f>
        <v/>
      </c>
    </row>
    <row r="8356" spans="1:9" x14ac:dyDescent="0.3">
      <c r="A8356" t="s">
        <v>2151</v>
      </c>
      <c r="B8356" t="s">
        <v>2152</v>
      </c>
      <c r="C8356">
        <v>9</v>
      </c>
      <c r="D8356" t="s">
        <v>1447</v>
      </c>
      <c r="E8356" t="s">
        <v>2113</v>
      </c>
      <c r="F8356" t="s">
        <v>1806</v>
      </c>
      <c r="I8356" s="165" t="str">
        <f>IF(ISBLANK('Q 10'!$G29),"",IF('Q 10'!$G29="&lt;please select&gt;","",'Q 10'!$G29))</f>
        <v/>
      </c>
    </row>
    <row r="8357" spans="1:9" x14ac:dyDescent="0.3">
      <c r="A8357" t="s">
        <v>2151</v>
      </c>
      <c r="B8357" t="s">
        <v>2152</v>
      </c>
      <c r="C8357">
        <v>10</v>
      </c>
      <c r="D8357" t="s">
        <v>1447</v>
      </c>
      <c r="E8357" t="s">
        <v>2113</v>
      </c>
      <c r="F8357" t="s">
        <v>1806</v>
      </c>
      <c r="I8357" s="165" t="str">
        <f>IF(ISBLANK('Q 10'!$G30),"",IF('Q 10'!$G30="&lt;please select&gt;","",'Q 10'!$G30))</f>
        <v/>
      </c>
    </row>
    <row r="8358" spans="1:9" x14ac:dyDescent="0.3">
      <c r="A8358" t="s">
        <v>2151</v>
      </c>
      <c r="B8358" t="s">
        <v>2152</v>
      </c>
      <c r="C8358">
        <v>11</v>
      </c>
      <c r="D8358" t="s">
        <v>1447</v>
      </c>
      <c r="E8358" t="s">
        <v>2113</v>
      </c>
      <c r="F8358" t="s">
        <v>1806</v>
      </c>
      <c r="I8358" s="165" t="str">
        <f>IF(ISBLANK('Q 10'!$G31),"",IF('Q 10'!$G31="&lt;please select&gt;","",'Q 10'!$G31))</f>
        <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
      </c>
    </row>
    <row r="8385" spans="1:9" x14ac:dyDescent="0.3">
      <c r="A8385" t="s">
        <v>2151</v>
      </c>
      <c r="B8385" t="s">
        <v>2152</v>
      </c>
      <c r="C8385">
        <v>2</v>
      </c>
      <c r="D8385" t="s">
        <v>1447</v>
      </c>
      <c r="E8385" t="s">
        <v>2114</v>
      </c>
      <c r="F8385" t="s">
        <v>1806</v>
      </c>
      <c r="I8385" s="165" t="str">
        <f>IF(ISBLANK('Q 10'!$H22),"",IF('Q 10'!$H22="&lt;please select&gt;","",'Q 10'!$H22))</f>
        <v/>
      </c>
    </row>
    <row r="8386" spans="1:9" x14ac:dyDescent="0.3">
      <c r="A8386" t="s">
        <v>2151</v>
      </c>
      <c r="B8386" t="s">
        <v>2152</v>
      </c>
      <c r="C8386">
        <v>3</v>
      </c>
      <c r="D8386" t="s">
        <v>1447</v>
      </c>
      <c r="E8386" t="s">
        <v>2114</v>
      </c>
      <c r="F8386" t="s">
        <v>1806</v>
      </c>
      <c r="I8386" s="165" t="str">
        <f>IF(ISBLANK('Q 10'!$H23),"",IF('Q 10'!$H23="&lt;please select&gt;","",'Q 10'!$H23))</f>
        <v/>
      </c>
    </row>
    <row r="8387" spans="1:9" x14ac:dyDescent="0.3">
      <c r="A8387" t="s">
        <v>2151</v>
      </c>
      <c r="B8387" t="s">
        <v>2152</v>
      </c>
      <c r="C8387">
        <v>4</v>
      </c>
      <c r="D8387" t="s">
        <v>1447</v>
      </c>
      <c r="E8387" t="s">
        <v>2114</v>
      </c>
      <c r="F8387" t="s">
        <v>1806</v>
      </c>
      <c r="I8387" s="165" t="str">
        <f>IF(ISBLANK('Q 10'!$H24),"",IF('Q 10'!$H24="&lt;please select&gt;","",'Q 10'!$H24))</f>
        <v/>
      </c>
    </row>
    <row r="8388" spans="1:9" x14ac:dyDescent="0.3">
      <c r="A8388" t="s">
        <v>2151</v>
      </c>
      <c r="B8388" t="s">
        <v>2152</v>
      </c>
      <c r="C8388">
        <v>5</v>
      </c>
      <c r="D8388" t="s">
        <v>1447</v>
      </c>
      <c r="E8388" t="s">
        <v>2114</v>
      </c>
      <c r="F8388" t="s">
        <v>1806</v>
      </c>
      <c r="I8388" s="165" t="str">
        <f>IF(ISBLANK('Q 10'!$H25),"",IF('Q 10'!$H25="&lt;please select&gt;","",'Q 10'!$H25))</f>
        <v/>
      </c>
    </row>
    <row r="8389" spans="1:9" x14ac:dyDescent="0.3">
      <c r="A8389" t="s">
        <v>2151</v>
      </c>
      <c r="B8389" t="s">
        <v>2152</v>
      </c>
      <c r="C8389">
        <v>6</v>
      </c>
      <c r="D8389" t="s">
        <v>1447</v>
      </c>
      <c r="E8389" t="s">
        <v>2114</v>
      </c>
      <c r="F8389" t="s">
        <v>1806</v>
      </c>
      <c r="I8389" s="165" t="str">
        <f>IF(ISBLANK('Q 10'!$H26),"",IF('Q 10'!$H26="&lt;please select&gt;","",'Q 10'!$H26))</f>
        <v/>
      </c>
    </row>
    <row r="8390" spans="1:9" x14ac:dyDescent="0.3">
      <c r="A8390" t="s">
        <v>2151</v>
      </c>
      <c r="B8390" t="s">
        <v>2152</v>
      </c>
      <c r="C8390">
        <v>7</v>
      </c>
      <c r="D8390" t="s">
        <v>1447</v>
      </c>
      <c r="E8390" t="s">
        <v>2114</v>
      </c>
      <c r="F8390" t="s">
        <v>1806</v>
      </c>
      <c r="I8390" s="165" t="str">
        <f>IF(ISBLANK('Q 10'!$H27),"",IF('Q 10'!$H27="&lt;please select&gt;","",'Q 10'!$H27))</f>
        <v/>
      </c>
    </row>
    <row r="8391" spans="1:9" x14ac:dyDescent="0.3">
      <c r="A8391" t="s">
        <v>2151</v>
      </c>
      <c r="B8391" t="s">
        <v>2152</v>
      </c>
      <c r="C8391">
        <v>8</v>
      </c>
      <c r="D8391" t="s">
        <v>1447</v>
      </c>
      <c r="E8391" t="s">
        <v>2114</v>
      </c>
      <c r="F8391" t="s">
        <v>1806</v>
      </c>
      <c r="I8391" s="165" t="str">
        <f>IF(ISBLANK('Q 10'!$H28),"",IF('Q 10'!$H28="&lt;please select&gt;","",'Q 10'!$H28))</f>
        <v/>
      </c>
    </row>
    <row r="8392" spans="1:9" x14ac:dyDescent="0.3">
      <c r="A8392" t="s">
        <v>2151</v>
      </c>
      <c r="B8392" t="s">
        <v>2152</v>
      </c>
      <c r="C8392">
        <v>9</v>
      </c>
      <c r="D8392" t="s">
        <v>1447</v>
      </c>
      <c r="E8392" t="s">
        <v>2114</v>
      </c>
      <c r="F8392" t="s">
        <v>1806</v>
      </c>
      <c r="I8392" s="165" t="str">
        <f>IF(ISBLANK('Q 10'!$H29),"",IF('Q 10'!$H29="&lt;please select&gt;","",'Q 10'!$H29))</f>
        <v/>
      </c>
    </row>
    <row r="8393" spans="1:9" x14ac:dyDescent="0.3">
      <c r="A8393" t="s">
        <v>2151</v>
      </c>
      <c r="B8393" t="s">
        <v>2152</v>
      </c>
      <c r="C8393">
        <v>10</v>
      </c>
      <c r="D8393" t="s">
        <v>1447</v>
      </c>
      <c r="E8393" t="s">
        <v>2114</v>
      </c>
      <c r="F8393" t="s">
        <v>1806</v>
      </c>
      <c r="I8393" s="165" t="str">
        <f>IF(ISBLANK('Q 10'!$H30),"",IF('Q 10'!$H30="&lt;please select&gt;","",'Q 10'!$H30))</f>
        <v/>
      </c>
    </row>
    <row r="8394" spans="1:9" x14ac:dyDescent="0.3">
      <c r="A8394" t="s">
        <v>2151</v>
      </c>
      <c r="B8394" t="s">
        <v>2152</v>
      </c>
      <c r="C8394">
        <v>11</v>
      </c>
      <c r="D8394" t="s">
        <v>1447</v>
      </c>
      <c r="E8394" t="s">
        <v>2114</v>
      </c>
      <c r="F8394" t="s">
        <v>1806</v>
      </c>
      <c r="I8394" s="165" t="str">
        <f>IF(ISBLANK('Q 10'!$H31),"",IF('Q 10'!$H31="&lt;please select&gt;","",'Q 10'!$H31))</f>
        <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
      </c>
    </row>
    <row r="8421" spans="1:10" x14ac:dyDescent="0.3">
      <c r="A8421" t="s">
        <v>2151</v>
      </c>
      <c r="B8421" t="s">
        <v>2152</v>
      </c>
      <c r="C8421">
        <v>2</v>
      </c>
      <c r="D8421" t="s">
        <v>1447</v>
      </c>
      <c r="E8421" t="s">
        <v>2115</v>
      </c>
      <c r="F8421" t="s">
        <v>1791</v>
      </c>
      <c r="J8421" t="str">
        <f>IF(ISBLANK('Q 10'!$I22),"",IF('Q 10'!$I22="&lt;please select&gt;","",'Q 10'!$I22))</f>
        <v/>
      </c>
    </row>
    <row r="8422" spans="1:10" x14ac:dyDescent="0.3">
      <c r="A8422" t="s">
        <v>2151</v>
      </c>
      <c r="B8422" t="s">
        <v>2152</v>
      </c>
      <c r="C8422">
        <v>3</v>
      </c>
      <c r="D8422" t="s">
        <v>1447</v>
      </c>
      <c r="E8422" t="s">
        <v>2115</v>
      </c>
      <c r="F8422" t="s">
        <v>1791</v>
      </c>
      <c r="J8422" t="str">
        <f>IF(ISBLANK('Q 10'!$I23),"",IF('Q 10'!$I23="&lt;please select&gt;","",'Q 10'!$I23))</f>
        <v/>
      </c>
    </row>
    <row r="8423" spans="1:10" x14ac:dyDescent="0.3">
      <c r="A8423" t="s">
        <v>2151</v>
      </c>
      <c r="B8423" t="s">
        <v>2152</v>
      </c>
      <c r="C8423">
        <v>4</v>
      </c>
      <c r="D8423" t="s">
        <v>1447</v>
      </c>
      <c r="E8423" t="s">
        <v>2115</v>
      </c>
      <c r="F8423" t="s">
        <v>1791</v>
      </c>
      <c r="J8423" t="str">
        <f>IF(ISBLANK('Q 10'!$I24),"",IF('Q 10'!$I24="&lt;please select&gt;","",'Q 10'!$I24))</f>
        <v/>
      </c>
    </row>
    <row r="8424" spans="1:10" x14ac:dyDescent="0.3">
      <c r="A8424" t="s">
        <v>2151</v>
      </c>
      <c r="B8424" t="s">
        <v>2152</v>
      </c>
      <c r="C8424">
        <v>5</v>
      </c>
      <c r="D8424" t="s">
        <v>1447</v>
      </c>
      <c r="E8424" t="s">
        <v>2115</v>
      </c>
      <c r="F8424" t="s">
        <v>1791</v>
      </c>
      <c r="J8424" t="str">
        <f>IF(ISBLANK('Q 10'!$I25),"",IF('Q 10'!$I25="&lt;please select&gt;","",'Q 10'!$I25))</f>
        <v/>
      </c>
    </row>
    <row r="8425" spans="1:10" x14ac:dyDescent="0.3">
      <c r="A8425" t="s">
        <v>2151</v>
      </c>
      <c r="B8425" t="s">
        <v>2152</v>
      </c>
      <c r="C8425">
        <v>6</v>
      </c>
      <c r="D8425" t="s">
        <v>1447</v>
      </c>
      <c r="E8425" t="s">
        <v>2115</v>
      </c>
      <c r="F8425" t="s">
        <v>1791</v>
      </c>
      <c r="J8425" t="str">
        <f>IF(ISBLANK('Q 10'!$I26),"",IF('Q 10'!$I26="&lt;please select&gt;","",'Q 10'!$I26))</f>
        <v/>
      </c>
    </row>
    <row r="8426" spans="1:10" x14ac:dyDescent="0.3">
      <c r="A8426" t="s">
        <v>2151</v>
      </c>
      <c r="B8426" t="s">
        <v>2152</v>
      </c>
      <c r="C8426">
        <v>7</v>
      </c>
      <c r="D8426" t="s">
        <v>1447</v>
      </c>
      <c r="E8426" t="s">
        <v>2115</v>
      </c>
      <c r="F8426" t="s">
        <v>1791</v>
      </c>
      <c r="J8426" t="str">
        <f>IF(ISBLANK('Q 10'!$I27),"",IF('Q 10'!$I27="&lt;please select&gt;","",'Q 10'!$I27))</f>
        <v/>
      </c>
    </row>
    <row r="8427" spans="1:10" x14ac:dyDescent="0.3">
      <c r="A8427" t="s">
        <v>2151</v>
      </c>
      <c r="B8427" t="s">
        <v>2152</v>
      </c>
      <c r="C8427">
        <v>8</v>
      </c>
      <c r="D8427" t="s">
        <v>1447</v>
      </c>
      <c r="E8427" t="s">
        <v>2115</v>
      </c>
      <c r="F8427" t="s">
        <v>1791</v>
      </c>
      <c r="J8427" t="str">
        <f>IF(ISBLANK('Q 10'!$I28),"",IF('Q 10'!$I28="&lt;please select&gt;","",'Q 10'!$I28))</f>
        <v/>
      </c>
    </row>
    <row r="8428" spans="1:10" x14ac:dyDescent="0.3">
      <c r="A8428" t="s">
        <v>2151</v>
      </c>
      <c r="B8428" t="s">
        <v>2152</v>
      </c>
      <c r="C8428">
        <v>9</v>
      </c>
      <c r="D8428" t="s">
        <v>1447</v>
      </c>
      <c r="E8428" t="s">
        <v>2115</v>
      </c>
      <c r="F8428" t="s">
        <v>1791</v>
      </c>
      <c r="J8428" t="str">
        <f>IF(ISBLANK('Q 10'!$I29),"",IF('Q 10'!$I29="&lt;please select&gt;","",'Q 10'!$I29))</f>
        <v/>
      </c>
    </row>
    <row r="8429" spans="1:10" x14ac:dyDescent="0.3">
      <c r="A8429" t="s">
        <v>2151</v>
      </c>
      <c r="B8429" t="s">
        <v>2152</v>
      </c>
      <c r="C8429">
        <v>10</v>
      </c>
      <c r="D8429" t="s">
        <v>1447</v>
      </c>
      <c r="E8429" t="s">
        <v>2115</v>
      </c>
      <c r="F8429" t="s">
        <v>1791</v>
      </c>
      <c r="J8429" t="str">
        <f>IF(ISBLANK('Q 10'!$I30),"",IF('Q 10'!$I30="&lt;please select&gt;","",'Q 10'!$I30))</f>
        <v/>
      </c>
    </row>
    <row r="8430" spans="1:10" x14ac:dyDescent="0.3">
      <c r="A8430" t="s">
        <v>2151</v>
      </c>
      <c r="B8430" t="s">
        <v>2152</v>
      </c>
      <c r="C8430">
        <v>11</v>
      </c>
      <c r="D8430" t="s">
        <v>1447</v>
      </c>
      <c r="E8430" t="s">
        <v>2115</v>
      </c>
      <c r="F8430" t="s">
        <v>1791</v>
      </c>
      <c r="J8430" t="str">
        <f>IF(ISBLANK('Q 10'!$I31),"",IF('Q 10'!$I31="&lt;please select&gt;","",'Q 10'!$I31))</f>
        <v/>
      </c>
    </row>
    <row r="8431" spans="1:10" x14ac:dyDescent="0.3">
      <c r="A8431" t="s">
        <v>2151</v>
      </c>
      <c r="B8431" t="s">
        <v>2152</v>
      </c>
      <c r="C8431">
        <v>12</v>
      </c>
      <c r="D8431" t="s">
        <v>1447</v>
      </c>
      <c r="E8431" t="s">
        <v>2115</v>
      </c>
      <c r="F8431" t="s">
        <v>1791</v>
      </c>
      <c r="J8431" t="str">
        <f>IF(ISBLANK('Q 10'!$I32),"",IF('Q 10'!$I32="&lt;please select&gt;","",'Q 10'!$I32))</f>
        <v/>
      </c>
    </row>
    <row r="8432" spans="1:10" x14ac:dyDescent="0.3">
      <c r="A8432" t="s">
        <v>2151</v>
      </c>
      <c r="B8432" t="s">
        <v>2152</v>
      </c>
      <c r="C8432">
        <v>13</v>
      </c>
      <c r="D8432" t="s">
        <v>1447</v>
      </c>
      <c r="E8432" t="s">
        <v>2115</v>
      </c>
      <c r="F8432" t="s">
        <v>1791</v>
      </c>
      <c r="J8432" t="str">
        <f>IF(ISBLANK('Q 10'!$I33),"",IF('Q 10'!$I33="&lt;please select&gt;","",'Q 10'!$I33))</f>
        <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
      </c>
    </row>
    <row r="8457" spans="1:10" x14ac:dyDescent="0.3">
      <c r="A8457" t="s">
        <v>2151</v>
      </c>
      <c r="B8457" t="s">
        <v>2152</v>
      </c>
      <c r="C8457">
        <v>13</v>
      </c>
      <c r="D8457" t="s">
        <v>1419</v>
      </c>
      <c r="E8457" t="s">
        <v>2116</v>
      </c>
      <c r="F8457" t="s">
        <v>1791</v>
      </c>
      <c r="J8457" t="str">
        <f>IF(ISBLANK('Q 10'!$D33),"",IF('Q 10'!$D33="&lt;please select&gt;","",'Q 10'!$D33))</f>
        <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
      </c>
    </row>
    <row r="8482" spans="1:11" x14ac:dyDescent="0.3">
      <c r="A8482" t="s">
        <v>2154</v>
      </c>
      <c r="B8482" t="s">
        <v>2155</v>
      </c>
      <c r="C8482">
        <v>1</v>
      </c>
      <c r="D8482" t="s">
        <v>1447</v>
      </c>
      <c r="E8482" t="s">
        <v>2119</v>
      </c>
      <c r="F8482" t="s">
        <v>1737</v>
      </c>
      <c r="K8482" t="str">
        <f>IF(ISBLANK('Q 10'!$C66),"",IF('Q 10'!$C66="&lt;please select&gt;","",'Q 10'!$C66))</f>
        <v/>
      </c>
    </row>
    <row r="8483" spans="1:11" x14ac:dyDescent="0.3">
      <c r="A8483" t="s">
        <v>2154</v>
      </c>
      <c r="B8483" t="s">
        <v>2155</v>
      </c>
      <c r="C8483">
        <v>2</v>
      </c>
      <c r="D8483" t="s">
        <v>1447</v>
      </c>
      <c r="E8483" t="s">
        <v>2119</v>
      </c>
      <c r="F8483" t="s">
        <v>1737</v>
      </c>
      <c r="K8483" t="str">
        <f>IF(ISBLANK('Q 10'!$C67),"",IF('Q 10'!$C67="&lt;please select&gt;","",'Q 10'!$C67))</f>
        <v/>
      </c>
    </row>
    <row r="8484" spans="1:11" x14ac:dyDescent="0.3">
      <c r="A8484" t="s">
        <v>2154</v>
      </c>
      <c r="B8484" t="s">
        <v>2155</v>
      </c>
      <c r="C8484">
        <v>3</v>
      </c>
      <c r="D8484" t="s">
        <v>1447</v>
      </c>
      <c r="E8484" t="s">
        <v>2119</v>
      </c>
      <c r="F8484" t="s">
        <v>1737</v>
      </c>
      <c r="K8484" t="str">
        <f>IF(ISBLANK('Q 10'!$C68),"",IF('Q 10'!$C68="&lt;please select&gt;","",'Q 10'!$C68))</f>
        <v/>
      </c>
    </row>
    <row r="8485" spans="1:11" x14ac:dyDescent="0.3">
      <c r="A8485" t="s">
        <v>2154</v>
      </c>
      <c r="B8485" t="s">
        <v>2155</v>
      </c>
      <c r="C8485">
        <v>4</v>
      </c>
      <c r="D8485" t="s">
        <v>1447</v>
      </c>
      <c r="E8485" t="s">
        <v>2119</v>
      </c>
      <c r="F8485" t="s">
        <v>1737</v>
      </c>
      <c r="K8485" t="str">
        <f>IF(ISBLANK('Q 10'!$C69),"",IF('Q 10'!$C69="&lt;please select&gt;","",'Q 10'!$C69))</f>
        <v/>
      </c>
    </row>
    <row r="8486" spans="1:11" x14ac:dyDescent="0.3">
      <c r="A8486" t="s">
        <v>2154</v>
      </c>
      <c r="B8486" t="s">
        <v>2155</v>
      </c>
      <c r="C8486">
        <v>5</v>
      </c>
      <c r="D8486" t="s">
        <v>1447</v>
      </c>
      <c r="E8486" t="s">
        <v>2119</v>
      </c>
      <c r="F8486" t="s">
        <v>1737</v>
      </c>
      <c r="K8486" t="str">
        <f>IF(ISBLANK('Q 10'!$C70),"",IF('Q 10'!$C70="&lt;please select&gt;","",'Q 10'!$C70))</f>
        <v/>
      </c>
    </row>
    <row r="8487" spans="1:11" x14ac:dyDescent="0.3">
      <c r="A8487" t="s">
        <v>2154</v>
      </c>
      <c r="B8487" t="s">
        <v>2155</v>
      </c>
      <c r="C8487">
        <v>6</v>
      </c>
      <c r="D8487" t="s">
        <v>1447</v>
      </c>
      <c r="E8487" t="s">
        <v>2119</v>
      </c>
      <c r="F8487" t="s">
        <v>1737</v>
      </c>
      <c r="K8487" t="str">
        <f>IF(ISBLANK('Q 10'!$C71),"",IF('Q 10'!$C71="&lt;please select&gt;","",'Q 10'!$C71))</f>
        <v/>
      </c>
    </row>
    <row r="8488" spans="1:11" x14ac:dyDescent="0.3">
      <c r="A8488" t="s">
        <v>2154</v>
      </c>
      <c r="B8488" t="s">
        <v>2155</v>
      </c>
      <c r="C8488">
        <v>7</v>
      </c>
      <c r="D8488" t="s">
        <v>1447</v>
      </c>
      <c r="E8488" t="s">
        <v>2119</v>
      </c>
      <c r="F8488" t="s">
        <v>1737</v>
      </c>
      <c r="K8488" t="str">
        <f>IF(ISBLANK('Q 10'!$C72),"",IF('Q 10'!$C72="&lt;please select&gt;","",'Q 10'!$C72))</f>
        <v/>
      </c>
    </row>
    <row r="8489" spans="1:11" x14ac:dyDescent="0.3">
      <c r="A8489" t="s">
        <v>2154</v>
      </c>
      <c r="B8489" t="s">
        <v>2155</v>
      </c>
      <c r="C8489">
        <v>8</v>
      </c>
      <c r="D8489" t="s">
        <v>1447</v>
      </c>
      <c r="E8489" t="s">
        <v>2119</v>
      </c>
      <c r="F8489" t="s">
        <v>1737</v>
      </c>
      <c r="K8489" t="str">
        <f>IF(ISBLANK('Q 10'!$C73),"",IF('Q 10'!$C73="&lt;please select&gt;","",'Q 10'!$C73))</f>
        <v/>
      </c>
    </row>
    <row r="8490" spans="1:11" x14ac:dyDescent="0.3">
      <c r="A8490" t="s">
        <v>2154</v>
      </c>
      <c r="B8490" t="s">
        <v>2155</v>
      </c>
      <c r="C8490">
        <v>9</v>
      </c>
      <c r="D8490" t="s">
        <v>1447</v>
      </c>
      <c r="E8490" t="s">
        <v>2119</v>
      </c>
      <c r="F8490" t="s">
        <v>1737</v>
      </c>
      <c r="K8490" t="str">
        <f>IF(ISBLANK('Q 10'!$C74),"",IF('Q 10'!$C74="&lt;please select&gt;","",'Q 10'!$C74))</f>
        <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
      </c>
    </row>
    <row r="8505" spans="1:11" x14ac:dyDescent="0.3">
      <c r="A8505" t="s">
        <v>2154</v>
      </c>
      <c r="B8505" t="s">
        <v>2155</v>
      </c>
      <c r="C8505">
        <v>2</v>
      </c>
      <c r="D8505" t="s">
        <v>1447</v>
      </c>
      <c r="E8505" t="s">
        <v>2120</v>
      </c>
      <c r="F8505" t="s">
        <v>1806</v>
      </c>
      <c r="I8505" s="165" t="str">
        <f>IF(ISBLANK('Q 10'!$E67),"",IF('Q 10'!$E67="&lt;please select&gt;","",'Q 10'!$E67))</f>
        <v/>
      </c>
    </row>
    <row r="8506" spans="1:11" x14ac:dyDescent="0.3">
      <c r="A8506" t="s">
        <v>2154</v>
      </c>
      <c r="B8506" t="s">
        <v>2155</v>
      </c>
      <c r="C8506">
        <v>3</v>
      </c>
      <c r="D8506" t="s">
        <v>1447</v>
      </c>
      <c r="E8506" t="s">
        <v>2120</v>
      </c>
      <c r="F8506" t="s">
        <v>1806</v>
      </c>
      <c r="I8506" s="165" t="str">
        <f>IF(ISBLANK('Q 10'!$E68),"",IF('Q 10'!$E68="&lt;please select&gt;","",'Q 10'!$E68))</f>
        <v/>
      </c>
    </row>
    <row r="8507" spans="1:11" x14ac:dyDescent="0.3">
      <c r="A8507" t="s">
        <v>2154</v>
      </c>
      <c r="B8507" t="s">
        <v>2155</v>
      </c>
      <c r="C8507">
        <v>4</v>
      </c>
      <c r="D8507" t="s">
        <v>1447</v>
      </c>
      <c r="E8507" t="s">
        <v>2120</v>
      </c>
      <c r="F8507" t="s">
        <v>1806</v>
      </c>
      <c r="I8507" s="165" t="str">
        <f>IF(ISBLANK('Q 10'!$E69),"",IF('Q 10'!$E69="&lt;please select&gt;","",'Q 10'!$E69))</f>
        <v/>
      </c>
    </row>
    <row r="8508" spans="1:11" x14ac:dyDescent="0.3">
      <c r="A8508" t="s">
        <v>2154</v>
      </c>
      <c r="B8508" t="s">
        <v>2155</v>
      </c>
      <c r="C8508">
        <v>5</v>
      </c>
      <c r="D8508" t="s">
        <v>1447</v>
      </c>
      <c r="E8508" t="s">
        <v>2120</v>
      </c>
      <c r="F8508" t="s">
        <v>1806</v>
      </c>
      <c r="I8508" s="165" t="str">
        <f>IF(ISBLANK('Q 10'!$E70),"",IF('Q 10'!$E70="&lt;please select&gt;","",'Q 10'!$E70))</f>
        <v/>
      </c>
    </row>
    <row r="8509" spans="1:11" x14ac:dyDescent="0.3">
      <c r="A8509" t="s">
        <v>2154</v>
      </c>
      <c r="B8509" t="s">
        <v>2155</v>
      </c>
      <c r="C8509">
        <v>6</v>
      </c>
      <c r="D8509" t="s">
        <v>1447</v>
      </c>
      <c r="E8509" t="s">
        <v>2120</v>
      </c>
      <c r="F8509" t="s">
        <v>1806</v>
      </c>
      <c r="I8509" s="165" t="str">
        <f>IF(ISBLANK('Q 10'!$E71),"",IF('Q 10'!$E71="&lt;please select&gt;","",'Q 10'!$E71))</f>
        <v/>
      </c>
    </row>
    <row r="8510" spans="1:11" x14ac:dyDescent="0.3">
      <c r="A8510" t="s">
        <v>2154</v>
      </c>
      <c r="B8510" t="s">
        <v>2155</v>
      </c>
      <c r="C8510">
        <v>7</v>
      </c>
      <c r="D8510" t="s">
        <v>1447</v>
      </c>
      <c r="E8510" t="s">
        <v>2120</v>
      </c>
      <c r="F8510" t="s">
        <v>1806</v>
      </c>
      <c r="I8510" s="165" t="str">
        <f>IF(ISBLANK('Q 10'!$E72),"",IF('Q 10'!$E72="&lt;please select&gt;","",'Q 10'!$E72))</f>
        <v/>
      </c>
    </row>
    <row r="8511" spans="1:11" x14ac:dyDescent="0.3">
      <c r="A8511" t="s">
        <v>2154</v>
      </c>
      <c r="B8511" t="s">
        <v>2155</v>
      </c>
      <c r="C8511">
        <v>8</v>
      </c>
      <c r="D8511" t="s">
        <v>1447</v>
      </c>
      <c r="E8511" t="s">
        <v>2120</v>
      </c>
      <c r="F8511" t="s">
        <v>1806</v>
      </c>
      <c r="I8511" s="165" t="str">
        <f>IF(ISBLANK('Q 10'!$E73),"",IF('Q 10'!$E73="&lt;please select&gt;","",'Q 10'!$E73))</f>
        <v/>
      </c>
    </row>
    <row r="8512" spans="1:11" x14ac:dyDescent="0.3">
      <c r="A8512" t="s">
        <v>2154</v>
      </c>
      <c r="B8512" t="s">
        <v>2155</v>
      </c>
      <c r="C8512">
        <v>9</v>
      </c>
      <c r="D8512" t="s">
        <v>1447</v>
      </c>
      <c r="E8512" t="s">
        <v>2120</v>
      </c>
      <c r="F8512" t="s">
        <v>1806</v>
      </c>
      <c r="I8512" s="165" t="str">
        <f>IF(ISBLANK('Q 10'!$E74),"",IF('Q 10'!$E74="&lt;please select&gt;","",'Q 10'!$E74))</f>
        <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
      </c>
    </row>
    <row r="8527" spans="1:9" x14ac:dyDescent="0.3">
      <c r="A8527" t="s">
        <v>2154</v>
      </c>
      <c r="B8527" t="s">
        <v>2155</v>
      </c>
      <c r="C8527">
        <v>2</v>
      </c>
      <c r="D8527" t="s">
        <v>1447</v>
      </c>
      <c r="E8527" t="s">
        <v>2121</v>
      </c>
      <c r="F8527" t="s">
        <v>1806</v>
      </c>
      <c r="I8527" s="165" t="str">
        <f>IF(ISBLANK('Q 10'!$F67),"",IF('Q 10'!$F67="&lt;please select&gt;","",'Q 10'!$F67))</f>
        <v/>
      </c>
    </row>
    <row r="8528" spans="1:9" x14ac:dyDescent="0.3">
      <c r="A8528" t="s">
        <v>2154</v>
      </c>
      <c r="B8528" t="s">
        <v>2155</v>
      </c>
      <c r="C8528">
        <v>3</v>
      </c>
      <c r="D8528" t="s">
        <v>1447</v>
      </c>
      <c r="E8528" t="s">
        <v>2121</v>
      </c>
      <c r="F8528" t="s">
        <v>1806</v>
      </c>
      <c r="I8528" s="165" t="str">
        <f>IF(ISBLANK('Q 10'!$F68),"",IF('Q 10'!$F68="&lt;please select&gt;","",'Q 10'!$F68))</f>
        <v/>
      </c>
    </row>
    <row r="8529" spans="1:9" x14ac:dyDescent="0.3">
      <c r="A8529" t="s">
        <v>2154</v>
      </c>
      <c r="B8529" t="s">
        <v>2155</v>
      </c>
      <c r="C8529">
        <v>4</v>
      </c>
      <c r="D8529" t="s">
        <v>1447</v>
      </c>
      <c r="E8529" t="s">
        <v>2121</v>
      </c>
      <c r="F8529" t="s">
        <v>1806</v>
      </c>
      <c r="I8529" s="165" t="str">
        <f>IF(ISBLANK('Q 10'!$F69),"",IF('Q 10'!$F69="&lt;please select&gt;","",'Q 10'!$F69))</f>
        <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
      </c>
    </row>
    <row r="8549" spans="1:10" x14ac:dyDescent="0.3">
      <c r="A8549" t="s">
        <v>2154</v>
      </c>
      <c r="B8549" t="s">
        <v>2155</v>
      </c>
      <c r="C8549">
        <v>2</v>
      </c>
      <c r="D8549" t="s">
        <v>1447</v>
      </c>
      <c r="E8549" t="s">
        <v>2122</v>
      </c>
      <c r="F8549" t="s">
        <v>1791</v>
      </c>
      <c r="J8549" t="str">
        <f>IF(ISBLANK('Q 10'!$G67),"",IF('Q 10'!$G67="&lt;please select&gt;","",'Q 10'!$G67))</f>
        <v/>
      </c>
    </row>
    <row r="8550" spans="1:10" x14ac:dyDescent="0.3">
      <c r="A8550" t="s">
        <v>2154</v>
      </c>
      <c r="B8550" t="s">
        <v>2155</v>
      </c>
      <c r="C8550">
        <v>3</v>
      </c>
      <c r="D8550" t="s">
        <v>1447</v>
      </c>
      <c r="E8550" t="s">
        <v>2122</v>
      </c>
      <c r="F8550" t="s">
        <v>1791</v>
      </c>
      <c r="J8550" t="str">
        <f>IF(ISBLANK('Q 10'!$G68),"",IF('Q 10'!$G68="&lt;please select&gt;","",'Q 10'!$G68))</f>
        <v/>
      </c>
    </row>
    <row r="8551" spans="1:10" x14ac:dyDescent="0.3">
      <c r="A8551" t="s">
        <v>2154</v>
      </c>
      <c r="B8551" t="s">
        <v>2155</v>
      </c>
      <c r="C8551">
        <v>4</v>
      </c>
      <c r="D8551" t="s">
        <v>1447</v>
      </c>
      <c r="E8551" t="s">
        <v>2122</v>
      </c>
      <c r="F8551" t="s">
        <v>1791</v>
      </c>
      <c r="J8551" t="str">
        <f>IF(ISBLANK('Q 10'!$G69),"",IF('Q 10'!$G69="&lt;please select&gt;","",'Q 10'!$G69))</f>
        <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
      </c>
    </row>
    <row r="8571" spans="1:11" x14ac:dyDescent="0.3">
      <c r="A8571" t="s">
        <v>2154</v>
      </c>
      <c r="B8571" t="s">
        <v>2155</v>
      </c>
      <c r="C8571">
        <v>2</v>
      </c>
      <c r="D8571" t="s">
        <v>1447</v>
      </c>
      <c r="E8571" t="s">
        <v>2123</v>
      </c>
      <c r="F8571" t="s">
        <v>1759</v>
      </c>
      <c r="K8571" t="str">
        <f>IF(ISBLANK('Q 10'!$H67),"",IF('Q 10'!$H67="&lt;please select&gt;","",'Q 10'!$H67))</f>
        <v/>
      </c>
    </row>
    <row r="8572" spans="1:11" x14ac:dyDescent="0.3">
      <c r="A8572" t="s">
        <v>2154</v>
      </c>
      <c r="B8572" t="s">
        <v>2155</v>
      </c>
      <c r="C8572">
        <v>3</v>
      </c>
      <c r="D8572" t="s">
        <v>1447</v>
      </c>
      <c r="E8572" t="s">
        <v>2123</v>
      </c>
      <c r="F8572" t="s">
        <v>1759</v>
      </c>
      <c r="K8572" t="str">
        <f>IF(ISBLANK('Q 10'!$H68),"",IF('Q 10'!$H68="&lt;please select&gt;","",'Q 10'!$H68))</f>
        <v/>
      </c>
    </row>
    <row r="8573" spans="1:11" x14ac:dyDescent="0.3">
      <c r="A8573" t="s">
        <v>2154</v>
      </c>
      <c r="B8573" t="s">
        <v>2155</v>
      </c>
      <c r="C8573">
        <v>4</v>
      </c>
      <c r="D8573" t="s">
        <v>1447</v>
      </c>
      <c r="E8573" t="s">
        <v>2123</v>
      </c>
      <c r="F8573" t="s">
        <v>1759</v>
      </c>
      <c r="K8573" t="str">
        <f>IF(ISBLANK('Q 10'!$H69),"",IF('Q 10'!$H69="&lt;please select&gt;","",'Q 10'!$H69))</f>
        <v/>
      </c>
    </row>
    <row r="8574" spans="1:11" x14ac:dyDescent="0.3">
      <c r="A8574" t="s">
        <v>2154</v>
      </c>
      <c r="B8574" t="s">
        <v>2155</v>
      </c>
      <c r="C8574">
        <v>5</v>
      </c>
      <c r="D8574" t="s">
        <v>1447</v>
      </c>
      <c r="E8574" t="s">
        <v>2123</v>
      </c>
      <c r="F8574" t="s">
        <v>1759</v>
      </c>
      <c r="K8574" t="str">
        <f>IF(ISBLANK('Q 10'!$H70),"",IF('Q 10'!$H70="&lt;please select&gt;","",'Q 10'!$H70))</f>
        <v/>
      </c>
    </row>
    <row r="8575" spans="1:11" x14ac:dyDescent="0.3">
      <c r="A8575" t="s">
        <v>2154</v>
      </c>
      <c r="B8575" t="s">
        <v>2155</v>
      </c>
      <c r="C8575">
        <v>6</v>
      </c>
      <c r="D8575" t="s">
        <v>1447</v>
      </c>
      <c r="E8575" t="s">
        <v>2123</v>
      </c>
      <c r="F8575" t="s">
        <v>1759</v>
      </c>
      <c r="K8575" t="str">
        <f>IF(ISBLANK('Q 10'!$H71),"",IF('Q 10'!$H71="&lt;please select&gt;","",'Q 10'!$H71))</f>
        <v/>
      </c>
    </row>
    <row r="8576" spans="1:11" x14ac:dyDescent="0.3">
      <c r="A8576" t="s">
        <v>2154</v>
      </c>
      <c r="B8576" t="s">
        <v>2155</v>
      </c>
      <c r="C8576">
        <v>7</v>
      </c>
      <c r="D8576" t="s">
        <v>1447</v>
      </c>
      <c r="E8576" t="s">
        <v>2123</v>
      </c>
      <c r="F8576" t="s">
        <v>1759</v>
      </c>
      <c r="K8576" t="str">
        <f>IF(ISBLANK('Q 10'!$H72),"",IF('Q 10'!$H72="&lt;please select&gt;","",'Q 10'!$H72))</f>
        <v/>
      </c>
    </row>
    <row r="8577" spans="1:11" x14ac:dyDescent="0.3">
      <c r="A8577" t="s">
        <v>2154</v>
      </c>
      <c r="B8577" t="s">
        <v>2155</v>
      </c>
      <c r="C8577">
        <v>8</v>
      </c>
      <c r="D8577" t="s">
        <v>1447</v>
      </c>
      <c r="E8577" t="s">
        <v>2123</v>
      </c>
      <c r="F8577" t="s">
        <v>1759</v>
      </c>
      <c r="K8577" t="str">
        <f>IF(ISBLANK('Q 10'!$H73),"",IF('Q 10'!$H73="&lt;please select&gt;","",'Q 10'!$H73))</f>
        <v/>
      </c>
    </row>
    <row r="8578" spans="1:11" x14ac:dyDescent="0.3">
      <c r="A8578" t="s">
        <v>2154</v>
      </c>
      <c r="B8578" t="s">
        <v>2155</v>
      </c>
      <c r="C8578">
        <v>9</v>
      </c>
      <c r="D8578" t="s">
        <v>1447</v>
      </c>
      <c r="E8578" t="s">
        <v>2123</v>
      </c>
      <c r="F8578" t="s">
        <v>1759</v>
      </c>
      <c r="K8578" t="str">
        <f>IF(ISBLANK('Q 10'!$H74),"",IF('Q 10'!$H74="&lt;please select&gt;","",'Q 10'!$H74))</f>
        <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
      </c>
    </row>
    <row r="8593" spans="1:11" x14ac:dyDescent="0.3">
      <c r="A8593" t="s">
        <v>2154</v>
      </c>
      <c r="B8593" t="s">
        <v>2155</v>
      </c>
      <c r="C8593">
        <v>2</v>
      </c>
      <c r="D8593" t="s">
        <v>1447</v>
      </c>
      <c r="E8593" t="s">
        <v>2124</v>
      </c>
      <c r="F8593" t="s">
        <v>1759</v>
      </c>
      <c r="K8593" t="str">
        <f>IF(ISBLANK('Q 10'!$I67),"",IF('Q 10'!$I67="&lt;please select&gt;","",'Q 10'!$I67))</f>
        <v/>
      </c>
    </row>
    <row r="8594" spans="1:11" x14ac:dyDescent="0.3">
      <c r="A8594" t="s">
        <v>2154</v>
      </c>
      <c r="B8594" t="s">
        <v>2155</v>
      </c>
      <c r="C8594">
        <v>3</v>
      </c>
      <c r="D8594" t="s">
        <v>1447</v>
      </c>
      <c r="E8594" t="s">
        <v>2124</v>
      </c>
      <c r="F8594" t="s">
        <v>1759</v>
      </c>
      <c r="K8594" t="str">
        <f>IF(ISBLANK('Q 10'!$I68),"",IF('Q 10'!$I68="&lt;please select&gt;","",'Q 10'!$I68))</f>
        <v/>
      </c>
    </row>
    <row r="8595" spans="1:11" x14ac:dyDescent="0.3">
      <c r="A8595" t="s">
        <v>2154</v>
      </c>
      <c r="B8595" t="s">
        <v>2155</v>
      </c>
      <c r="C8595">
        <v>4</v>
      </c>
      <c r="D8595" t="s">
        <v>1447</v>
      </c>
      <c r="E8595" t="s">
        <v>2124</v>
      </c>
      <c r="F8595" t="s">
        <v>1759</v>
      </c>
      <c r="K8595" t="str">
        <f>IF(ISBLANK('Q 10'!$I69),"",IF('Q 10'!$I69="&lt;please select&gt;","",'Q 10'!$I69))</f>
        <v/>
      </c>
    </row>
    <row r="8596" spans="1:11" x14ac:dyDescent="0.3">
      <c r="A8596" t="s">
        <v>2154</v>
      </c>
      <c r="B8596" t="s">
        <v>2155</v>
      </c>
      <c r="C8596">
        <v>5</v>
      </c>
      <c r="D8596" t="s">
        <v>1447</v>
      </c>
      <c r="E8596" t="s">
        <v>2124</v>
      </c>
      <c r="F8596" t="s">
        <v>1759</v>
      </c>
      <c r="K8596" t="str">
        <f>IF(ISBLANK('Q 10'!$I70),"",IF('Q 10'!$I70="&lt;please select&gt;","",'Q 10'!$I70))</f>
        <v/>
      </c>
    </row>
    <row r="8597" spans="1:11" x14ac:dyDescent="0.3">
      <c r="A8597" t="s">
        <v>2154</v>
      </c>
      <c r="B8597" t="s">
        <v>2155</v>
      </c>
      <c r="C8597">
        <v>6</v>
      </c>
      <c r="D8597" t="s">
        <v>1447</v>
      </c>
      <c r="E8597" t="s">
        <v>2124</v>
      </c>
      <c r="F8597" t="s">
        <v>1759</v>
      </c>
      <c r="K8597" t="str">
        <f>IF(ISBLANK('Q 10'!$I71),"",IF('Q 10'!$I71="&lt;please select&gt;","",'Q 10'!$I71))</f>
        <v/>
      </c>
    </row>
    <row r="8598" spans="1:11" x14ac:dyDescent="0.3">
      <c r="A8598" t="s">
        <v>2154</v>
      </c>
      <c r="B8598" t="s">
        <v>2155</v>
      </c>
      <c r="C8598">
        <v>7</v>
      </c>
      <c r="D8598" t="s">
        <v>1447</v>
      </c>
      <c r="E8598" t="s">
        <v>2124</v>
      </c>
      <c r="F8598" t="s">
        <v>1759</v>
      </c>
      <c r="K8598" t="str">
        <f>IF(ISBLANK('Q 10'!$I72),"",IF('Q 10'!$I72="&lt;please select&gt;","",'Q 10'!$I72))</f>
        <v/>
      </c>
    </row>
    <row r="8599" spans="1:11" x14ac:dyDescent="0.3">
      <c r="A8599" t="s">
        <v>2154</v>
      </c>
      <c r="B8599" t="s">
        <v>2155</v>
      </c>
      <c r="C8599">
        <v>8</v>
      </c>
      <c r="D8599" t="s">
        <v>1447</v>
      </c>
      <c r="E8599" t="s">
        <v>2124</v>
      </c>
      <c r="F8599" t="s">
        <v>1759</v>
      </c>
      <c r="K8599" t="str">
        <f>IF(ISBLANK('Q 10'!$I73),"",IF('Q 10'!$I73="&lt;please select&gt;","",'Q 10'!$I73))</f>
        <v/>
      </c>
    </row>
    <row r="8600" spans="1:11" x14ac:dyDescent="0.3">
      <c r="A8600" t="s">
        <v>2154</v>
      </c>
      <c r="B8600" t="s">
        <v>2155</v>
      </c>
      <c r="C8600">
        <v>9</v>
      </c>
      <c r="D8600" t="s">
        <v>1447</v>
      </c>
      <c r="E8600" t="s">
        <v>2124</v>
      </c>
      <c r="F8600" t="s">
        <v>1759</v>
      </c>
      <c r="K8600" t="str">
        <f>IF(ISBLANK('Q 10'!$I74),"",IF('Q 10'!$I74="&lt;please select&gt;","",'Q 10'!$I74))</f>
        <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No</v>
      </c>
    </row>
    <row r="8615" spans="1:11" x14ac:dyDescent="0.3">
      <c r="A8615" t="s">
        <v>2154</v>
      </c>
      <c r="B8615" t="s">
        <v>2157</v>
      </c>
      <c r="C8615">
        <v>1</v>
      </c>
      <c r="D8615" t="s">
        <v>1447</v>
      </c>
      <c r="E8615" t="s">
        <v>2127</v>
      </c>
      <c r="F8615" t="s">
        <v>1741</v>
      </c>
      <c r="G8615" t="str">
        <f>IF(ISBLANK('Q 10'!$C93),"",IF('Q 10'!$C93="&lt;please select&gt;","",'Q 10'!$C93))</f>
        <v/>
      </c>
    </row>
    <row r="8616" spans="1:11" x14ac:dyDescent="0.3">
      <c r="A8616" t="s">
        <v>2154</v>
      </c>
      <c r="B8616" t="s">
        <v>2157</v>
      </c>
      <c r="C8616">
        <v>2</v>
      </c>
      <c r="D8616" t="s">
        <v>1447</v>
      </c>
      <c r="E8616" t="s">
        <v>2127</v>
      </c>
      <c r="F8616" t="s">
        <v>1741</v>
      </c>
      <c r="G8616" t="str">
        <f>IF(ISBLANK('Q 10'!$C94),"",IF('Q 10'!$C94="&lt;please select&gt;","",'Q 10'!$C94))</f>
        <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
      </c>
    </row>
    <row r="8633" spans="1:11" x14ac:dyDescent="0.3">
      <c r="A8633" t="s">
        <v>2154</v>
      </c>
      <c r="B8633" t="s">
        <v>2157</v>
      </c>
      <c r="C8633">
        <v>2</v>
      </c>
      <c r="D8633" t="s">
        <v>1447</v>
      </c>
      <c r="E8633" t="s">
        <v>2128</v>
      </c>
      <c r="F8633" t="s">
        <v>1737</v>
      </c>
      <c r="K8633" t="str">
        <f>IF(ISBLANK('Q 10'!$F94),"",IF('Q 10'!$F94="&lt;please select&gt;","",'Q 10'!$F94))</f>
        <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
      </c>
    </row>
    <row r="8650" spans="1:11" x14ac:dyDescent="0.3">
      <c r="A8650" t="s">
        <v>2154</v>
      </c>
      <c r="B8650" t="s">
        <v>2157</v>
      </c>
      <c r="C8650">
        <v>2</v>
      </c>
      <c r="D8650" t="s">
        <v>1447</v>
      </c>
      <c r="E8650" t="s">
        <v>2129</v>
      </c>
      <c r="F8650" t="s">
        <v>1748</v>
      </c>
      <c r="H8650" t="str">
        <f>IF(ISBLANK('Q 10'!$H94),"",IF('Q 10'!$H94="&lt;please select&gt;","",'Q 10'!$H94))</f>
        <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
      </c>
    </row>
    <row r="8667" spans="1:8" x14ac:dyDescent="0.3">
      <c r="A8667" t="s">
        <v>2158</v>
      </c>
      <c r="B8667" t="s">
        <v>2159</v>
      </c>
      <c r="C8667">
        <v>2</v>
      </c>
      <c r="D8667" t="s">
        <v>1447</v>
      </c>
      <c r="E8667" t="s">
        <v>1868</v>
      </c>
      <c r="F8667" t="s">
        <v>1741</v>
      </c>
      <c r="G8667" t="str">
        <f>IF(ISBLANK('Q 10'!$C116),"",IF('Q 10'!$C116="&lt;please select&gt;","",'Q 10'!$C116))</f>
        <v/>
      </c>
    </row>
    <row r="8668" spans="1:8" x14ac:dyDescent="0.3">
      <c r="A8668" t="s">
        <v>2158</v>
      </c>
      <c r="B8668" t="s">
        <v>2159</v>
      </c>
      <c r="C8668">
        <v>3</v>
      </c>
      <c r="D8668" t="s">
        <v>1447</v>
      </c>
      <c r="E8668" t="s">
        <v>1868</v>
      </c>
      <c r="F8668" t="s">
        <v>1741</v>
      </c>
      <c r="G8668" t="str">
        <f>IF(ISBLANK('Q 10'!$C117),"",IF('Q 10'!$C117="&lt;please select&gt;","",'Q 10'!$C117))</f>
        <v/>
      </c>
    </row>
    <row r="8669" spans="1:8" x14ac:dyDescent="0.3">
      <c r="A8669" t="s">
        <v>2158</v>
      </c>
      <c r="B8669" t="s">
        <v>2159</v>
      </c>
      <c r="C8669">
        <v>4</v>
      </c>
      <c r="D8669" t="s">
        <v>1447</v>
      </c>
      <c r="E8669" t="s">
        <v>1868</v>
      </c>
      <c r="F8669" t="s">
        <v>1741</v>
      </c>
      <c r="G8669" t="str">
        <f>IF(ISBLANK('Q 10'!$C118),"",IF('Q 10'!$C118="&lt;please select&gt;","",'Q 10'!$C118))</f>
        <v/>
      </c>
    </row>
    <row r="8670" spans="1:8" x14ac:dyDescent="0.3">
      <c r="A8670" t="s">
        <v>2158</v>
      </c>
      <c r="B8670" t="s">
        <v>2159</v>
      </c>
      <c r="C8670">
        <v>5</v>
      </c>
      <c r="D8670" t="s">
        <v>1447</v>
      </c>
      <c r="E8670" t="s">
        <v>1868</v>
      </c>
      <c r="F8670" t="s">
        <v>1741</v>
      </c>
      <c r="G8670" t="str">
        <f>IF(ISBLANK('Q 10'!$C119),"",IF('Q 10'!$C119="&lt;please select&gt;","",'Q 10'!$C119))</f>
        <v/>
      </c>
    </row>
    <row r="8671" spans="1:8" x14ac:dyDescent="0.3">
      <c r="A8671" t="s">
        <v>2158</v>
      </c>
      <c r="B8671" t="s">
        <v>2159</v>
      </c>
      <c r="C8671">
        <v>6</v>
      </c>
      <c r="D8671" t="s">
        <v>1447</v>
      </c>
      <c r="E8671" t="s">
        <v>1868</v>
      </c>
      <c r="F8671" t="s">
        <v>1741</v>
      </c>
      <c r="G8671" t="str">
        <f>IF(ISBLANK('Q 10'!$C120),"",IF('Q 10'!$C120="&lt;please select&gt;","",'Q 10'!$C120))</f>
        <v/>
      </c>
    </row>
    <row r="8672" spans="1:8" x14ac:dyDescent="0.3">
      <c r="A8672" t="s">
        <v>2158</v>
      </c>
      <c r="B8672" t="s">
        <v>2159</v>
      </c>
      <c r="C8672">
        <v>7</v>
      </c>
      <c r="D8672" t="s">
        <v>1447</v>
      </c>
      <c r="E8672" t="s">
        <v>1868</v>
      </c>
      <c r="F8672" t="s">
        <v>1741</v>
      </c>
      <c r="G8672" t="str">
        <f>IF(ISBLANK('Q 10'!$C121),"",IF('Q 10'!$C121="&lt;please select&gt;","",'Q 10'!$C121))</f>
        <v/>
      </c>
    </row>
    <row r="8673" spans="1:7" x14ac:dyDescent="0.3">
      <c r="A8673" t="s">
        <v>2158</v>
      </c>
      <c r="B8673" t="s">
        <v>2159</v>
      </c>
      <c r="C8673">
        <v>8</v>
      </c>
      <c r="D8673" t="s">
        <v>1447</v>
      </c>
      <c r="E8673" t="s">
        <v>1868</v>
      </c>
      <c r="F8673" t="s">
        <v>1741</v>
      </c>
      <c r="G8673" t="str">
        <f>IF(ISBLANK('Q 10'!$C122),"",IF('Q 10'!$C122="&lt;please select&gt;","",'Q 10'!$C122))</f>
        <v/>
      </c>
    </row>
    <row r="8674" spans="1:7" x14ac:dyDescent="0.3">
      <c r="A8674" t="s">
        <v>2158</v>
      </c>
      <c r="B8674" t="s">
        <v>2159</v>
      </c>
      <c r="C8674">
        <v>9</v>
      </c>
      <c r="D8674" t="s">
        <v>1447</v>
      </c>
      <c r="E8674" t="s">
        <v>1868</v>
      </c>
      <c r="F8674" t="s">
        <v>1741</v>
      </c>
      <c r="G8674" t="str">
        <f>IF(ISBLANK('Q 10'!$C123),"",IF('Q 10'!$C123="&lt;please select&gt;","",'Q 10'!$C123))</f>
        <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
      </c>
    </row>
    <row r="8679" spans="1:7" x14ac:dyDescent="0.3">
      <c r="A8679" t="s">
        <v>2158</v>
      </c>
      <c r="B8679" t="s">
        <v>2159</v>
      </c>
      <c r="C8679">
        <v>2</v>
      </c>
      <c r="D8679" t="s">
        <v>1447</v>
      </c>
      <c r="E8679" t="s">
        <v>2044</v>
      </c>
      <c r="F8679" t="s">
        <v>1741</v>
      </c>
      <c r="G8679" t="str">
        <f>IF(ISBLANK('Q 10'!$F116),"",IF('Q 10'!$F116="&lt;please select&gt;","",'Q 10'!$F116))</f>
        <v/>
      </c>
    </row>
    <row r="8680" spans="1:7" x14ac:dyDescent="0.3">
      <c r="A8680" t="s">
        <v>2158</v>
      </c>
      <c r="B8680" t="s">
        <v>2159</v>
      </c>
      <c r="C8680">
        <v>3</v>
      </c>
      <c r="D8680" t="s">
        <v>1447</v>
      </c>
      <c r="E8680" t="s">
        <v>2044</v>
      </c>
      <c r="F8680" t="s">
        <v>1741</v>
      </c>
      <c r="G8680" t="str">
        <f>IF(ISBLANK('Q 10'!$F117),"",IF('Q 10'!$F117="&lt;please select&gt;","",'Q 10'!$F117))</f>
        <v/>
      </c>
    </row>
    <row r="8681" spans="1:7" x14ac:dyDescent="0.3">
      <c r="A8681" t="s">
        <v>2158</v>
      </c>
      <c r="B8681" t="s">
        <v>2159</v>
      </c>
      <c r="C8681">
        <v>4</v>
      </c>
      <c r="D8681" t="s">
        <v>1447</v>
      </c>
      <c r="E8681" t="s">
        <v>2044</v>
      </c>
      <c r="F8681" t="s">
        <v>1741</v>
      </c>
      <c r="G8681" t="str">
        <f>IF(ISBLANK('Q 10'!$F118),"",IF('Q 10'!$F118="&lt;please select&gt;","",'Q 10'!$F118))</f>
        <v/>
      </c>
    </row>
    <row r="8682" spans="1:7" x14ac:dyDescent="0.3">
      <c r="A8682" t="s">
        <v>2158</v>
      </c>
      <c r="B8682" t="s">
        <v>2159</v>
      </c>
      <c r="C8682">
        <v>5</v>
      </c>
      <c r="D8682" t="s">
        <v>1447</v>
      </c>
      <c r="E8682" t="s">
        <v>2044</v>
      </c>
      <c r="F8682" t="s">
        <v>1741</v>
      </c>
      <c r="G8682" t="str">
        <f>IF(ISBLANK('Q 10'!$F119),"",IF('Q 10'!$F119="&lt;please select&gt;","",'Q 10'!$F119))</f>
        <v/>
      </c>
    </row>
    <row r="8683" spans="1:7" x14ac:dyDescent="0.3">
      <c r="A8683" t="s">
        <v>2158</v>
      </c>
      <c r="B8683" t="s">
        <v>2159</v>
      </c>
      <c r="C8683">
        <v>6</v>
      </c>
      <c r="D8683" t="s">
        <v>1447</v>
      </c>
      <c r="E8683" t="s">
        <v>2044</v>
      </c>
      <c r="F8683" t="s">
        <v>1741</v>
      </c>
      <c r="G8683" t="str">
        <f>IF(ISBLANK('Q 10'!$F120),"",IF('Q 10'!$F120="&lt;please select&gt;","",'Q 10'!$F120))</f>
        <v/>
      </c>
    </row>
    <row r="8684" spans="1:7" x14ac:dyDescent="0.3">
      <c r="A8684" t="s">
        <v>2158</v>
      </c>
      <c r="B8684" t="s">
        <v>2159</v>
      </c>
      <c r="C8684">
        <v>7</v>
      </c>
      <c r="D8684" t="s">
        <v>1447</v>
      </c>
      <c r="E8684" t="s">
        <v>2044</v>
      </c>
      <c r="F8684" t="s">
        <v>1741</v>
      </c>
      <c r="G8684" t="str">
        <f>IF(ISBLANK('Q 10'!$F121),"",IF('Q 10'!$F121="&lt;please select&gt;","",'Q 10'!$F121))</f>
        <v/>
      </c>
    </row>
    <row r="8685" spans="1:7" x14ac:dyDescent="0.3">
      <c r="A8685" t="s">
        <v>2158</v>
      </c>
      <c r="B8685" t="s">
        <v>2159</v>
      </c>
      <c r="C8685">
        <v>8</v>
      </c>
      <c r="D8685" t="s">
        <v>1447</v>
      </c>
      <c r="E8685" t="s">
        <v>2044</v>
      </c>
      <c r="F8685" t="s">
        <v>1741</v>
      </c>
      <c r="G8685" t="str">
        <f>IF(ISBLANK('Q 10'!$F122),"",IF('Q 10'!$F122="&lt;please select&gt;","",'Q 10'!$F122))</f>
        <v/>
      </c>
    </row>
    <row r="8686" spans="1:7" x14ac:dyDescent="0.3">
      <c r="A8686" t="s">
        <v>2158</v>
      </c>
      <c r="B8686" t="s">
        <v>2159</v>
      </c>
      <c r="C8686">
        <v>9</v>
      </c>
      <c r="D8686" t="s">
        <v>1447</v>
      </c>
      <c r="E8686" t="s">
        <v>2044</v>
      </c>
      <c r="F8686" t="s">
        <v>1741</v>
      </c>
      <c r="G8686" t="str">
        <f>IF(ISBLANK('Q 10'!$F123),"",IF('Q 10'!$F123="&lt;please select&gt;","",'Q 10'!$F123))</f>
        <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No</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No</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60</v>
      </c>
    </row>
    <row r="8711" spans="1:10" x14ac:dyDescent="0.3">
      <c r="A8711" t="s">
        <v>2162</v>
      </c>
      <c r="B8711" t="s">
        <v>2163</v>
      </c>
      <c r="C8711">
        <v>2</v>
      </c>
      <c r="D8711" t="s">
        <v>1447</v>
      </c>
      <c r="E8711" t="s">
        <v>2111</v>
      </c>
      <c r="F8711" t="s">
        <v>1806</v>
      </c>
      <c r="I8711" s="165" t="str">
        <f>IF(ISBLANK('Q 10'!$E148),"",IF('Q 10'!$E148="&lt;please select&gt;","",'Q 10'!$E148))</f>
        <v>60</v>
      </c>
    </row>
    <row r="8712" spans="1:10" x14ac:dyDescent="0.3">
      <c r="A8712" t="s">
        <v>2162</v>
      </c>
      <c r="B8712" t="s">
        <v>2163</v>
      </c>
      <c r="C8712">
        <v>3</v>
      </c>
      <c r="D8712" t="s">
        <v>1447</v>
      </c>
      <c r="E8712" t="s">
        <v>2111</v>
      </c>
      <c r="F8712" t="s">
        <v>1806</v>
      </c>
      <c r="I8712" s="165" t="str">
        <f>IF(ISBLANK('Q 10'!$E149),"",IF('Q 10'!$E149="&lt;please select&gt;","",'Q 10'!$E149))</f>
        <v>60</v>
      </c>
    </row>
    <row r="8713" spans="1:10" x14ac:dyDescent="0.3">
      <c r="A8713" t="s">
        <v>2162</v>
      </c>
      <c r="B8713" t="s">
        <v>2163</v>
      </c>
      <c r="C8713">
        <v>4</v>
      </c>
      <c r="D8713" t="s">
        <v>1447</v>
      </c>
      <c r="E8713" t="s">
        <v>2111</v>
      </c>
      <c r="F8713" t="s">
        <v>1806</v>
      </c>
      <c r="I8713" s="165" t="str">
        <f>IF(ISBLANK('Q 10'!$E150),"",IF('Q 10'!$E150="&lt;please select&gt;","",'Q 10'!$E150))</f>
        <v>60</v>
      </c>
    </row>
    <row r="8714" spans="1:10" x14ac:dyDescent="0.3">
      <c r="A8714" t="s">
        <v>2162</v>
      </c>
      <c r="B8714" t="s">
        <v>2163</v>
      </c>
      <c r="C8714">
        <v>5</v>
      </c>
      <c r="D8714" t="s">
        <v>1447</v>
      </c>
      <c r="E8714" t="s">
        <v>2111</v>
      </c>
      <c r="F8714" t="s">
        <v>1806</v>
      </c>
      <c r="I8714" s="165" t="str">
        <f>IF(ISBLANK('Q 10'!$E151),"",IF('Q 10'!$E151="&lt;please select&gt;","",'Q 10'!$E151))</f>
        <v>60</v>
      </c>
    </row>
    <row r="8715" spans="1:10" x14ac:dyDescent="0.3">
      <c r="A8715" t="s">
        <v>2162</v>
      </c>
      <c r="B8715" t="s">
        <v>2163</v>
      </c>
      <c r="C8715">
        <v>6</v>
      </c>
      <c r="D8715" t="s">
        <v>1447</v>
      </c>
      <c r="E8715" t="s">
        <v>2111</v>
      </c>
      <c r="F8715" t="s">
        <v>1806</v>
      </c>
      <c r="I8715" s="165" t="str">
        <f>IF(ISBLANK('Q 10'!$E152),"",IF('Q 10'!$E152="&lt;please select&gt;","",'Q 10'!$E152))</f>
        <v>60</v>
      </c>
    </row>
    <row r="8716" spans="1:10" x14ac:dyDescent="0.3">
      <c r="A8716" t="s">
        <v>2162</v>
      </c>
      <c r="B8716" t="s">
        <v>2163</v>
      </c>
      <c r="C8716">
        <v>7</v>
      </c>
      <c r="D8716" t="s">
        <v>1447</v>
      </c>
      <c r="E8716" t="s">
        <v>2111</v>
      </c>
      <c r="F8716" t="s">
        <v>1806</v>
      </c>
      <c r="I8716" s="165" t="str">
        <f>IF(ISBLANK('Q 10'!$E153),"",IF('Q 10'!$E153="&lt;please select&gt;","",'Q 10'!$E153))</f>
        <v/>
      </c>
    </row>
    <row r="8717" spans="1:10" x14ac:dyDescent="0.3">
      <c r="A8717" t="s">
        <v>2162</v>
      </c>
      <c r="B8717" t="s">
        <v>2163</v>
      </c>
      <c r="C8717">
        <v>8</v>
      </c>
      <c r="D8717" t="s">
        <v>1447</v>
      </c>
      <c r="E8717" t="s">
        <v>2111</v>
      </c>
      <c r="F8717" t="s">
        <v>1806</v>
      </c>
      <c r="I8717" s="165" t="str">
        <f>IF(ISBLANK('Q 10'!$E154),"",IF('Q 10'!$E154="&lt;please select&gt;","",'Q 10'!$E154))</f>
        <v/>
      </c>
    </row>
    <row r="8718" spans="1:10" x14ac:dyDescent="0.3">
      <c r="A8718" t="s">
        <v>2162</v>
      </c>
      <c r="B8718" t="s">
        <v>2163</v>
      </c>
      <c r="C8718">
        <v>9</v>
      </c>
      <c r="D8718" t="s">
        <v>1447</v>
      </c>
      <c r="E8718" t="s">
        <v>2111</v>
      </c>
      <c r="F8718" t="s">
        <v>1806</v>
      </c>
      <c r="I8718" s="165" t="str">
        <f>IF(ISBLANK('Q 10'!$E155),"",IF('Q 10'!$E155="&lt;please select&gt;","",'Q 10'!$E155))</f>
        <v/>
      </c>
    </row>
    <row r="8719" spans="1:10" x14ac:dyDescent="0.3">
      <c r="A8719" t="s">
        <v>2162</v>
      </c>
      <c r="B8719" t="s">
        <v>2163</v>
      </c>
      <c r="C8719">
        <v>10</v>
      </c>
      <c r="D8719" t="s">
        <v>1447</v>
      </c>
      <c r="E8719" t="s">
        <v>2111</v>
      </c>
      <c r="F8719" t="s">
        <v>1806</v>
      </c>
      <c r="I8719" s="165" t="str">
        <f>IF(ISBLANK('Q 10'!$E156),"",IF('Q 10'!$E156="&lt;please select&gt;","",'Q 10'!$E156))</f>
        <v/>
      </c>
    </row>
    <row r="8720" spans="1:10" x14ac:dyDescent="0.3">
      <c r="A8720" t="s">
        <v>2162</v>
      </c>
      <c r="B8720" t="s">
        <v>2163</v>
      </c>
      <c r="C8720">
        <v>11</v>
      </c>
      <c r="D8720" t="s">
        <v>1447</v>
      </c>
      <c r="E8720" t="s">
        <v>2111</v>
      </c>
      <c r="F8720" t="s">
        <v>1806</v>
      </c>
      <c r="I8720" s="165" t="str">
        <f>IF(ISBLANK('Q 10'!$E157),"",IF('Q 10'!$E157="&lt;please select&gt;","",'Q 10'!$E157))</f>
        <v/>
      </c>
    </row>
    <row r="8721" spans="1:9" x14ac:dyDescent="0.3">
      <c r="A8721" t="s">
        <v>2162</v>
      </c>
      <c r="B8721" t="s">
        <v>2163</v>
      </c>
      <c r="C8721">
        <v>12</v>
      </c>
      <c r="D8721" t="s">
        <v>1447</v>
      </c>
      <c r="E8721" t="s">
        <v>2111</v>
      </c>
      <c r="F8721" t="s">
        <v>1806</v>
      </c>
      <c r="I8721" s="165" t="str">
        <f>IF(ISBLANK('Q 10'!$E158),"",IF('Q 10'!$E158="&lt;please select&gt;","",'Q 10'!$E158))</f>
        <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140</v>
      </c>
    </row>
    <row r="8726" spans="1:9" x14ac:dyDescent="0.3">
      <c r="A8726" t="s">
        <v>2162</v>
      </c>
      <c r="B8726" t="s">
        <v>2163</v>
      </c>
      <c r="C8726">
        <v>2</v>
      </c>
      <c r="D8726" t="s">
        <v>1447</v>
      </c>
      <c r="E8726" t="s">
        <v>2112</v>
      </c>
      <c r="F8726" t="s">
        <v>1806</v>
      </c>
      <c r="I8726" s="165" t="str">
        <f>IF(ISBLANK('Q 10'!$F148),"",IF('Q 10'!$F148="&lt;please select&gt;","",'Q 10'!$F148))</f>
        <v>140</v>
      </c>
    </row>
    <row r="8727" spans="1:9" x14ac:dyDescent="0.3">
      <c r="A8727" t="s">
        <v>2162</v>
      </c>
      <c r="B8727" t="s">
        <v>2163</v>
      </c>
      <c r="C8727">
        <v>3</v>
      </c>
      <c r="D8727" t="s">
        <v>1447</v>
      </c>
      <c r="E8727" t="s">
        <v>2112</v>
      </c>
      <c r="F8727" t="s">
        <v>1806</v>
      </c>
      <c r="I8727" s="165" t="str">
        <f>IF(ISBLANK('Q 10'!$F149),"",IF('Q 10'!$F149="&lt;please select&gt;","",'Q 10'!$F149))</f>
        <v>140</v>
      </c>
    </row>
    <row r="8728" spans="1:9" x14ac:dyDescent="0.3">
      <c r="A8728" t="s">
        <v>2162</v>
      </c>
      <c r="B8728" t="s">
        <v>2163</v>
      </c>
      <c r="C8728">
        <v>4</v>
      </c>
      <c r="D8728" t="s">
        <v>1447</v>
      </c>
      <c r="E8728" t="s">
        <v>2112</v>
      </c>
      <c r="F8728" t="s">
        <v>1806</v>
      </c>
      <c r="I8728" s="165" t="str">
        <f>IF(ISBLANK('Q 10'!$F150),"",IF('Q 10'!$F150="&lt;please select&gt;","",'Q 10'!$F150))</f>
        <v>140</v>
      </c>
    </row>
    <row r="8729" spans="1:9" x14ac:dyDescent="0.3">
      <c r="A8729" t="s">
        <v>2162</v>
      </c>
      <c r="B8729" t="s">
        <v>2163</v>
      </c>
      <c r="C8729">
        <v>5</v>
      </c>
      <c r="D8729" t="s">
        <v>1447</v>
      </c>
      <c r="E8729" t="s">
        <v>2112</v>
      </c>
      <c r="F8729" t="s">
        <v>1806</v>
      </c>
      <c r="I8729" s="165" t="str">
        <f>IF(ISBLANK('Q 10'!$F151),"",IF('Q 10'!$F151="&lt;please select&gt;","",'Q 10'!$F151))</f>
        <v>140</v>
      </c>
    </row>
    <row r="8730" spans="1:9" x14ac:dyDescent="0.3">
      <c r="A8730" t="s">
        <v>2162</v>
      </c>
      <c r="B8730" t="s">
        <v>2163</v>
      </c>
      <c r="C8730">
        <v>6</v>
      </c>
      <c r="D8730" t="s">
        <v>1447</v>
      </c>
      <c r="E8730" t="s">
        <v>2112</v>
      </c>
      <c r="F8730" t="s">
        <v>1806</v>
      </c>
      <c r="I8730" s="165" t="str">
        <f>IF(ISBLANK('Q 10'!$F152),"",IF('Q 10'!$F152="&lt;please select&gt;","",'Q 10'!$F152))</f>
        <v>140</v>
      </c>
    </row>
    <row r="8731" spans="1:9" x14ac:dyDescent="0.3">
      <c r="A8731" t="s">
        <v>2162</v>
      </c>
      <c r="B8731" t="s">
        <v>2163</v>
      </c>
      <c r="C8731">
        <v>7</v>
      </c>
      <c r="D8731" t="s">
        <v>1447</v>
      </c>
      <c r="E8731" t="s">
        <v>2112</v>
      </c>
      <c r="F8731" t="s">
        <v>1806</v>
      </c>
      <c r="I8731" s="165" t="str">
        <f>IF(ISBLANK('Q 10'!$F153),"",IF('Q 10'!$F153="&lt;please select&gt;","",'Q 10'!$F153))</f>
        <v/>
      </c>
    </row>
    <row r="8732" spans="1:9" x14ac:dyDescent="0.3">
      <c r="A8732" t="s">
        <v>2162</v>
      </c>
      <c r="B8732" t="s">
        <v>2163</v>
      </c>
      <c r="C8732">
        <v>8</v>
      </c>
      <c r="D8732" t="s">
        <v>1447</v>
      </c>
      <c r="E8732" t="s">
        <v>2112</v>
      </c>
      <c r="F8732" t="s">
        <v>1806</v>
      </c>
      <c r="I8732" s="165" t="str">
        <f>IF(ISBLANK('Q 10'!$F154),"",IF('Q 10'!$F154="&lt;please select&gt;","",'Q 10'!$F154))</f>
        <v/>
      </c>
    </row>
    <row r="8733" spans="1:9" x14ac:dyDescent="0.3">
      <c r="A8733" t="s">
        <v>2162</v>
      </c>
      <c r="B8733" t="s">
        <v>2163</v>
      </c>
      <c r="C8733">
        <v>9</v>
      </c>
      <c r="D8733" t="s">
        <v>1447</v>
      </c>
      <c r="E8733" t="s">
        <v>2112</v>
      </c>
      <c r="F8733" t="s">
        <v>1806</v>
      </c>
      <c r="I8733" s="165" t="str">
        <f>IF(ISBLANK('Q 10'!$F155),"",IF('Q 10'!$F155="&lt;please select&gt;","",'Q 10'!$F155))</f>
        <v/>
      </c>
    </row>
    <row r="8734" spans="1:9" x14ac:dyDescent="0.3">
      <c r="A8734" t="s">
        <v>2162</v>
      </c>
      <c r="B8734" t="s">
        <v>2163</v>
      </c>
      <c r="C8734">
        <v>10</v>
      </c>
      <c r="D8734" t="s">
        <v>1447</v>
      </c>
      <c r="E8734" t="s">
        <v>2112</v>
      </c>
      <c r="F8734" t="s">
        <v>1806</v>
      </c>
      <c r="I8734" s="165" t="str">
        <f>IF(ISBLANK('Q 10'!$F156),"",IF('Q 10'!$F156="&lt;please select&gt;","",'Q 10'!$F156))</f>
        <v/>
      </c>
    </row>
    <row r="8735" spans="1:9" x14ac:dyDescent="0.3">
      <c r="A8735" t="s">
        <v>2162</v>
      </c>
      <c r="B8735" t="s">
        <v>2163</v>
      </c>
      <c r="C8735">
        <v>11</v>
      </c>
      <c r="D8735" t="s">
        <v>1447</v>
      </c>
      <c r="E8735" t="s">
        <v>2112</v>
      </c>
      <c r="F8735" t="s">
        <v>1806</v>
      </c>
      <c r="I8735" s="165" t="str">
        <f>IF(ISBLANK('Q 10'!$F157),"",IF('Q 10'!$F157="&lt;please select&gt;","",'Q 10'!$F157))</f>
        <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
      </c>
    </row>
    <row r="8741" spans="1:9" x14ac:dyDescent="0.3">
      <c r="A8741" t="s">
        <v>2162</v>
      </c>
      <c r="B8741" t="s">
        <v>2163</v>
      </c>
      <c r="C8741">
        <v>2</v>
      </c>
      <c r="D8741" t="s">
        <v>1447</v>
      </c>
      <c r="E8741" t="s">
        <v>2113</v>
      </c>
      <c r="F8741" t="s">
        <v>1806</v>
      </c>
      <c r="I8741" s="165" t="str">
        <f>IF(ISBLANK('Q 10'!$G148),"",IF('Q 10'!$G148="&lt;please select&gt;","",'Q 10'!$G148))</f>
        <v/>
      </c>
    </row>
    <row r="8742" spans="1:9" x14ac:dyDescent="0.3">
      <c r="A8742" t="s">
        <v>2162</v>
      </c>
      <c r="B8742" t="s">
        <v>2163</v>
      </c>
      <c r="C8742">
        <v>3</v>
      </c>
      <c r="D8742" t="s">
        <v>1447</v>
      </c>
      <c r="E8742" t="s">
        <v>2113</v>
      </c>
      <c r="F8742" t="s">
        <v>1806</v>
      </c>
      <c r="I8742" s="165" t="str">
        <f>IF(ISBLANK('Q 10'!$G149),"",IF('Q 10'!$G149="&lt;please select&gt;","",'Q 10'!$G149))</f>
        <v/>
      </c>
    </row>
    <row r="8743" spans="1:9" x14ac:dyDescent="0.3">
      <c r="A8743" t="s">
        <v>2162</v>
      </c>
      <c r="B8743" t="s">
        <v>2163</v>
      </c>
      <c r="C8743">
        <v>4</v>
      </c>
      <c r="D8743" t="s">
        <v>1447</v>
      </c>
      <c r="E8743" t="s">
        <v>2113</v>
      </c>
      <c r="F8743" t="s">
        <v>1806</v>
      </c>
      <c r="I8743" s="165" t="str">
        <f>IF(ISBLANK('Q 10'!$G150),"",IF('Q 10'!$G150="&lt;please select&gt;","",'Q 10'!$G150))</f>
        <v/>
      </c>
    </row>
    <row r="8744" spans="1:9" x14ac:dyDescent="0.3">
      <c r="A8744" t="s">
        <v>2162</v>
      </c>
      <c r="B8744" t="s">
        <v>2163</v>
      </c>
      <c r="C8744">
        <v>5</v>
      </c>
      <c r="D8744" t="s">
        <v>1447</v>
      </c>
      <c r="E8744" t="s">
        <v>2113</v>
      </c>
      <c r="F8744" t="s">
        <v>1806</v>
      </c>
      <c r="I8744" s="165" t="str">
        <f>IF(ISBLANK('Q 10'!$G151),"",IF('Q 10'!$G151="&lt;please select&gt;","",'Q 10'!$G151))</f>
        <v/>
      </c>
    </row>
    <row r="8745" spans="1:9" x14ac:dyDescent="0.3">
      <c r="A8745" t="s">
        <v>2162</v>
      </c>
      <c r="B8745" t="s">
        <v>2163</v>
      </c>
      <c r="C8745">
        <v>6</v>
      </c>
      <c r="D8745" t="s">
        <v>1447</v>
      </c>
      <c r="E8745" t="s">
        <v>2113</v>
      </c>
      <c r="F8745" t="s">
        <v>1806</v>
      </c>
      <c r="I8745" s="165" t="str">
        <f>IF(ISBLANK('Q 10'!$G152),"",IF('Q 10'!$G152="&lt;please select&gt;","",'Q 10'!$G152))</f>
        <v/>
      </c>
    </row>
    <row r="8746" spans="1:9" x14ac:dyDescent="0.3">
      <c r="A8746" t="s">
        <v>2162</v>
      </c>
      <c r="B8746" t="s">
        <v>2163</v>
      </c>
      <c r="C8746">
        <v>7</v>
      </c>
      <c r="D8746" t="s">
        <v>1447</v>
      </c>
      <c r="E8746" t="s">
        <v>2113</v>
      </c>
      <c r="F8746" t="s">
        <v>1806</v>
      </c>
      <c r="I8746" s="165" t="str">
        <f>IF(ISBLANK('Q 10'!$G153),"",IF('Q 10'!$G153="&lt;please select&gt;","",'Q 10'!$G153))</f>
        <v/>
      </c>
    </row>
    <row r="8747" spans="1:9" x14ac:dyDescent="0.3">
      <c r="A8747" t="s">
        <v>2162</v>
      </c>
      <c r="B8747" t="s">
        <v>2163</v>
      </c>
      <c r="C8747">
        <v>8</v>
      </c>
      <c r="D8747" t="s">
        <v>1447</v>
      </c>
      <c r="E8747" t="s">
        <v>2113</v>
      </c>
      <c r="F8747" t="s">
        <v>1806</v>
      </c>
      <c r="I8747" s="165" t="str">
        <f>IF(ISBLANK('Q 10'!$G154),"",IF('Q 10'!$G154="&lt;please select&gt;","",'Q 10'!$G154))</f>
        <v/>
      </c>
    </row>
    <row r="8748" spans="1:9" x14ac:dyDescent="0.3">
      <c r="A8748" t="s">
        <v>2162</v>
      </c>
      <c r="B8748" t="s">
        <v>2163</v>
      </c>
      <c r="C8748">
        <v>9</v>
      </c>
      <c r="D8748" t="s">
        <v>1447</v>
      </c>
      <c r="E8748" t="s">
        <v>2113</v>
      </c>
      <c r="F8748" t="s">
        <v>1806</v>
      </c>
      <c r="I8748" s="165" t="str">
        <f>IF(ISBLANK('Q 10'!$G155),"",IF('Q 10'!$G155="&lt;please select&gt;","",'Q 10'!$G155))</f>
        <v/>
      </c>
    </row>
    <row r="8749" spans="1:9" x14ac:dyDescent="0.3">
      <c r="A8749" t="s">
        <v>2162</v>
      </c>
      <c r="B8749" t="s">
        <v>2163</v>
      </c>
      <c r="C8749">
        <v>10</v>
      </c>
      <c r="D8749" t="s">
        <v>1447</v>
      </c>
      <c r="E8749" t="s">
        <v>2113</v>
      </c>
      <c r="F8749" t="s">
        <v>1806</v>
      </c>
      <c r="I8749" s="165" t="str">
        <f>IF(ISBLANK('Q 10'!$G156),"",IF('Q 10'!$G156="&lt;please select&gt;","",'Q 10'!$G156))</f>
        <v/>
      </c>
    </row>
    <row r="8750" spans="1:9" x14ac:dyDescent="0.3">
      <c r="A8750" t="s">
        <v>2162</v>
      </c>
      <c r="B8750" t="s">
        <v>2163</v>
      </c>
      <c r="C8750">
        <v>11</v>
      </c>
      <c r="D8750" t="s">
        <v>1447</v>
      </c>
      <c r="E8750" t="s">
        <v>2113</v>
      </c>
      <c r="F8750" t="s">
        <v>1806</v>
      </c>
      <c r="I8750" s="165" t="str">
        <f>IF(ISBLANK('Q 10'!$G157),"",IF('Q 10'!$G157="&lt;please select&gt;","",'Q 10'!$G157))</f>
        <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
      </c>
    </row>
    <row r="8756" spans="1:9" x14ac:dyDescent="0.3">
      <c r="A8756" t="s">
        <v>2162</v>
      </c>
      <c r="B8756" t="s">
        <v>2163</v>
      </c>
      <c r="C8756">
        <v>2</v>
      </c>
      <c r="D8756" t="s">
        <v>1447</v>
      </c>
      <c r="E8756" t="s">
        <v>2114</v>
      </c>
      <c r="F8756" t="s">
        <v>1806</v>
      </c>
      <c r="I8756" s="165" t="str">
        <f>IF(ISBLANK('Q 10'!$H148),"",IF('Q 10'!$H148="&lt;please select&gt;","",'Q 10'!$H148))</f>
        <v/>
      </c>
    </row>
    <row r="8757" spans="1:9" x14ac:dyDescent="0.3">
      <c r="A8757" t="s">
        <v>2162</v>
      </c>
      <c r="B8757" t="s">
        <v>2163</v>
      </c>
      <c r="C8757">
        <v>3</v>
      </c>
      <c r="D8757" t="s">
        <v>1447</v>
      </c>
      <c r="E8757" t="s">
        <v>2114</v>
      </c>
      <c r="F8757" t="s">
        <v>1806</v>
      </c>
      <c r="I8757" s="165" t="str">
        <f>IF(ISBLANK('Q 10'!$H149),"",IF('Q 10'!$H149="&lt;please select&gt;","",'Q 10'!$H149))</f>
        <v/>
      </c>
    </row>
    <row r="8758" spans="1:9" x14ac:dyDescent="0.3">
      <c r="A8758" t="s">
        <v>2162</v>
      </c>
      <c r="B8758" t="s">
        <v>2163</v>
      </c>
      <c r="C8758">
        <v>4</v>
      </c>
      <c r="D8758" t="s">
        <v>1447</v>
      </c>
      <c r="E8758" t="s">
        <v>2114</v>
      </c>
      <c r="F8758" t="s">
        <v>1806</v>
      </c>
      <c r="I8758" s="165" t="str">
        <f>IF(ISBLANK('Q 10'!$H150),"",IF('Q 10'!$H150="&lt;please select&gt;","",'Q 10'!$H150))</f>
        <v/>
      </c>
    </row>
    <row r="8759" spans="1:9" x14ac:dyDescent="0.3">
      <c r="A8759" t="s">
        <v>2162</v>
      </c>
      <c r="B8759" t="s">
        <v>2163</v>
      </c>
      <c r="C8759">
        <v>5</v>
      </c>
      <c r="D8759" t="s">
        <v>1447</v>
      </c>
      <c r="E8759" t="s">
        <v>2114</v>
      </c>
      <c r="F8759" t="s">
        <v>1806</v>
      </c>
      <c r="I8759" s="165" t="str">
        <f>IF(ISBLANK('Q 10'!$H151),"",IF('Q 10'!$H151="&lt;please select&gt;","",'Q 10'!$H151))</f>
        <v/>
      </c>
    </row>
    <row r="8760" spans="1:9" x14ac:dyDescent="0.3">
      <c r="A8760" t="s">
        <v>2162</v>
      </c>
      <c r="B8760" t="s">
        <v>2163</v>
      </c>
      <c r="C8760">
        <v>6</v>
      </c>
      <c r="D8760" t="s">
        <v>1447</v>
      </c>
      <c r="E8760" t="s">
        <v>2114</v>
      </c>
      <c r="F8760" t="s">
        <v>1806</v>
      </c>
      <c r="I8760" s="165" t="str">
        <f>IF(ISBLANK('Q 10'!$H152),"",IF('Q 10'!$H152="&lt;please select&gt;","",'Q 10'!$H152))</f>
        <v/>
      </c>
    </row>
    <row r="8761" spans="1:9" x14ac:dyDescent="0.3">
      <c r="A8761" t="s">
        <v>2162</v>
      </c>
      <c r="B8761" t="s">
        <v>2163</v>
      </c>
      <c r="C8761">
        <v>7</v>
      </c>
      <c r="D8761" t="s">
        <v>1447</v>
      </c>
      <c r="E8761" t="s">
        <v>2114</v>
      </c>
      <c r="F8761" t="s">
        <v>1806</v>
      </c>
      <c r="I8761" s="165" t="str">
        <f>IF(ISBLANK('Q 10'!$H153),"",IF('Q 10'!$H153="&lt;please select&gt;","",'Q 10'!$H153))</f>
        <v/>
      </c>
    </row>
    <row r="8762" spans="1:9" x14ac:dyDescent="0.3">
      <c r="A8762" t="s">
        <v>2162</v>
      </c>
      <c r="B8762" t="s">
        <v>2163</v>
      </c>
      <c r="C8762">
        <v>8</v>
      </c>
      <c r="D8762" t="s">
        <v>1447</v>
      </c>
      <c r="E8762" t="s">
        <v>2114</v>
      </c>
      <c r="F8762" t="s">
        <v>1806</v>
      </c>
      <c r="I8762" s="165" t="str">
        <f>IF(ISBLANK('Q 10'!$H154),"",IF('Q 10'!$H154="&lt;please select&gt;","",'Q 10'!$H154))</f>
        <v/>
      </c>
    </row>
    <row r="8763" spans="1:9" x14ac:dyDescent="0.3">
      <c r="A8763" t="s">
        <v>2162</v>
      </c>
      <c r="B8763" t="s">
        <v>2163</v>
      </c>
      <c r="C8763">
        <v>9</v>
      </c>
      <c r="D8763" t="s">
        <v>1447</v>
      </c>
      <c r="E8763" t="s">
        <v>2114</v>
      </c>
      <c r="F8763" t="s">
        <v>1806</v>
      </c>
      <c r="I8763" s="165" t="str">
        <f>IF(ISBLANK('Q 10'!$H155),"",IF('Q 10'!$H155="&lt;please select&gt;","",'Q 10'!$H155))</f>
        <v/>
      </c>
    </row>
    <row r="8764" spans="1:9" x14ac:dyDescent="0.3">
      <c r="A8764" t="s">
        <v>2162</v>
      </c>
      <c r="B8764" t="s">
        <v>2163</v>
      </c>
      <c r="C8764">
        <v>10</v>
      </c>
      <c r="D8764" t="s">
        <v>1447</v>
      </c>
      <c r="E8764" t="s">
        <v>2114</v>
      </c>
      <c r="F8764" t="s">
        <v>1806</v>
      </c>
      <c r="I8764" s="165" t="str">
        <f>IF(ISBLANK('Q 10'!$H156),"",IF('Q 10'!$H156="&lt;please select&gt;","",'Q 10'!$H156))</f>
        <v/>
      </c>
    </row>
    <row r="8765" spans="1:9" x14ac:dyDescent="0.3">
      <c r="A8765" t="s">
        <v>2162</v>
      </c>
      <c r="B8765" t="s">
        <v>2163</v>
      </c>
      <c r="C8765">
        <v>11</v>
      </c>
      <c r="D8765" t="s">
        <v>1447</v>
      </c>
      <c r="E8765" t="s">
        <v>2114</v>
      </c>
      <c r="F8765" t="s">
        <v>1806</v>
      </c>
      <c r="I8765" s="165" t="str">
        <f>IF(ISBLANK('Q 10'!$H157),"",IF('Q 10'!$H157="&lt;please select&gt;","",'Q 10'!$H157))</f>
        <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
      </c>
    </row>
    <row r="8771" spans="1:10" x14ac:dyDescent="0.3">
      <c r="A8771" t="s">
        <v>2162</v>
      </c>
      <c r="B8771" t="s">
        <v>2163</v>
      </c>
      <c r="C8771">
        <v>2</v>
      </c>
      <c r="D8771" t="s">
        <v>1447</v>
      </c>
      <c r="E8771" t="s">
        <v>2115</v>
      </c>
      <c r="F8771" t="s">
        <v>1791</v>
      </c>
      <c r="J8771" t="str">
        <f>IF(ISBLANK('Q 10'!$I148),"",IF('Q 10'!$I148="&lt;please select&gt;","",'Q 10'!$I148))</f>
        <v/>
      </c>
    </row>
    <row r="8772" spans="1:10" x14ac:dyDescent="0.3">
      <c r="A8772" t="s">
        <v>2162</v>
      </c>
      <c r="B8772" t="s">
        <v>2163</v>
      </c>
      <c r="C8772">
        <v>3</v>
      </c>
      <c r="D8772" t="s">
        <v>1447</v>
      </c>
      <c r="E8772" t="s">
        <v>2115</v>
      </c>
      <c r="F8772" t="s">
        <v>1791</v>
      </c>
      <c r="J8772" t="str">
        <f>IF(ISBLANK('Q 10'!$I149),"",IF('Q 10'!$I149="&lt;please select&gt;","",'Q 10'!$I149))</f>
        <v/>
      </c>
    </row>
    <row r="8773" spans="1:10" x14ac:dyDescent="0.3">
      <c r="A8773" t="s">
        <v>2162</v>
      </c>
      <c r="B8773" t="s">
        <v>2163</v>
      </c>
      <c r="C8773">
        <v>4</v>
      </c>
      <c r="D8773" t="s">
        <v>1447</v>
      </c>
      <c r="E8773" t="s">
        <v>2115</v>
      </c>
      <c r="F8773" t="s">
        <v>1791</v>
      </c>
      <c r="J8773" t="str">
        <f>IF(ISBLANK('Q 10'!$I150),"",IF('Q 10'!$I150="&lt;please select&gt;","",'Q 10'!$I150))</f>
        <v/>
      </c>
    </row>
    <row r="8774" spans="1:10" x14ac:dyDescent="0.3">
      <c r="A8774" t="s">
        <v>2162</v>
      </c>
      <c r="B8774" t="s">
        <v>2163</v>
      </c>
      <c r="C8774">
        <v>5</v>
      </c>
      <c r="D8774" t="s">
        <v>1447</v>
      </c>
      <c r="E8774" t="s">
        <v>2115</v>
      </c>
      <c r="F8774" t="s">
        <v>1791</v>
      </c>
      <c r="J8774" t="str">
        <f>IF(ISBLANK('Q 10'!$I151),"",IF('Q 10'!$I151="&lt;please select&gt;","",'Q 10'!$I151))</f>
        <v/>
      </c>
    </row>
    <row r="8775" spans="1:10" x14ac:dyDescent="0.3">
      <c r="A8775" t="s">
        <v>2162</v>
      </c>
      <c r="B8775" t="s">
        <v>2163</v>
      </c>
      <c r="C8775">
        <v>6</v>
      </c>
      <c r="D8775" t="s">
        <v>1447</v>
      </c>
      <c r="E8775" t="s">
        <v>2115</v>
      </c>
      <c r="F8775" t="s">
        <v>1791</v>
      </c>
      <c r="J8775" t="str">
        <f>IF(ISBLANK('Q 10'!$I152),"",IF('Q 10'!$I152="&lt;please select&gt;","",'Q 10'!$I152))</f>
        <v/>
      </c>
    </row>
    <row r="8776" spans="1:10" x14ac:dyDescent="0.3">
      <c r="A8776" t="s">
        <v>2162</v>
      </c>
      <c r="B8776" t="s">
        <v>2163</v>
      </c>
      <c r="C8776">
        <v>7</v>
      </c>
      <c r="D8776" t="s">
        <v>1447</v>
      </c>
      <c r="E8776" t="s">
        <v>2115</v>
      </c>
      <c r="F8776" t="s">
        <v>1791</v>
      </c>
      <c r="J8776" t="str">
        <f>IF(ISBLANK('Q 10'!$I153),"",IF('Q 10'!$I153="&lt;please select&gt;","",'Q 10'!$I153))</f>
        <v/>
      </c>
    </row>
    <row r="8777" spans="1:10" x14ac:dyDescent="0.3">
      <c r="A8777" t="s">
        <v>2162</v>
      </c>
      <c r="B8777" t="s">
        <v>2163</v>
      </c>
      <c r="C8777">
        <v>8</v>
      </c>
      <c r="D8777" t="s">
        <v>1447</v>
      </c>
      <c r="E8777" t="s">
        <v>2115</v>
      </c>
      <c r="F8777" t="s">
        <v>1791</v>
      </c>
      <c r="J8777" t="str">
        <f>IF(ISBLANK('Q 10'!$I154),"",IF('Q 10'!$I154="&lt;please select&gt;","",'Q 10'!$I154))</f>
        <v/>
      </c>
    </row>
    <row r="8778" spans="1:10" x14ac:dyDescent="0.3">
      <c r="A8778" t="s">
        <v>2162</v>
      </c>
      <c r="B8778" t="s">
        <v>2163</v>
      </c>
      <c r="C8778">
        <v>9</v>
      </c>
      <c r="D8778" t="s">
        <v>1447</v>
      </c>
      <c r="E8778" t="s">
        <v>2115</v>
      </c>
      <c r="F8778" t="s">
        <v>1791</v>
      </c>
      <c r="J8778" t="str">
        <f>IF(ISBLANK('Q 10'!$I155),"",IF('Q 10'!$I155="&lt;please select&gt;","",'Q 10'!$I155))</f>
        <v/>
      </c>
    </row>
    <row r="8779" spans="1:10" x14ac:dyDescent="0.3">
      <c r="A8779" t="s">
        <v>2162</v>
      </c>
      <c r="B8779" t="s">
        <v>2163</v>
      </c>
      <c r="C8779">
        <v>10</v>
      </c>
      <c r="D8779" t="s">
        <v>1447</v>
      </c>
      <c r="E8779" t="s">
        <v>2115</v>
      </c>
      <c r="F8779" t="s">
        <v>1791</v>
      </c>
      <c r="J8779" t="str">
        <f>IF(ISBLANK('Q 10'!$I156),"",IF('Q 10'!$I156="&lt;please select&gt;","",'Q 10'!$I156))</f>
        <v/>
      </c>
    </row>
    <row r="8780" spans="1:10" x14ac:dyDescent="0.3">
      <c r="A8780" t="s">
        <v>2162</v>
      </c>
      <c r="B8780" t="s">
        <v>2163</v>
      </c>
      <c r="C8780">
        <v>11</v>
      </c>
      <c r="D8780" t="s">
        <v>1447</v>
      </c>
      <c r="E8780" t="s">
        <v>2115</v>
      </c>
      <c r="F8780" t="s">
        <v>1791</v>
      </c>
      <c r="J8780" t="str">
        <f>IF(ISBLANK('Q 10'!$I157),"",IF('Q 10'!$I157="&lt;please select&gt;","",'Q 10'!$I157))</f>
        <v/>
      </c>
    </row>
    <row r="8781" spans="1:10" x14ac:dyDescent="0.3">
      <c r="A8781" t="s">
        <v>2162</v>
      </c>
      <c r="B8781" t="s">
        <v>2163</v>
      </c>
      <c r="C8781">
        <v>12</v>
      </c>
      <c r="D8781" t="s">
        <v>1447</v>
      </c>
      <c r="E8781" t="s">
        <v>2115</v>
      </c>
      <c r="F8781" t="s">
        <v>1791</v>
      </c>
      <c r="J8781" t="str">
        <f>IF(ISBLANK('Q 10'!$I158),"",IF('Q 10'!$I158="&lt;please select&gt;","",'Q 10'!$I158))</f>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
      </c>
    </row>
    <row r="8790" spans="1:11" x14ac:dyDescent="0.3">
      <c r="A8790" t="s">
        <v>2165</v>
      </c>
      <c r="B8790" t="s">
        <v>2166</v>
      </c>
      <c r="C8790">
        <v>1</v>
      </c>
      <c r="D8790" t="s">
        <v>1447</v>
      </c>
      <c r="E8790" t="s">
        <v>2119</v>
      </c>
      <c r="F8790" t="s">
        <v>1737</v>
      </c>
      <c r="K8790" t="str">
        <f>IF(ISBLANK('Q 10'!$C171),"",IF('Q 10'!$C171="&lt;please select&gt;","",'Q 10'!$C171))</f>
        <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No</v>
      </c>
    </row>
    <row r="8869" spans="1:11" x14ac:dyDescent="0.3">
      <c r="A8869" t="s">
        <v>2165</v>
      </c>
      <c r="B8869" t="s">
        <v>2168</v>
      </c>
      <c r="C8869">
        <v>1</v>
      </c>
      <c r="D8869" t="s">
        <v>1447</v>
      </c>
      <c r="E8869" t="s">
        <v>2127</v>
      </c>
      <c r="F8869" t="s">
        <v>1741</v>
      </c>
      <c r="G8869" t="str">
        <f>IF(ISBLANK('Q 10'!$C189),"",IF('Q 10'!$C189="&lt;please select&gt;","",'Q 10'!$C189))</f>
        <v/>
      </c>
    </row>
    <row r="8870" spans="1:11" x14ac:dyDescent="0.3">
      <c r="A8870" t="s">
        <v>2165</v>
      </c>
      <c r="B8870" t="s">
        <v>2168</v>
      </c>
      <c r="C8870">
        <v>2</v>
      </c>
      <c r="D8870" t="s">
        <v>1447</v>
      </c>
      <c r="E8870" t="s">
        <v>2127</v>
      </c>
      <c r="F8870" t="s">
        <v>1741</v>
      </c>
      <c r="G8870" t="str">
        <f>IF(ISBLANK('Q 10'!$C190),"",IF('Q 10'!$C190="&lt;please select&gt;","",'Q 10'!$C190))</f>
        <v/>
      </c>
    </row>
    <row r="8871" spans="1:11" x14ac:dyDescent="0.3">
      <c r="A8871" t="s">
        <v>2165</v>
      </c>
      <c r="B8871" t="s">
        <v>2168</v>
      </c>
      <c r="C8871">
        <v>3</v>
      </c>
      <c r="D8871" t="s">
        <v>1447</v>
      </c>
      <c r="E8871" t="s">
        <v>2127</v>
      </c>
      <c r="F8871" t="s">
        <v>1741</v>
      </c>
      <c r="G8871" t="str">
        <f>IF(ISBLANK('Q 10'!$C191),"",IF('Q 10'!$C191="&lt;please select&gt;","",'Q 10'!$C191))</f>
        <v/>
      </c>
    </row>
    <row r="8872" spans="1:11" x14ac:dyDescent="0.3">
      <c r="A8872" t="s">
        <v>2165</v>
      </c>
      <c r="B8872" t="s">
        <v>2168</v>
      </c>
      <c r="C8872">
        <v>4</v>
      </c>
      <c r="D8872" t="s">
        <v>1447</v>
      </c>
      <c r="E8872" t="s">
        <v>2127</v>
      </c>
      <c r="F8872" t="s">
        <v>1741</v>
      </c>
      <c r="G8872" t="str">
        <f>IF(ISBLANK('Q 10'!$C192),"",IF('Q 10'!$C192="&lt;please select&gt;","",'Q 10'!$C192))</f>
        <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
      </c>
    </row>
    <row r="8878" spans="1:11" x14ac:dyDescent="0.3">
      <c r="A8878" t="s">
        <v>2165</v>
      </c>
      <c r="B8878" t="s">
        <v>2168</v>
      </c>
      <c r="C8878">
        <v>2</v>
      </c>
      <c r="D8878" t="s">
        <v>1447</v>
      </c>
      <c r="E8878" t="s">
        <v>2128</v>
      </c>
      <c r="F8878" t="s">
        <v>1737</v>
      </c>
      <c r="K8878" t="str">
        <f>IF(ISBLANK('Q 10'!$F190),"",IF('Q 10'!$F190="&lt;please select&gt;","",'Q 10'!$F190))</f>
        <v/>
      </c>
    </row>
    <row r="8879" spans="1:11" x14ac:dyDescent="0.3">
      <c r="A8879" t="s">
        <v>2165</v>
      </c>
      <c r="B8879" t="s">
        <v>2168</v>
      </c>
      <c r="C8879">
        <v>3</v>
      </c>
      <c r="D8879" t="s">
        <v>1447</v>
      </c>
      <c r="E8879" t="s">
        <v>2128</v>
      </c>
      <c r="F8879" t="s">
        <v>1737</v>
      </c>
      <c r="K8879" t="str">
        <f>IF(ISBLANK('Q 10'!$F191),"",IF('Q 10'!$F191="&lt;please select&gt;","",'Q 10'!$F191))</f>
        <v/>
      </c>
    </row>
    <row r="8880" spans="1:11" x14ac:dyDescent="0.3">
      <c r="A8880" t="s">
        <v>2165</v>
      </c>
      <c r="B8880" t="s">
        <v>2168</v>
      </c>
      <c r="C8880">
        <v>4</v>
      </c>
      <c r="D8880" t="s">
        <v>1447</v>
      </c>
      <c r="E8880" t="s">
        <v>2128</v>
      </c>
      <c r="F8880" t="s">
        <v>1737</v>
      </c>
      <c r="K8880" t="str">
        <f>IF(ISBLANK('Q 10'!$F192),"",IF('Q 10'!$F192="&lt;please select&gt;","",'Q 10'!$F192))</f>
        <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
      </c>
    </row>
    <row r="8886" spans="1:11" x14ac:dyDescent="0.3">
      <c r="A8886" t="s">
        <v>2165</v>
      </c>
      <c r="B8886" t="s">
        <v>2168</v>
      </c>
      <c r="C8886">
        <v>2</v>
      </c>
      <c r="D8886" t="s">
        <v>1447</v>
      </c>
      <c r="E8886" t="s">
        <v>2129</v>
      </c>
      <c r="F8886" t="s">
        <v>1748</v>
      </c>
      <c r="H8886" t="str">
        <f>IF(ISBLANK('Q 10'!$H190),"",IF('Q 10'!$H190="&lt;please select&gt;","",'Q 10'!$H190))</f>
        <v/>
      </c>
    </row>
    <row r="8887" spans="1:11" x14ac:dyDescent="0.3">
      <c r="A8887" t="s">
        <v>2165</v>
      </c>
      <c r="B8887" t="s">
        <v>2168</v>
      </c>
      <c r="C8887">
        <v>3</v>
      </c>
      <c r="D8887" t="s">
        <v>1447</v>
      </c>
      <c r="E8887" t="s">
        <v>2129</v>
      </c>
      <c r="F8887" t="s">
        <v>1748</v>
      </c>
      <c r="H8887" t="str">
        <f>IF(ISBLANK('Q 10'!$H191),"",IF('Q 10'!$H191="&lt;please select&gt;","",'Q 10'!$H191))</f>
        <v/>
      </c>
    </row>
    <row r="8888" spans="1:11" x14ac:dyDescent="0.3">
      <c r="A8888" t="s">
        <v>2165</v>
      </c>
      <c r="B8888" t="s">
        <v>2168</v>
      </c>
      <c r="C8888">
        <v>4</v>
      </c>
      <c r="D8888" t="s">
        <v>1447</v>
      </c>
      <c r="E8888" t="s">
        <v>2129</v>
      </c>
      <c r="F8888" t="s">
        <v>1748</v>
      </c>
      <c r="H8888" t="str">
        <f>IF(ISBLANK('Q 10'!$H192),"",IF('Q 10'!$H192="&lt;please select&gt;","",'Q 10'!$H192))</f>
        <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
      </c>
    </row>
    <row r="8894" spans="1:11" x14ac:dyDescent="0.3">
      <c r="A8894" t="s">
        <v>2169</v>
      </c>
      <c r="B8894" t="s">
        <v>2170</v>
      </c>
      <c r="C8894">
        <v>2</v>
      </c>
      <c r="D8894" t="s">
        <v>1447</v>
      </c>
      <c r="E8894" t="s">
        <v>2171</v>
      </c>
      <c r="F8894" t="s">
        <v>1741</v>
      </c>
      <c r="G8894" t="str">
        <f>IF(ISBLANK('Q 10'!$C203),"",IF('Q 10'!$C203="&lt;please select&gt;","",'Q 10'!$C203))</f>
        <v/>
      </c>
    </row>
    <row r="8895" spans="1:11" x14ac:dyDescent="0.3">
      <c r="A8895" t="s">
        <v>2169</v>
      </c>
      <c r="B8895" t="s">
        <v>2170</v>
      </c>
      <c r="C8895">
        <v>3</v>
      </c>
      <c r="D8895" t="s">
        <v>1447</v>
      </c>
      <c r="E8895" t="s">
        <v>2171</v>
      </c>
      <c r="F8895" t="s">
        <v>1741</v>
      </c>
      <c r="G8895" t="str">
        <f>IF(ISBLANK('Q 10'!$C204),"",IF('Q 10'!$C204="&lt;please select&gt;","",'Q 10'!$C204))</f>
        <v/>
      </c>
    </row>
    <row r="8896" spans="1:11" x14ac:dyDescent="0.3">
      <c r="A8896" t="s">
        <v>2169</v>
      </c>
      <c r="B8896" t="s">
        <v>2170</v>
      </c>
      <c r="C8896">
        <v>4</v>
      </c>
      <c r="D8896" t="s">
        <v>1447</v>
      </c>
      <c r="E8896" t="s">
        <v>2171</v>
      </c>
      <c r="F8896" t="s">
        <v>1741</v>
      </c>
      <c r="G8896" t="str">
        <f>IF(ISBLANK('Q 10'!$C205),"",IF('Q 10'!$C205="&lt;please select&gt;","",'Q 10'!$C205))</f>
        <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
      </c>
    </row>
    <row r="8906" spans="1:7" x14ac:dyDescent="0.3">
      <c r="A8906" t="s">
        <v>2169</v>
      </c>
      <c r="B8906" t="s">
        <v>2170</v>
      </c>
      <c r="C8906">
        <v>2</v>
      </c>
      <c r="D8906" t="s">
        <v>1447</v>
      </c>
      <c r="E8906" t="s">
        <v>2044</v>
      </c>
      <c r="F8906" t="s">
        <v>1741</v>
      </c>
      <c r="G8906" t="str">
        <f>IF(ISBLANK('Q 10'!$F203),"",IF('Q 10'!$F203="&lt;please select&gt;","",'Q 10'!$F203))</f>
        <v/>
      </c>
    </row>
    <row r="8907" spans="1:7" x14ac:dyDescent="0.3">
      <c r="A8907" t="s">
        <v>2169</v>
      </c>
      <c r="B8907" t="s">
        <v>2170</v>
      </c>
      <c r="C8907">
        <v>3</v>
      </c>
      <c r="D8907" t="s">
        <v>1447</v>
      </c>
      <c r="E8907" t="s">
        <v>2044</v>
      </c>
      <c r="F8907" t="s">
        <v>1741</v>
      </c>
      <c r="G8907" t="str">
        <f>IF(ISBLANK('Q 10'!$F204),"",IF('Q 10'!$F204="&lt;please select&gt;","",'Q 10'!$F204))</f>
        <v/>
      </c>
    </row>
    <row r="8908" spans="1:7" x14ac:dyDescent="0.3">
      <c r="A8908" t="s">
        <v>2169</v>
      </c>
      <c r="B8908" t="s">
        <v>2170</v>
      </c>
      <c r="C8908">
        <v>4</v>
      </c>
      <c r="D8908" t="s">
        <v>1447</v>
      </c>
      <c r="E8908" t="s">
        <v>2044</v>
      </c>
      <c r="F8908" t="s">
        <v>1741</v>
      </c>
      <c r="G8908" t="str">
        <f>IF(ISBLANK('Q 10'!$F205),"",IF('Q 10'!$F205="&lt;please select&gt;","",'Q 10'!$F205))</f>
        <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
      </c>
    </row>
    <row r="8918" spans="1:11" x14ac:dyDescent="0.3">
      <c r="A8918" t="s">
        <v>2174</v>
      </c>
      <c r="B8918" t="s">
        <v>2175</v>
      </c>
      <c r="C8918">
        <v>0</v>
      </c>
      <c r="D8918" t="s">
        <v>1447</v>
      </c>
      <c r="E8918" t="s">
        <v>2175</v>
      </c>
      <c r="F8918" t="s">
        <v>1741</v>
      </c>
      <c r="G8918" t="str">
        <f>IF(ISBLANK('Q 11'!$C$6),"",IF('Q 11'!$C$6="&lt;please select&gt;","",'Q 11'!$C$6))</f>
        <v>Latvijas tiesību sistēmā emisijas kvotas var uzskatīt par īpašumtiesību objektu. Emisijas kvota Latvijas tiesību sistēmā šobrīd nav uzskatāma par finanšu instrumentu.</v>
      </c>
    </row>
    <row r="8919" spans="1:11" x14ac:dyDescent="0.3">
      <c r="A8919" t="s">
        <v>2176</v>
      </c>
      <c r="B8919" t="s">
        <v>2177</v>
      </c>
      <c r="C8919">
        <v>0</v>
      </c>
      <c r="D8919" t="s">
        <v>1447</v>
      </c>
      <c r="E8919" t="s">
        <v>2177</v>
      </c>
      <c r="F8919" t="s">
        <v>1741</v>
      </c>
      <c r="G8919" t="str">
        <f>IF(ISBLANK('Q 11'!$C$9),"",IF('Q 11'!$C$9="&lt;please select&gt;","",'Q 11'!$C$9))</f>
        <v xml:space="preserve">Grāmatvedības reglamentējošie normatīvie akti neparedz īpašus noteikumus attiecībā uz emisijas kvotu vai ar emisijas kvotām veikto darbību uzskaiti finanšu grāmatvedībā. Līdz ar to, veicot emisijas kvotu uzskaiti, jāievēro vispārējo grāmatvedības un gada pārskatu sagatavošanas reglamentējošo normatīvo aktu prasības. Ievērojot to, ka grāmatvedību reglamentējošajos normatīvajos aktos emisijas kvotu vai ar emisijas kvotām veikto darbību uzskaite nav aplūkota, uzņēmumi var izstrādāt savu grāmatvedības politiku emisijas kvotu un ar tām veikto darbību uzskaitei. Izvērtējot šādu darījumu ekonomisko būtību, ja Eiropas Savienības emisijas kvotu tirdzniecības sistēmā iesaistīts uzņēmums emisijas kvotas saņem bez maksas un likumā „Par piesārņojumu” noteiktā kārtībā tās nodod VSIA „Latvijas Vides, ģeoloģijas un meteoroloģijas centrs” vai arī tās tiek anulētas tādēļ, ka šīm bez maksas saņemtajām emisijas kvotām beidzies derīguma termiņš un tās nav nodotas atbilstoši likuma „Par piesārņojumu” nosacījumiem, tad šādas kvotas uzņēmums var uzskaitīt tikai natūrā. Savukārt, ja uzņēmums ar emisijas kvotām ir veicis tādas darbības, no kurām radušies aktīvi, saistības, ieņēmumi vai izdevumi, tad, pamatojoties uz attaisnojuma dokumentos norādīto konkrētā saimnieciskā darījuma novērtējumu naudā un tā ekonomisko saturu un būtību, šā uzņēmuma grāmatvedības reģistros jāizdara attiecīgus iegrāmatojumus naudas izteiksmē. </v>
      </c>
    </row>
    <row r="8920" spans="1:11" x14ac:dyDescent="0.3">
      <c r="A8920" t="s">
        <v>2178</v>
      </c>
      <c r="B8920" t="s">
        <v>2179</v>
      </c>
      <c r="C8920">
        <v>0</v>
      </c>
      <c r="D8920" t="s">
        <v>1447</v>
      </c>
      <c r="E8920" t="s">
        <v>2179</v>
      </c>
      <c r="F8920" t="s">
        <v>1759</v>
      </c>
      <c r="K8920" t="str">
        <f>IF(ISBLANK('Q 11'!$I$11),"",IF('Q 11'!$I$11="&lt;please select&gt;","",'Q 11'!$I$11))</f>
        <v>Yes</v>
      </c>
    </row>
    <row r="8921" spans="1:11" x14ac:dyDescent="0.3">
      <c r="A8921" t="s">
        <v>2178</v>
      </c>
      <c r="B8921" t="s">
        <v>2180</v>
      </c>
      <c r="C8921">
        <v>0</v>
      </c>
      <c r="D8921" t="s">
        <v>1447</v>
      </c>
      <c r="E8921" t="s">
        <v>2180</v>
      </c>
      <c r="F8921" t="s">
        <v>1759</v>
      </c>
      <c r="K8921" t="str">
        <f>IF(ISBLANK('Q 11'!$I$13),"",IF('Q 11'!$I$13="&lt;please select&gt;","",'Q 11'!$I$13))</f>
        <v>No</v>
      </c>
    </row>
    <row r="8922" spans="1:11" x14ac:dyDescent="0.3">
      <c r="A8922" t="s">
        <v>2181</v>
      </c>
      <c r="B8922" t="s">
        <v>2182</v>
      </c>
      <c r="C8922">
        <v>0</v>
      </c>
      <c r="D8922" t="s">
        <v>1447</v>
      </c>
      <c r="E8922" t="s">
        <v>2182</v>
      </c>
      <c r="F8922" t="s">
        <v>1759</v>
      </c>
      <c r="K8922" t="str">
        <f>IF(ISBLANK('Q 11'!$I$15),"",IF('Q 11'!$I$15="&lt;please select&gt;","",'Q 11'!$I$15))</f>
        <v>No</v>
      </c>
    </row>
    <row r="8923" spans="1:11" x14ac:dyDescent="0.3">
      <c r="A8923" t="s">
        <v>2181</v>
      </c>
      <c r="B8923" t="s">
        <v>2183</v>
      </c>
      <c r="C8923">
        <v>1</v>
      </c>
      <c r="D8923" t="s">
        <v>1447</v>
      </c>
      <c r="E8923" t="s">
        <v>2184</v>
      </c>
      <c r="F8923" t="s">
        <v>1741</v>
      </c>
      <c r="G8923" t="str">
        <f>IF(ISBLANK('Q 11'!$C18),"",IF('Q 11'!$C18="&lt;please select&gt;","",'Q 11'!$C18))</f>
        <v/>
      </c>
    </row>
    <row r="8924" spans="1:11" x14ac:dyDescent="0.3">
      <c r="A8924" t="s">
        <v>2181</v>
      </c>
      <c r="B8924" t="s">
        <v>2183</v>
      </c>
      <c r="C8924">
        <v>2</v>
      </c>
      <c r="D8924" t="s">
        <v>1447</v>
      </c>
      <c r="E8924" t="s">
        <v>2184</v>
      </c>
      <c r="F8924" t="s">
        <v>1741</v>
      </c>
      <c r="G8924" t="str">
        <f>IF(ISBLANK('Q 11'!$C19),"",IF('Q 11'!$C19="&lt;please select&gt;","",'Q 11'!$C19))</f>
        <v/>
      </c>
    </row>
    <row r="8925" spans="1:11" x14ac:dyDescent="0.3">
      <c r="A8925" t="s">
        <v>2181</v>
      </c>
      <c r="B8925" t="s">
        <v>2183</v>
      </c>
      <c r="C8925">
        <v>3</v>
      </c>
      <c r="D8925" t="s">
        <v>1447</v>
      </c>
      <c r="E8925" t="s">
        <v>2184</v>
      </c>
      <c r="F8925" t="s">
        <v>1741</v>
      </c>
      <c r="G8925" t="str">
        <f>IF(ISBLANK('Q 11'!$C20),"",IF('Q 11'!$C20="&lt;please select&gt;","",'Q 11'!$C20))</f>
        <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
      </c>
    </row>
    <row r="8930" spans="1:7" x14ac:dyDescent="0.3">
      <c r="A8930" t="s">
        <v>2181</v>
      </c>
      <c r="B8930" t="s">
        <v>2183</v>
      </c>
      <c r="C8930">
        <v>2</v>
      </c>
      <c r="D8930" t="s">
        <v>1447</v>
      </c>
      <c r="E8930" t="s">
        <v>2185</v>
      </c>
      <c r="F8930" t="s">
        <v>1741</v>
      </c>
      <c r="G8930" t="str">
        <f>IF(ISBLANK('Q 11'!$G19),"",IF('Q 11'!$G19="&lt;please select&gt;","",'Q 11'!$G19))</f>
        <v/>
      </c>
    </row>
    <row r="8931" spans="1:7" x14ac:dyDescent="0.3">
      <c r="A8931" t="s">
        <v>2181</v>
      </c>
      <c r="B8931" t="s">
        <v>2183</v>
      </c>
      <c r="C8931">
        <v>3</v>
      </c>
      <c r="D8931" t="s">
        <v>1447</v>
      </c>
      <c r="E8931" t="s">
        <v>2185</v>
      </c>
      <c r="F8931" t="s">
        <v>1741</v>
      </c>
      <c r="G8931" t="str">
        <f>IF(ISBLANK('Q 11'!$G20),"",IF('Q 11'!$G20="&lt;please select&gt;","",'Q 11'!$G20))</f>
        <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Latvijas normatīvajos aktos (Ministru kabineta noteikumi) ir noteikts, ka operators, gaisa kuģu operators un sabiedrība var sniegt valsts administratoram informāciju / iesniegumu par aizdomīgiem darījumiem ar emisijas kvotām</v>
      </c>
    </row>
    <row r="8936" spans="1:7" x14ac:dyDescent="0.3">
      <c r="A8936" t="s">
        <v>2186</v>
      </c>
      <c r="B8936" t="s">
        <v>2187</v>
      </c>
      <c r="C8936">
        <v>2</v>
      </c>
      <c r="D8936" t="s">
        <v>1447</v>
      </c>
      <c r="E8936" t="s">
        <v>2188</v>
      </c>
      <c r="F8936" t="s">
        <v>1741</v>
      </c>
      <c r="G8936" t="str">
        <f>IF(ISBLANK('Q 12'!$G8),"",IF('Q 12'!$G8="&lt;please select&gt;","",'Q 12'!$G8))</f>
        <v>Latvijas Krimināllikumā ir noteiktas procedūras, kā tiek izmeklēti noziedzīgie nodarījumi.</v>
      </c>
    </row>
    <row r="8937" spans="1:7" x14ac:dyDescent="0.3">
      <c r="A8937" t="s">
        <v>2186</v>
      </c>
      <c r="B8937" t="s">
        <v>2187</v>
      </c>
      <c r="C8937">
        <v>3</v>
      </c>
      <c r="D8937" t="s">
        <v>1447</v>
      </c>
      <c r="E8937" t="s">
        <v>2188</v>
      </c>
      <c r="F8937" t="s">
        <v>1741</v>
      </c>
      <c r="G8937" t="str">
        <f>IF(ISBLANK('Q 12'!$G9),"",IF('Q 12'!$G9="&lt;please select&gt;","",'Q 12'!$G9))</f>
        <v>Valsts administrators pēc attiecīgās informācijas saņemšanas var sazināties ar attiecīgajām tiesībaizsardzības iestādēm vai kontroles dienestiem ar iesniegumu izmeklēt iesniegumā minētās aizdomas</v>
      </c>
    </row>
    <row r="8938" spans="1:7" x14ac:dyDescent="0.3">
      <c r="A8938" t="s">
        <v>2186</v>
      </c>
      <c r="B8938" t="s">
        <v>2187</v>
      </c>
      <c r="C8938">
        <v>4</v>
      </c>
      <c r="D8938" t="s">
        <v>1447</v>
      </c>
      <c r="E8938" t="s">
        <v>2188</v>
      </c>
      <c r="F8938" t="s">
        <v>1741</v>
      </c>
      <c r="G8938" t="str">
        <f>IF(ISBLANK('Q 12'!$G10),"",IF('Q 12'!$G10="&lt;please select&gt;","",'Q 12'!$G10))</f>
        <v>yes</v>
      </c>
    </row>
    <row r="8939" spans="1:7" x14ac:dyDescent="0.3">
      <c r="A8939" t="s">
        <v>2186</v>
      </c>
      <c r="B8939" t="s">
        <v>2187</v>
      </c>
      <c r="C8939">
        <v>5</v>
      </c>
      <c r="D8939" t="s">
        <v>1447</v>
      </c>
      <c r="E8939" t="s">
        <v>2188</v>
      </c>
      <c r="F8939" t="s">
        <v>1741</v>
      </c>
      <c r="G8939" t="str">
        <f>IF(ISBLANK('Q 12'!$G11),"",IF('Q 12'!$G11="&lt;please select&gt;","",'Q 12'!$G11))</f>
        <v>yes</v>
      </c>
    </row>
    <row r="8940" spans="1:7" x14ac:dyDescent="0.3">
      <c r="A8940" t="s">
        <v>2186</v>
      </c>
      <c r="B8940" t="s">
        <v>2187</v>
      </c>
      <c r="C8940">
        <v>6</v>
      </c>
      <c r="D8940" t="s">
        <v>1447</v>
      </c>
      <c r="E8940" t="s">
        <v>2188</v>
      </c>
      <c r="F8940" t="s">
        <v>1741</v>
      </c>
      <c r="G8940" t="str">
        <f>IF(ISBLANK('Q 12'!$G12),"",IF('Q 12'!$G12="&lt;please select&gt;","",'Q 12'!$G12))</f>
        <v>Latvijas Krimināllikumā ir noteikti soda naudas un cietumsodi atkarībā no noziedzīgā nodarījuma nopietnības pakāpes.</v>
      </c>
    </row>
    <row r="8941" spans="1:7" x14ac:dyDescent="0.3">
      <c r="A8941" t="s">
        <v>2189</v>
      </c>
      <c r="B8941" t="s">
        <v>2190</v>
      </c>
      <c r="C8941">
        <v>1</v>
      </c>
      <c r="D8941" t="s">
        <v>1447</v>
      </c>
      <c r="E8941" t="s">
        <v>2191</v>
      </c>
      <c r="F8941" t="s">
        <v>1741</v>
      </c>
      <c r="G8941" t="str">
        <f>IF(ISBLANK('Q 12'!$G17),"",IF('Q 12'!$G17="&lt;please select&gt;","",'Q 12'!$G17))</f>
        <v>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v>
      </c>
    </row>
    <row r="8942" spans="1:7" x14ac:dyDescent="0.3">
      <c r="A8942" t="s">
        <v>2189</v>
      </c>
      <c r="B8942" t="s">
        <v>2190</v>
      </c>
      <c r="C8942">
        <v>2</v>
      </c>
      <c r="D8942" t="s">
        <v>1447</v>
      </c>
      <c r="E8942" t="s">
        <v>2191</v>
      </c>
      <c r="F8942" t="s">
        <v>1741</v>
      </c>
      <c r="G8942" t="str">
        <f>IF(ISBLANK('Q 12'!$G18),"",IF('Q 12'!$G18="&lt;please select&gt;","",'Q 12'!$G18))</f>
        <v>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v>
      </c>
    </row>
    <row r="8943" spans="1:7" x14ac:dyDescent="0.3">
      <c r="A8943" t="s">
        <v>2189</v>
      </c>
      <c r="B8943" t="s">
        <v>2190</v>
      </c>
      <c r="C8943">
        <v>3</v>
      </c>
      <c r="D8943" t="s">
        <v>1447</v>
      </c>
      <c r="E8943" t="s">
        <v>2191</v>
      </c>
      <c r="F8943" t="s">
        <v>1741</v>
      </c>
      <c r="G8943" t="str">
        <f>IF(ISBLANK('Q 12'!$G19),"",IF('Q 12'!$G19="&lt;please select&gt;","",'Q 12'!$G19))</f>
        <v>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v>
      </c>
    </row>
    <row r="8944" spans="1:7" x14ac:dyDescent="0.3">
      <c r="A8944" t="s">
        <v>2189</v>
      </c>
      <c r="B8944" t="s">
        <v>2190</v>
      </c>
      <c r="C8944">
        <v>4</v>
      </c>
      <c r="D8944" t="s">
        <v>1447</v>
      </c>
      <c r="E8944" t="s">
        <v>2191</v>
      </c>
      <c r="F8944" t="s">
        <v>1741</v>
      </c>
      <c r="G8944" t="str">
        <f>IF(ISBLANK('Q 12'!$G20),"",IF('Q 12'!$G20="&lt;please select&gt;","",'Q 12'!$G20))</f>
        <v>Ministru kabineta noteikumi Nr.250 Noteikumi par darbībām emisijas reģistrā 1.2. tiek uzraudzītas un kontrolētas darbības emisijas reģistrā un piekļuve emisijas reģistram, kā arī notiek sadarbība ar citām iestādēm uzraudzības un kontroles nodrošināšanai; 61. Ieņēmumi no darbībām ar emisijas kvotām un Kioto protokola vienībām tiek kontrolēti, ievērojot Noziedzīgi iegūtu līdzekļu legalizācijas un terorisma finansēšanas novēršanas likumu. 62. Valsts administrators saskaņā ar regulas Nr. 389/2013 98. pantu: 62.1. sadarbojas ar Noziedzīgi iegūtu līdzekļu legalizācijas novēršanas dienestu Noziedzīgi iegūtu līdzekļu legalizācijas un terorisma finansēšanas novēršanas likumā noteiktajā kārtībā un sniedz Noziedzīgi iegūtu līdzekļu legalizācijas novēršanas dienesta prasīto informāciju, kā arī regulas Nr. 389/2013 98. panta 2. punktā minēto informāciju pamatojošos dokumentus;</v>
      </c>
    </row>
    <row r="8945" spans="1:10" x14ac:dyDescent="0.3">
      <c r="A8945" t="s">
        <v>2192</v>
      </c>
      <c r="B8945" t="s">
        <v>2193</v>
      </c>
      <c r="C8945">
        <v>1</v>
      </c>
      <c r="D8945" t="s">
        <v>1447</v>
      </c>
      <c r="E8945" t="s">
        <v>2194</v>
      </c>
      <c r="F8945" t="s">
        <v>1748</v>
      </c>
      <c r="H8945" s="165" t="str">
        <f>IF(ISBLANK('Q 12'!$H28),"",IF('Q 12'!$H28="&lt;please select&gt;","",'Q 12'!$H28))</f>
        <v>0</v>
      </c>
    </row>
    <row r="8946" spans="1:10" x14ac:dyDescent="0.3">
      <c r="A8946" t="s">
        <v>2192</v>
      </c>
      <c r="B8946" t="s">
        <v>2193</v>
      </c>
      <c r="C8946">
        <v>2</v>
      </c>
      <c r="D8946" t="s">
        <v>1447</v>
      </c>
      <c r="E8946" t="s">
        <v>2194</v>
      </c>
      <c r="F8946" t="s">
        <v>1748</v>
      </c>
      <c r="H8946" s="165" t="str">
        <f>IF(ISBLANK('Q 12'!$H29),"",IF('Q 12'!$H29="&lt;please select&gt;","",'Q 12'!$H29))</f>
        <v>0</v>
      </c>
    </row>
    <row r="8947" spans="1:10" x14ac:dyDescent="0.3">
      <c r="A8947" t="s">
        <v>2192</v>
      </c>
      <c r="B8947" t="s">
        <v>2193</v>
      </c>
      <c r="C8947">
        <v>3</v>
      </c>
      <c r="D8947" t="s">
        <v>1447</v>
      </c>
      <c r="E8947" t="s">
        <v>2194</v>
      </c>
      <c r="F8947" t="s">
        <v>1748</v>
      </c>
      <c r="H8947" s="165" t="str">
        <f>IF(ISBLANK('Q 12'!$H30),"",IF('Q 12'!$H30="&lt;please select&gt;","",'Q 12'!$H30))</f>
        <v>0</v>
      </c>
    </row>
    <row r="8948" spans="1:10" x14ac:dyDescent="0.3">
      <c r="A8948" t="s">
        <v>2192</v>
      </c>
      <c r="B8948" t="s">
        <v>2193</v>
      </c>
      <c r="C8948">
        <v>4</v>
      </c>
      <c r="D8948" t="s">
        <v>1447</v>
      </c>
      <c r="E8948" t="s">
        <v>2194</v>
      </c>
      <c r="F8948" t="s">
        <v>1748</v>
      </c>
      <c r="H8948" s="165" t="str">
        <f>IF(ISBLANK('Q 12'!$H31),"",IF('Q 12'!$H31="&lt;please select&gt;","",'Q 12'!$H31))</f>
        <v>0</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
      </c>
    </row>
    <row r="8952" spans="1:10" x14ac:dyDescent="0.3">
      <c r="A8952" t="s">
        <v>2195</v>
      </c>
      <c r="B8952" t="s">
        <v>2196</v>
      </c>
      <c r="C8952">
        <v>4</v>
      </c>
      <c r="D8952" t="s">
        <v>1447</v>
      </c>
      <c r="E8952" t="s">
        <v>2197</v>
      </c>
      <c r="F8952" t="s">
        <v>1791</v>
      </c>
      <c r="J8952" t="str">
        <f>IF(ISBLANK('Q 13'!E10),"",IF('Q 13'!E10="&lt;please select&gt;","",'Q 13'!E10))</f>
        <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
      </c>
    </row>
    <row r="8956" spans="1:10" x14ac:dyDescent="0.3">
      <c r="A8956" t="s">
        <v>2195</v>
      </c>
      <c r="B8956" t="s">
        <v>2196</v>
      </c>
      <c r="C8956">
        <v>8</v>
      </c>
      <c r="D8956" t="s">
        <v>1447</v>
      </c>
      <c r="E8956" t="s">
        <v>2197</v>
      </c>
      <c r="F8956" t="s">
        <v>1791</v>
      </c>
      <c r="J8956" t="str">
        <f>IF(ISBLANK('Q 13'!E14),"",IF('Q 13'!E14="&lt;please select&gt;","",'Q 13'!E14))</f>
        <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
      </c>
    </row>
    <row r="8961" spans="1:10" x14ac:dyDescent="0.3">
      <c r="A8961" t="s">
        <v>2195</v>
      </c>
      <c r="B8961" t="s">
        <v>2196</v>
      </c>
      <c r="C8961">
        <v>13</v>
      </c>
      <c r="D8961" t="s">
        <v>1447</v>
      </c>
      <c r="E8961" t="s">
        <v>2197</v>
      </c>
      <c r="F8961" t="s">
        <v>1791</v>
      </c>
      <c r="J8961" t="str">
        <f>IF(ISBLANK('Q 13'!E19),"",IF('Q 13'!E19="&lt;please select&gt;","",'Q 13'!E19))</f>
        <v/>
      </c>
    </row>
    <row r="8962" spans="1:10" x14ac:dyDescent="0.3">
      <c r="A8962" t="s">
        <v>2195</v>
      </c>
      <c r="B8962" t="s">
        <v>2196</v>
      </c>
      <c r="C8962">
        <v>14</v>
      </c>
      <c r="D8962" t="s">
        <v>1447</v>
      </c>
      <c r="E8962" t="s">
        <v>2197</v>
      </c>
      <c r="F8962" t="s">
        <v>1791</v>
      </c>
      <c r="J8962" t="str">
        <f>IF(ISBLANK('Q 13'!E20),"",IF('Q 13'!E20="&lt;please select&gt;","",'Q 13'!E20))</f>
        <v/>
      </c>
    </row>
    <row r="8963" spans="1:10" x14ac:dyDescent="0.3">
      <c r="A8963" t="s">
        <v>2195</v>
      </c>
      <c r="B8963" t="s">
        <v>2196</v>
      </c>
      <c r="C8963">
        <v>15</v>
      </c>
      <c r="D8963" t="s">
        <v>1447</v>
      </c>
      <c r="E8963" t="s">
        <v>2197</v>
      </c>
      <c r="F8963" t="s">
        <v>1791</v>
      </c>
      <c r="J8963" t="str">
        <f>IF(ISBLANK('Q 13'!E21),"",IF('Q 13'!E21="&lt;please select&gt;","",'Q 13'!E21))</f>
        <v/>
      </c>
    </row>
    <row r="8964" spans="1:10" x14ac:dyDescent="0.3">
      <c r="A8964" t="s">
        <v>2195</v>
      </c>
      <c r="B8964" t="s">
        <v>2196</v>
      </c>
      <c r="C8964">
        <v>16</v>
      </c>
      <c r="D8964" t="s">
        <v>1447</v>
      </c>
      <c r="E8964" t="s">
        <v>2197</v>
      </c>
      <c r="F8964" t="s">
        <v>1791</v>
      </c>
      <c r="J8964" t="str">
        <f>IF(ISBLANK('Q 13'!E22),"",IF('Q 13'!E22="&lt;please select&gt;","",'Q 13'!E22))</f>
        <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
      </c>
    </row>
    <row r="8984" spans="1:10" x14ac:dyDescent="0.3">
      <c r="A8984" t="s">
        <v>2195</v>
      </c>
      <c r="B8984" t="s">
        <v>2196</v>
      </c>
      <c r="C8984">
        <v>36</v>
      </c>
      <c r="D8984" t="s">
        <v>1447</v>
      </c>
      <c r="E8984" t="s">
        <v>2197</v>
      </c>
      <c r="F8984" t="s">
        <v>1791</v>
      </c>
      <c r="J8984" t="str">
        <f>IF(ISBLANK('Q 13'!E42),"",IF('Q 13'!E42="&lt;please select&gt;","",'Q 13'!E42))</f>
        <v/>
      </c>
    </row>
    <row r="8985" spans="1:10" x14ac:dyDescent="0.3">
      <c r="A8985" t="s">
        <v>2195</v>
      </c>
      <c r="B8985" t="s">
        <v>2196</v>
      </c>
      <c r="C8985">
        <v>37</v>
      </c>
      <c r="D8985" t="s">
        <v>1447</v>
      </c>
      <c r="E8985" t="s">
        <v>2197</v>
      </c>
      <c r="F8985" t="s">
        <v>1791</v>
      </c>
      <c r="J8985" t="str">
        <f>IF(ISBLANK('Q 13'!E43),"",IF('Q 13'!E43="&lt;please select&gt;","",'Q 13'!E43))</f>
        <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
      </c>
    </row>
    <row r="8999" spans="1:10" x14ac:dyDescent="0.3">
      <c r="A8999" t="s">
        <v>2195</v>
      </c>
      <c r="B8999" t="s">
        <v>2196</v>
      </c>
      <c r="C8999">
        <v>51</v>
      </c>
      <c r="D8999" t="s">
        <v>1447</v>
      </c>
      <c r="E8999" t="s">
        <v>2197</v>
      </c>
      <c r="F8999" t="s">
        <v>1791</v>
      </c>
      <c r="J8999" t="str">
        <f>IF(ISBLANK('Q 13'!E57),"",IF('Q 13'!E57="&lt;please select&gt;","",'Q 13'!E57))</f>
        <v/>
      </c>
    </row>
    <row r="9000" spans="1:10" x14ac:dyDescent="0.3">
      <c r="A9000" t="s">
        <v>2195</v>
      </c>
      <c r="B9000" t="s">
        <v>2196</v>
      </c>
      <c r="C9000">
        <v>52</v>
      </c>
      <c r="D9000" t="s">
        <v>1447</v>
      </c>
      <c r="E9000" t="s">
        <v>2197</v>
      </c>
      <c r="F9000" t="s">
        <v>1791</v>
      </c>
      <c r="J9000" t="str">
        <f>IF(ISBLANK('Q 13'!E58),"",IF('Q 13'!E58="&lt;please select&gt;","",'Q 13'!E58))</f>
        <v/>
      </c>
    </row>
    <row r="9001" spans="1:10" x14ac:dyDescent="0.3">
      <c r="A9001" t="s">
        <v>2195</v>
      </c>
      <c r="B9001" t="s">
        <v>2196</v>
      </c>
      <c r="C9001">
        <v>53</v>
      </c>
      <c r="D9001" t="s">
        <v>1447</v>
      </c>
      <c r="E9001" t="s">
        <v>2197</v>
      </c>
      <c r="F9001" t="s">
        <v>1791</v>
      </c>
      <c r="J9001" t="str">
        <f>IF(ISBLANK('Q 13'!E59),"",IF('Q 13'!E59="&lt;please select&gt;","",'Q 13'!E59))</f>
        <v/>
      </c>
    </row>
    <row r="9002" spans="1:10" x14ac:dyDescent="0.3">
      <c r="A9002" t="s">
        <v>2195</v>
      </c>
      <c r="B9002" t="s">
        <v>2196</v>
      </c>
      <c r="C9002">
        <v>54</v>
      </c>
      <c r="D9002" t="s">
        <v>1447</v>
      </c>
      <c r="E9002" t="s">
        <v>2197</v>
      </c>
      <c r="F9002" t="s">
        <v>1791</v>
      </c>
      <c r="J9002" t="str">
        <f>IF(ISBLANK('Q 13'!E60),"",IF('Q 13'!E60="&lt;please select&gt;","",'Q 13'!E60))</f>
        <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
      </c>
    </row>
    <row r="9017" spans="1:10" x14ac:dyDescent="0.3">
      <c r="A9017" t="s">
        <v>2195</v>
      </c>
      <c r="B9017" t="s">
        <v>2196</v>
      </c>
      <c r="C9017">
        <v>69</v>
      </c>
      <c r="D9017" t="s">
        <v>1447</v>
      </c>
      <c r="E9017" t="s">
        <v>2197</v>
      </c>
      <c r="F9017" t="s">
        <v>1791</v>
      </c>
      <c r="J9017" t="str">
        <f>IF(ISBLANK('Q 13'!E75),"",IF('Q 13'!E75="&lt;please select&gt;","",'Q 13'!E75))</f>
        <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
      </c>
    </row>
    <row r="9020" spans="1:10" x14ac:dyDescent="0.3">
      <c r="A9020" t="s">
        <v>2195</v>
      </c>
      <c r="B9020" t="s">
        <v>2196</v>
      </c>
      <c r="C9020">
        <v>72</v>
      </c>
      <c r="D9020" t="s">
        <v>1447</v>
      </c>
      <c r="E9020" t="s">
        <v>2197</v>
      </c>
      <c r="F9020" t="s">
        <v>1791</v>
      </c>
      <c r="J9020" t="str">
        <f>IF(ISBLANK('Q 13'!E78),"",IF('Q 13'!E78="&lt;please select&gt;","",'Q 13'!E78))</f>
        <v/>
      </c>
    </row>
    <row r="9021" spans="1:10" x14ac:dyDescent="0.3">
      <c r="A9021" t="s">
        <v>2195</v>
      </c>
      <c r="B9021" t="s">
        <v>2196</v>
      </c>
      <c r="C9021">
        <v>73</v>
      </c>
      <c r="D9021" t="s">
        <v>1447</v>
      </c>
      <c r="E9021" t="s">
        <v>2197</v>
      </c>
      <c r="F9021" t="s">
        <v>1791</v>
      </c>
      <c r="J9021" t="str">
        <f>IF(ISBLANK('Q 13'!E79),"",IF('Q 13'!E79="&lt;please select&gt;","",'Q 13'!E79))</f>
        <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
      </c>
    </row>
    <row r="9036" spans="1:11" x14ac:dyDescent="0.3">
      <c r="A9036" t="s">
        <v>2195</v>
      </c>
      <c r="B9036" t="s">
        <v>2196</v>
      </c>
      <c r="C9036">
        <v>4</v>
      </c>
      <c r="D9036" t="s">
        <v>1447</v>
      </c>
      <c r="E9036" t="s">
        <v>2198</v>
      </c>
      <c r="F9036" t="s">
        <v>1737</v>
      </c>
      <c r="K9036" t="str">
        <f>IF(ISBLANK('Q 13'!$D10),"",IF('Q 13'!$D10="&lt;please select&gt;","",'Q 13'!$D10))</f>
        <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
      </c>
    </row>
    <row r="9040" spans="1:11" x14ac:dyDescent="0.3">
      <c r="A9040" t="s">
        <v>2195</v>
      </c>
      <c r="B9040" t="s">
        <v>2196</v>
      </c>
      <c r="C9040">
        <v>8</v>
      </c>
      <c r="D9040" t="s">
        <v>1447</v>
      </c>
      <c r="E9040" t="s">
        <v>2198</v>
      </c>
      <c r="F9040" t="s">
        <v>1737</v>
      </c>
      <c r="K9040" t="str">
        <f>IF(ISBLANK('Q 13'!$D14),"",IF('Q 13'!$D14="&lt;please select&gt;","",'Q 13'!$D14))</f>
        <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
      </c>
    </row>
    <row r="9045" spans="1:11" x14ac:dyDescent="0.3">
      <c r="A9045" t="s">
        <v>2195</v>
      </c>
      <c r="B9045" t="s">
        <v>2196</v>
      </c>
      <c r="C9045">
        <v>13</v>
      </c>
      <c r="D9045" t="s">
        <v>1447</v>
      </c>
      <c r="E9045" t="s">
        <v>2198</v>
      </c>
      <c r="F9045" t="s">
        <v>1737</v>
      </c>
      <c r="K9045" t="str">
        <f>IF(ISBLANK('Q 13'!$D19),"",IF('Q 13'!$D19="&lt;please select&gt;","",'Q 13'!$D19))</f>
        <v/>
      </c>
    </row>
    <row r="9046" spans="1:11" x14ac:dyDescent="0.3">
      <c r="A9046" t="s">
        <v>2195</v>
      </c>
      <c r="B9046" t="s">
        <v>2196</v>
      </c>
      <c r="C9046">
        <v>14</v>
      </c>
      <c r="D9046" t="s">
        <v>1447</v>
      </c>
      <c r="E9046" t="s">
        <v>2198</v>
      </c>
      <c r="F9046" t="s">
        <v>1737</v>
      </c>
      <c r="K9046" t="str">
        <f>IF(ISBLANK('Q 13'!$D20),"",IF('Q 13'!$D20="&lt;please select&gt;","",'Q 13'!$D20))</f>
        <v/>
      </c>
    </row>
    <row r="9047" spans="1:11" x14ac:dyDescent="0.3">
      <c r="A9047" t="s">
        <v>2195</v>
      </c>
      <c r="B9047" t="s">
        <v>2196</v>
      </c>
      <c r="C9047">
        <v>15</v>
      </c>
      <c r="D9047" t="s">
        <v>1447</v>
      </c>
      <c r="E9047" t="s">
        <v>2198</v>
      </c>
      <c r="F9047" t="s">
        <v>1737</v>
      </c>
      <c r="K9047" t="str">
        <f>IF(ISBLANK('Q 13'!$D21),"",IF('Q 13'!$D21="&lt;please select&gt;","",'Q 13'!$D21))</f>
        <v/>
      </c>
    </row>
    <row r="9048" spans="1:11" x14ac:dyDescent="0.3">
      <c r="A9048" t="s">
        <v>2195</v>
      </c>
      <c r="B9048" t="s">
        <v>2196</v>
      </c>
      <c r="C9048">
        <v>16</v>
      </c>
      <c r="D9048" t="s">
        <v>1447</v>
      </c>
      <c r="E9048" t="s">
        <v>2198</v>
      </c>
      <c r="F9048" t="s">
        <v>1737</v>
      </c>
      <c r="K9048" t="str">
        <f>IF(ISBLANK('Q 13'!$D22),"",IF('Q 13'!$D22="&lt;please select&gt;","",'Q 13'!$D22))</f>
        <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
      </c>
    </row>
    <row r="9068" spans="1:11" x14ac:dyDescent="0.3">
      <c r="A9068" t="s">
        <v>2195</v>
      </c>
      <c r="B9068" t="s">
        <v>2196</v>
      </c>
      <c r="C9068">
        <v>36</v>
      </c>
      <c r="D9068" t="s">
        <v>1447</v>
      </c>
      <c r="E9068" t="s">
        <v>2198</v>
      </c>
      <c r="F9068" t="s">
        <v>1737</v>
      </c>
      <c r="K9068" t="str">
        <f>IF(ISBLANK('Q 13'!$D42),"",IF('Q 13'!$D42="&lt;please select&gt;","",'Q 13'!$D42))</f>
        <v/>
      </c>
    </row>
    <row r="9069" spans="1:11" x14ac:dyDescent="0.3">
      <c r="A9069" t="s">
        <v>2195</v>
      </c>
      <c r="B9069" t="s">
        <v>2196</v>
      </c>
      <c r="C9069">
        <v>37</v>
      </c>
      <c r="D9069" t="s">
        <v>1447</v>
      </c>
      <c r="E9069" t="s">
        <v>2198</v>
      </c>
      <c r="F9069" t="s">
        <v>1737</v>
      </c>
      <c r="K9069" t="str">
        <f>IF(ISBLANK('Q 13'!$D43),"",IF('Q 13'!$D43="&lt;please select&gt;","",'Q 13'!$D43))</f>
        <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
      </c>
    </row>
    <row r="9083" spans="1:11" x14ac:dyDescent="0.3">
      <c r="A9083" t="s">
        <v>2195</v>
      </c>
      <c r="B9083" t="s">
        <v>2196</v>
      </c>
      <c r="C9083">
        <v>51</v>
      </c>
      <c r="D9083" t="s">
        <v>1447</v>
      </c>
      <c r="E9083" t="s">
        <v>2198</v>
      </c>
      <c r="F9083" t="s">
        <v>1737</v>
      </c>
      <c r="K9083" t="str">
        <f>IF(ISBLANK('Q 13'!$D57),"",IF('Q 13'!$D57="&lt;please select&gt;","",'Q 13'!$D57))</f>
        <v/>
      </c>
    </row>
    <row r="9084" spans="1:11" x14ac:dyDescent="0.3">
      <c r="A9084" t="s">
        <v>2195</v>
      </c>
      <c r="B9084" t="s">
        <v>2196</v>
      </c>
      <c r="C9084">
        <v>52</v>
      </c>
      <c r="D9084" t="s">
        <v>1447</v>
      </c>
      <c r="E9084" t="s">
        <v>2198</v>
      </c>
      <c r="F9084" t="s">
        <v>1737</v>
      </c>
      <c r="K9084" t="str">
        <f>IF(ISBLANK('Q 13'!$D58),"",IF('Q 13'!$D58="&lt;please select&gt;","",'Q 13'!$D58))</f>
        <v/>
      </c>
    </row>
    <row r="9085" spans="1:11" x14ac:dyDescent="0.3">
      <c r="A9085" t="s">
        <v>2195</v>
      </c>
      <c r="B9085" t="s">
        <v>2196</v>
      </c>
      <c r="C9085">
        <v>53</v>
      </c>
      <c r="D9085" t="s">
        <v>1447</v>
      </c>
      <c r="E9085" t="s">
        <v>2198</v>
      </c>
      <c r="F9085" t="s">
        <v>1737</v>
      </c>
      <c r="K9085" t="str">
        <f>IF(ISBLANK('Q 13'!$D59),"",IF('Q 13'!$D59="&lt;please select&gt;","",'Q 13'!$D59))</f>
        <v/>
      </c>
    </row>
    <row r="9086" spans="1:11" x14ac:dyDescent="0.3">
      <c r="A9086" t="s">
        <v>2195</v>
      </c>
      <c r="B9086" t="s">
        <v>2196</v>
      </c>
      <c r="C9086">
        <v>54</v>
      </c>
      <c r="D9086" t="s">
        <v>1447</v>
      </c>
      <c r="E9086" t="s">
        <v>2198</v>
      </c>
      <c r="F9086" t="s">
        <v>1737</v>
      </c>
      <c r="K9086" t="str">
        <f>IF(ISBLANK('Q 13'!$D60),"",IF('Q 13'!$D60="&lt;please select&gt;","",'Q 13'!$D60))</f>
        <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
      </c>
    </row>
    <row r="9101" spans="1:11" x14ac:dyDescent="0.3">
      <c r="A9101" t="s">
        <v>2195</v>
      </c>
      <c r="B9101" t="s">
        <v>2196</v>
      </c>
      <c r="C9101">
        <v>69</v>
      </c>
      <c r="D9101" t="s">
        <v>1447</v>
      </c>
      <c r="E9101" t="s">
        <v>2198</v>
      </c>
      <c r="F9101" t="s">
        <v>1737</v>
      </c>
      <c r="K9101" t="str">
        <f>IF(ISBLANK('Q 13'!$D75),"",IF('Q 13'!$D75="&lt;please select&gt;","",'Q 13'!$D75))</f>
        <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
      </c>
    </row>
    <row r="9104" spans="1:11" x14ac:dyDescent="0.3">
      <c r="A9104" t="s">
        <v>2195</v>
      </c>
      <c r="B9104" t="s">
        <v>2196</v>
      </c>
      <c r="C9104">
        <v>72</v>
      </c>
      <c r="D9104" t="s">
        <v>1447</v>
      </c>
      <c r="E9104" t="s">
        <v>2198</v>
      </c>
      <c r="F9104" t="s">
        <v>1737</v>
      </c>
      <c r="K9104" t="str">
        <f>IF(ISBLANK('Q 13'!$D78),"",IF('Q 13'!$D78="&lt;please select&gt;","",'Q 13'!$D78))</f>
        <v/>
      </c>
    </row>
    <row r="9105" spans="1:11" x14ac:dyDescent="0.3">
      <c r="A9105" t="s">
        <v>2195</v>
      </c>
      <c r="B9105" t="s">
        <v>2196</v>
      </c>
      <c r="C9105">
        <v>73</v>
      </c>
      <c r="D9105" t="s">
        <v>1447</v>
      </c>
      <c r="E9105" t="s">
        <v>2198</v>
      </c>
      <c r="F9105" t="s">
        <v>1737</v>
      </c>
      <c r="K9105" t="str">
        <f>IF(ISBLANK('Q 13'!$D79),"",IF('Q 13'!$D79="&lt;please select&gt;","",'Q 13'!$D79))</f>
        <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Yes</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