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3209565B-216F-4355-B946-28D0C73EEB59}"/>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50" i="43" l="1"/>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<sst xmlns="http://schemas.openxmlformats.org/spreadsheetml/2006/main" count="6074" uniqueCount="2039">
  <si>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</si>
  <si>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</si>
  <si>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</si>
  <si>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</si>
  <si>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</si>
  <si>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</si>
  <si>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</si>
  <si>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</si>
  <si>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</si>
  <si>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</si>
  <si>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</si>
  <si>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</si>
  <si>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</si>
  <si>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</si>
  <si>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</si>
  <si>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</si>
  <si>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</si>
  <si>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</si>
  <si>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</si>
  <si>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</si>
  <si>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</si>
  <si>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</si>
  <si>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</si>
  <si>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</si>
  <si>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</si>
  <si>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</si>
  <si>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</si>
  <si>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</si>
  <si>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</si>
  <si>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</si>
  <si>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</si>
  <si>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</si>
  <si>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</si>
  <si>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</si>
  <si>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</si>
  <si>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</si>
  <si>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</si>
  <si>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</si>
  <si>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</si>
  <si>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</si>
  <si>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</si>
  <si>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</si>
  <si>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</si>
  <si>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</si>
  <si>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</si>
  <si>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</si>
  <si>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</si>
  <si>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</si>
  <si>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</si>
  <si>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</si>
  <si>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</si>
  <si>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</si>
  <si>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</si>
  <si>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</si>
  <si>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</si>
  <si>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</si>
  <si>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</si>
  <si>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</si>
  <si>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</si>
  <si>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</si>
  <si>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</si>
  <si>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</si>
  <si>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</si>
  <si>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</si>
  <si>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</si>
  <si>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</si>
  <si>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</si>
  <si>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</si>
  <si>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</si>
  <si>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</si>
  <si>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</si>
  <si>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</si>
  <si>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</si>
  <si>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</si>
  <si>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</si>
  <si>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</si>
  <si>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</si>
  <si>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</si>
  <si>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</si>
  <si>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</si>
  <si>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</si>
  <si>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</si>
  <si>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</si>
  <si>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</si>
  <si>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</si>
  <si>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</si>
  <si>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</si>
  <si>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</si>
  <si>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</si>
  <si>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</si>
  <si>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</si>
  <si>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</si>
  <si>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</si>
  <si>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</si>
  <si>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</si>
  <si>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</si>
  <si>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</si>
  <si>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</si>
  <si>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</si>
  <si>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</si>
  <si>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</si>
  <si>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</si>
  <si>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</si>
  <si>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</si>
  <si>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</si>
  <si>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</si>
  <si>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</si>
  <si>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</si>
  <si>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</si>
  <si>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</si>
  <si>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</si>
  <si>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</si>
  <si>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</si>
  <si>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</si>
  <si>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</si>
  <si>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</si>
  <si>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</si>
  <si>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</si>
  <si>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</si>
  <si>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</si>
  <si>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</si>
  <si>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</si>
  <si>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</si>
  <si>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</si>
  <si>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</si>
  <si>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</si>
  <si>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</si>
  <si>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</si>
  <si>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</si>
  <si>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</si>
  <si>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</si>
  <si>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</si>
  <si>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</si>
  <si>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</si>
  <si>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</si>
  <si>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</si>
  <si>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</si>
  <si>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</si>
  <si>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</si>
  <si>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</si>
  <si>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</si>
  <si>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</si>
  <si>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</si>
  <si>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</si>
  <si>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</si>
  <si>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</si>
  <si>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</si>
  <si>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</si>
  <si>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</si>
  <si>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</si>
  <si>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</si>
  <si>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</si>
  <si>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</si>
  <si>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</si>
  <si>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</si>
  <si>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</si>
  <si>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</si>
  <si>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</si>
  <si>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</si>
  <si>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</si>
  <si>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</si>
  <si>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</si>
  <si>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</si>
  <si>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</si>
  <si>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</si>
  <si>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</si>
  <si>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</si>
  <si>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</si>
  <si>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</si>
  <si>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</si>
  <si>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</si>
  <si>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</si>
  <si>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</si>
  <si>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</si>
  <si>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</si>
  <si>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</si>
  <si>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</si>
  <si>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</si>
  <si>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</si>
  <si>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</si>
  <si>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</si>
  <si>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</si>
  <si>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</si>
  <si>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</si>
  <si>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</si>
  <si>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</si>
  <si>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</si>
  <si>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</si>
  <si>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</si>
  <si>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</si>
  <si>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</si>
  <si>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</si>
  <si>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</si>
  <si>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</si>
  <si>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</si>
  <si>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</si>
  <si>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</si>
  <si>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</si>
  <si>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</si>
  <si>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</si>
  <si>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</si>
  <si>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</si>
  <si>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</si>
  <si>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</si>
  <si>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</si>
  <si>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</si>
  <si>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</si>
  <si>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</si>
  <si>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</si>
  <si>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</si>
  <si>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</si>
  <si>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</si>
  <si>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</si>
  <si>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</si>
  <si>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</si>
  <si>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</si>
  <si>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</si>
  <si>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</si>
  <si>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</si>
  <si>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</si>
  <si>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</si>
  <si>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</si>
  <si>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</si>
  <si>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</si>
  <si>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</si>
  <si>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</si>
  <si>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</si>
  <si>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</si>
  <si>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</si>
  <si>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</si>
  <si>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</si>
  <si>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</si>
  <si>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</si>
  <si>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</si>
  <si>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</si>
  <si>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</si>
  <si>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</si>
  <si>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</si>
  <si>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</si>
  <si>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</si>
  <si>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</si>
  <si>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</si>
  <si>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</si>
  <si>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</si>
  <si>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</si>
  <si>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</si>
  <si>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</si>
  <si>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</si>
  <si>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</si>
  <si>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</si>
  <si>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</si>
  <si>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</si>
  <si>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</si>
  <si>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</si>
  <si>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</si>
  <si>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</si>
  <si>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</si>
  <si>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</si>
  <si>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</si>
  <si>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</si>
  <si>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</si>
  <si>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</si>
  <si>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</si>
  <si>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</si>
  <si>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</si>
  <si>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</si>
  <si>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</si>
  <si>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</si>
  <si>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</si>
  <si>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</si>
  <si>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</si>
  <si>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</si>
  <si>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</si>
  <si>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</si>
  <si>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</si>
  <si>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</si>
  <si>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</si>
  <si>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</si>
  <si>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</si>
  <si>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</si>
  <si>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</si>
  <si>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</si>
  <si>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</si>
  <si>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</si>
  <si>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</si>
  <si>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</si>
  <si>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</si>
  <si>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</si>
  <si>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</si>
  <si>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</si>
  <si>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</si>
  <si>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</si>
  <si>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</si>
  <si>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</si>
  <si>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</si>
  <si>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</si>
  <si>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</si>
  <si>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</si>
  <si>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</si>
  <si>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</si>
  <si>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</si>
  <si>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</si>
  <si>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</si>
  <si>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</si>
  <si>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</si>
  <si>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</si>
  <si>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</si>
  <si>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</si>
  <si>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</si>
  <si>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</si>
  <si>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</si>
  <si>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</si>
  <si>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</si>
  <si>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</si>
  <si>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</si>
  <si>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</si>
  <si>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</si>
  <si>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</si>
  <si>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</si>
  <si>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</si>
  <si>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</si>
  <si>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</si>
  <si>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</si>
  <si>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</si>
  <si>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</si>
  <si>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</si>
  <si>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</si>
  <si>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</si>
  <si>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</si>
  <si>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</si>
  <si>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</si>
  <si>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</si>
  <si>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</si>
  <si>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</si>
  <si>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</si>
  <si>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</si>
  <si>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</si>
  <si>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</si>
  <si>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</si>
  <si>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</si>
  <si>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</si>
  <si>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</si>
  <si>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</si>
  <si>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</si>
  <si>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</si>
  <si>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</si>
  <si>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</si>
  <si>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</si>
  <si>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</si>
  <si>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</si>
  <si>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</si>
  <si>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</si>
  <si>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</si>
  <si>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</si>
  <si>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</si>
  <si>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</si>
  <si>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</si>
  <si>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</si>
  <si>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</si>
  <si>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</si>
  <si>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</si>
  <si>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</si>
  <si>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</si>
  <si>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</si>
  <si>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</si>
  <si>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</si>
  <si>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</si>
  <si>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</si>
  <si>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</si>
  <si>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</si>
  <si>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</si>
  <si>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</si>
  <si>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</si>
  <si>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</si>
  <si>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</si>
  <si>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</si>
  <si>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</si>
  <si>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</si>
  <si>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</si>
  <si>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</si>
  <si>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</si>
  <si>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</si>
  <si>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</si>
  <si>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</si>
  <si>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</si>
  <si>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</si>
  <si>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</si>
  <si>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</si>
  <si>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</si>
  <si>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</si>
  <si>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</si>
  <si>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</si>
  <si>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</si>
  <si>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</si>
  <si>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</si>
  <si>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</si>
  <si>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</si>
  <si>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</si>
  <si>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</si>
  <si>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</si>
  <si>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</si>
  <si>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</si>
  <si>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</si>
  <si>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</si>
  <si>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</si>
  <si>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</si>
  <si>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</si>
  <si>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</si>
  <si>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</si>
  <si>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</si>
  <si>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</si>
  <si>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</si>
  <si>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</si>
  <si>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</si>
  <si>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</si>
  <si>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</si>
  <si>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</si>
  <si>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</si>
  <si>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</si>
  <si>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</si>
  <si>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</si>
  <si>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</si>
  <si>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</si>
  <si>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</si>
  <si>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</si>
  <si>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</si>
  <si>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</si>
  <si>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</si>
  <si>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</si>
  <si>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</si>
  <si>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</si>
  <si>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</si>
  <si>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</si>
  <si>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</si>
  <si>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</si>
  <si>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</si>
  <si>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</si>
  <si>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</si>
  <si>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</si>
  <si>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</si>
  <si>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</si>
  <si>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</si>
  <si>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</si>
  <si>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</si>
  <si>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</si>
  <si>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</si>
  <si>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</si>
  <si>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</si>
  <si>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</si>
  <si>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</si>
  <si>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</si>
  <si>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</si>
  <si>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</si>
  <si>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</si>
  <si>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</si>
  <si>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</si>
  <si>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</si>
  <si>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</si>
  <si>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</si>
  <si>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</si>
  <si>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</si>
  <si>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</si>
  <si>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</si>
  <si>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</si>
  <si>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</si>
  <si>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</si>
  <si>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</si>
  <si>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</si>
  <si>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</si>
  <si>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</si>
  <si>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</si>
  <si>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</si>
  <si>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</si>
  <si>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</si>
  <si>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</si>
  <si>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</si>
  <si>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</si>
  <si>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</si>
  <si>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</si>
  <si>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</si>
  <si>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</si>
  <si>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</si>
  <si>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</si>
  <si>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</si>
  <si>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</si>
  <si>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</si>
  <si>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</si>
  <si>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</si>
  <si>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</si>
  <si>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</si>
  <si>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</si>
  <si>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</si>
  <si>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</si>
  <si>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</si>
  <si>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</si>
  <si>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</si>
  <si>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</si>
  <si>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</si>
  <si>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</si>
  <si>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</si>
  <si>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</si>
  <si>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</si>
  <si>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</si>
  <si>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</si>
  <si>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</si>
  <si>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</si>
  <si>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</si>
  <si>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</si>
  <si>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</si>
  <si>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</si>
  <si>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</si>
  <si>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</si>
  <si>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</si>
  <si>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</si>
  <si>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</si>
  <si>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</si>
  <si>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</si>
  <si>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</si>
  <si>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</si>
  <si>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</si>
  <si>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</si>
  <si>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</si>
  <si>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</si>
  <si>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</si>
  <si>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</si>
  <si>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</si>
  <si>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</si>
  <si>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</si>
  <si>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</si>
  <si>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</si>
  <si>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</si>
  <si>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</si>
  <si>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</si>
  <si>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</si>
  <si>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</si>
  <si>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</si>
  <si>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</si>
  <si>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</si>
  <si>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</si>
  <si>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</si>
  <si>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</si>
  <si>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</si>
  <si>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</si>
  <si>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</si>
  <si>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</si>
  <si>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</si>
  <si>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</si>
  <si>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</si>
  <si>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</si>
  <si>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</si>
  <si>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</si>
  <si>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</si>
  <si>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</si>
  <si>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</si>
  <si>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</si>
  <si>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</si>
  <si>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</si>
  <si>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</si>
  <si>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</si>
  <si>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</si>
  <si>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</si>
  <si>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</si>
  <si>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</si>
  <si>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</si>
  <si>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</si>
  <si>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</si>
  <si>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</si>
  <si>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</si>
  <si>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</si>
  <si>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</si>
  <si>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</si>
  <si>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</si>
  <si>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</si>
  <si>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</si>
  <si>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</si>
  <si>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</si>
  <si>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</si>
  <si>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</si>
  <si>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</si>
  <si>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</si>
  <si>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</si>
  <si>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</si>
  <si>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</si>
  <si>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</si>
  <si>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</si>
  <si>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</si>
  <si>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</si>
  <si>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</si>
  <si>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</si>
  <si>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</si>
  <si>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</si>
  <si>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</si>
  <si>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</si>
  <si>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</si>
  <si>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</si>
  <si>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</si>
  <si>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</si>
  <si>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</si>
  <si>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</si>
  <si>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</si>
  <si>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</si>
  <si>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</si>
  <si>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</si>
  <si>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</si>
  <si>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</si>
  <si>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</si>
  <si>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</si>
  <si>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</si>
  <si>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</si>
  <si>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</si>
  <si>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</si>
  <si>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</si>
  <si>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</si>
  <si>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</si>
  <si>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</si>
  <si>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</si>
  <si>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</si>
  <si>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</si>
  <si>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</si>
  <si>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</si>
  <si>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</si>
  <si>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</si>
  <si>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</si>
  <si>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</si>
  <si>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</si>
  <si>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</si>
  <si>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</si>
  <si>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</si>
  <si>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</si>
  <si>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</si>
  <si>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</si>
  <si>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</si>
  <si>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</si>
  <si>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</si>
  <si>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</si>
  <si>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</si>
  <si>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</si>
  <si>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</si>
  <si>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</si>
  <si>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</si>
  <si>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</si>
  <si>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</si>
  <si>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</si>
  <si>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</si>
  <si>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</si>
  <si>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</si>
  <si>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</si>
  <si>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</si>
  <si>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</si>
  <si>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</si>
  <si>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</si>
  <si>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</si>
  <si>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</si>
  <si>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</si>
  <si>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</si>
  <si>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</si>
  <si>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</si>
  <si>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</si>
  <si>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</si>
  <si>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</si>
  <si>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</si>
  <si>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</si>
  <si>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</si>
  <si>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</si>
  <si>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</si>
  <si>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</si>
  <si>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</si>
  <si>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</si>
  <si>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</si>
  <si>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</si>
  <si>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</si>
  <si>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</si>
  <si>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</si>
  <si>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</si>
  <si>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</si>
  <si>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</si>
  <si>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</si>
  <si>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</si>
  <si>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</si>
  <si>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</si>
  <si>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</si>
  <si>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</si>
  <si>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</si>
  <si>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</si>
  <si>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</si>
  <si>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</si>
  <si>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</si>
  <si>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</si>
  <si>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</si>
  <si>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</si>
  <si>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</si>
  <si>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</si>
  <si>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</si>
  <si>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</si>
  <si>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</si>
  <si>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</si>
  <si>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</si>
  <si>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</si>
  <si>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</si>
  <si>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</si>
  <si>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</si>
  <si>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</si>
  <si>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</si>
  <si>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</si>
  <si>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</si>
  <si>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</si>
  <si>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</si>
  <si>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</si>
  <si>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</si>
  <si>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</si>
  <si>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</si>
  <si>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</si>
  <si>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</si>
  <si>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</si>
  <si>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</si>
  <si>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</si>
  <si>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</si>
  <si>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</si>
  <si>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</si>
  <si>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</si>
  <si>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</si>
  <si>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</si>
  <si>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</si>
  <si>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</si>
  <si>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</si>
  <si>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</si>
  <si>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</si>
  <si>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</si>
  <si>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</si>
  <si>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</si>
  <si>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</si>
  <si>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</si>
  <si>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</si>
  <si>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</si>
  <si>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</si>
  <si>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</si>
  <si>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</si>
  <si>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</si>
  <si>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</si>
  <si>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</si>
  <si>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</si>
  <si>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</si>
  <si>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</si>
  <si>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</si>
  <si>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</si>
  <si>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</si>
  <si>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</si>
  <si>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</si>
  <si>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</si>
  <si>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</si>
  <si>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</si>
  <si>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</si>
  <si>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</si>
  <si>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</si>
  <si>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</si>
  <si>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</si>
  <si>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</si>
  <si>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</si>
  <si>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</si>
  <si>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</si>
  <si>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</si>
  <si>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</si>
  <si>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</si>
  <si>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</si>
  <si>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</si>
  <si>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</si>
  <si>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</si>
  <si>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</si>
  <si>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</si>
  <si>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</si>
  <si>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</si>
  <si>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</si>
  <si>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</si>
  <si>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</si>
  <si>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</si>
  <si>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</si>
  <si>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</si>
  <si>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</si>
  <si>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</si>
  <si>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</si>
  <si>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</si>
  <si>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</si>
  <si>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</si>
  <si>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</si>
  <si>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</si>
  <si>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</si>
  <si>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</si>
  <si>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</si>
  <si>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</si>
  <si>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</si>
  <si>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</si>
  <si>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</si>
  <si>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</si>
  <si>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</si>
  <si>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</si>
  <si>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</si>
  <si>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</si>
  <si>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</si>
  <si>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</si>
  <si>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</si>
  <si>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</si>
  <si>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</si>
  <si>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</si>
  <si>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</si>
  <si>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</si>
  <si>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</si>
  <si>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</si>
  <si>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</si>
  <si>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</si>
  <si>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</si>
  <si>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</si>
  <si>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</si>
  <si>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</si>
  <si>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</si>
  <si>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</si>
  <si>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</si>
  <si>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</si>
  <si>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</si>
  <si>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</si>
  <si>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</si>
  <si>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</si>
  <si>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</si>
  <si>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</si>
  <si>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</si>
  <si>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</si>
  <si>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</si>
  <si>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</si>
  <si>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</si>
  <si>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</si>
  <si>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</si>
  <si>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</si>
  <si>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</si>
  <si>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</si>
  <si>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</si>
  <si>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</si>
  <si>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</si>
  <si>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</si>
  <si>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</si>
  <si>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</si>
  <si>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</si>
  <si>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</si>
  <si>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</si>
  <si>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</si>
  <si>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</si>
  <si>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</si>
  <si>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</si>
  <si>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</si>
  <si>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</si>
  <si>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</si>
  <si>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</si>
  <si>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</si>
  <si>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</si>
  <si>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</si>
  <si>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</si>
  <si>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</si>
  <si>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</si>
  <si>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</si>
  <si>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</si>
  <si>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</si>
  <si>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</si>
  <si>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</si>
  <si>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</si>
  <si>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</si>
  <si>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</si>
  <si>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</si>
  <si>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</si>
  <si>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</si>
  <si>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</si>
  <si>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</si>
  <si>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</si>
  <si>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</si>
  <si>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</si>
  <si>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</si>
  <si>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</si>
  <si>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</si>
  <si>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</si>
  <si>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</si>
  <si>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</si>
  <si>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</si>
  <si>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</si>
  <si>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</si>
  <si>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</si>
  <si>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</si>
  <si>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</si>
  <si>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</si>
  <si>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</si>
  <si>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</si>
  <si>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</si>
  <si>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</si>
  <si>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</si>
  <si>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</si>
  <si>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</si>
  <si>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</si>
  <si>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</si>
  <si>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</si>
  <si>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</si>
  <si>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</si>
  <si>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</si>
  <si>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</si>
  <si>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</si>
  <si>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</si>
  <si>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</si>
  <si>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</si>
  <si>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</si>
  <si>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</si>
  <si>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</si>
  <si>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</si>
  <si>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</si>
  <si>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</si>
  <si>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</si>
  <si>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</si>
  <si>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</si>
  <si>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</si>
  <si>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</si>
  <si>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</si>
  <si>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</si>
  <si>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</si>
  <si>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</si>
  <si>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</si>
  <si>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</si>
  <si>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</si>
  <si>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</si>
  <si>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</si>
  <si>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</si>
  <si>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</si>
  <si>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</si>
  <si>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</si>
  <si>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</si>
  <si>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</si>
  <si>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</si>
  <si>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</si>
  <si>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</si>
  <si>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</si>
  <si>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</si>
  <si>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</si>
  <si>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</si>
  <si>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</si>
  <si>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</si>
  <si>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</si>
  <si>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</si>
  <si>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</si>
  <si>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</si>
  <si>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</si>
  <si>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</si>
  <si>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</si>
  <si>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</si>
  <si>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</si>
  <si>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</si>
  <si>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</si>
  <si>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</si>
  <si>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</si>
  <si>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</si>
  <si>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</si>
  <si>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</si>
  <si>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</si>
  <si>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</si>
  <si>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</si>
  <si>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</si>
  <si>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</si>
  <si>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</si>
  <si>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</si>
  <si>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</si>
  <si>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</si>
  <si>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</si>
  <si>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</si>
  <si>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</si>
  <si>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</si>
  <si>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</si>
  <si>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</si>
  <si>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</si>
  <si>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</si>
  <si>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</si>
  <si>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</si>
  <si>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</si>
  <si>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</si>
  <si>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</si>
  <si>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</si>
  <si>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</si>
  <si>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</si>
  <si>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</si>
  <si>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</si>
  <si>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</si>
  <si>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</si>
  <si>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</si>
  <si>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</si>
  <si>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</si>
  <si>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</si>
  <si>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</si>
  <si>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</si>
  <si>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</si>
  <si>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</si>
  <si>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</si>
  <si>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</si>
  <si>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</si>
  <si>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</si>
  <si>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</si>
  <si>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</si>
  <si>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</si>
  <si>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</si>
  <si>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</si>
  <si>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</si>
  <si>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</si>
  <si>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</si>
  <si>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</si>
  <si>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</si>
  <si>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</si>
  <si>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</si>
  <si>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</si>
  <si>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</si>
  <si>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</si>
  <si>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</si>
  <si>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</si>
  <si>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</si>
  <si>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</si>
  <si>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</si>
  <si>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</si>
  <si>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</si>
  <si>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</si>
  <si>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</si>
  <si>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</si>
  <si>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</si>
  <si>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</si>
  <si>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</si>
  <si>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</si>
  <si>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</si>
  <si>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</si>
  <si>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</si>
  <si>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</si>
  <si>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</si>
  <si>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</si>
  <si>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</si>
  <si>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</si>
  <si>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</si>
  <si>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</si>
  <si>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</si>
  <si>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</si>
  <si>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</si>
  <si>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</si>
  <si>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</si>
  <si>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</si>
  <si>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</si>
  <si>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</si>
  <si>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</si>
  <si>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</si>
  <si>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</si>
  <si>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</si>
  <si>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</si>
  <si>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</si>
  <si>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</si>
  <si>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</si>
  <si>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</si>
  <si>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</si>
  <si>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</si>
  <si>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</si>
  <si>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</si>
  <si>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</si>
  <si>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</si>
  <si>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</si>
  <si>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</si>
  <si>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</si>
  <si>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</si>
  <si>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</si>
  <si>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</si>
  <si>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</si>
  <si>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</si>
  <si>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</si>
  <si>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</si>
  <si>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</si>
  <si>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</si>
  <si>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</si>
  <si>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</si>
  <si>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</si>
  <si>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</si>
  <si>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</si>
  <si>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</si>
  <si>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</si>
  <si>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</si>
  <si>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</si>
  <si>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</si>
  <si>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</si>
  <si>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</si>
  <si>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</si>
  <si>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</si>
  <si>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</si>
  <si>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</si>
  <si>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</si>
  <si>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</si>
  <si>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</si>
  <si>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</si>
  <si>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</si>
  <si>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</si>
  <si>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</si>
  <si>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</si>
  <si>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</si>
  <si>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</si>
  <si>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</si>
  <si>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</si>
  <si>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</si>
  <si>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</si>
  <si>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</si>
  <si>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</si>
  <si>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</si>
  <si>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</si>
  <si>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</si>
  <si>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</si>
  <si>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</si>
  <si>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</si>
  <si>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</si>
  <si>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</si>
  <si>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</si>
  <si>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</si>
  <si>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</si>
  <si>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</si>
  <si>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</si>
  <si>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</si>
  <si>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</si>
  <si>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</si>
  <si>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</si>
  <si>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</si>
  <si>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</si>
  <si>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</si>
  <si>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</si>
  <si>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</si>
  <si>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</si>
  <si>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</si>
  <si>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</si>
  <si>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</si>
  <si>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</si>
  <si>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</si>
  <si>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</si>
  <si>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</si>
  <si>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</si>
  <si>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</si>
  <si>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</si>
  <si>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</si>
  <si>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</si>
  <si>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</si>
  <si>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</si>
  <si>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</si>
  <si>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</si>
  <si>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</si>
  <si>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</si>
  <si>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</si>
  <si>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</si>
  <si>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</si>
  <si>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</si>
  <si>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</si>
  <si>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</si>
  <si>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</si>
  <si>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</si>
  <si>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</si>
  <si>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</si>
  <si>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</si>
  <si>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</si>
  <si>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</si>
  <si>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</si>
  <si>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</si>
  <si>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</si>
  <si>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</si>
  <si>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</si>
  <si>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</si>
  <si>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</si>
  <si>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</si>
  <si>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</si>
  <si>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</si>
  <si>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</si>
  <si>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</si>
  <si>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</si>
  <si>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</si>
  <si>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</si>
  <si>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</si>
  <si>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</si>
  <si>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</si>
  <si>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</si>
  <si>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</si>
  <si>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</si>
  <si>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</si>
  <si>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</si>
  <si>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</si>
  <si>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</si>
  <si>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</si>
  <si>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</si>
  <si>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</si>
  <si>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</si>
  <si>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</si>
  <si>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</si>
  <si>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</si>
  <si>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</si>
  <si>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</si>
  <si>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</si>
  <si>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</si>
  <si>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</si>
  <si>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</si>
  <si>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</si>
  <si>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</si>
  <si>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</si>
  <si>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</si>
  <si>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</si>
  <si>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</si>
  <si>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</si>
  <si>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</si>
  <si>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</si>
  <si>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</si>
  <si>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</si>
  <si>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</si>
  <si>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</si>
  <si>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</si>
  <si>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</si>
  <si>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</si>
  <si>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</si>
  <si>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</si>
  <si>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</si>
  <si>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</si>
  <si>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</si>
  <si>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</si>
  <si>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</si>
  <si>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</si>
  <si>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</si>
  <si>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</si>
  <si>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</si>
  <si>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</si>
  <si>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</si>
  <si>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</si>
  <si>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</si>
  <si>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</si>
  <si>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</si>
  <si>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</si>
  <si>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</si>
  <si>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</si>
  <si>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</si>
  <si>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</si>
  <si>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</si>
  <si>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</si>
  <si>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</si>
  <si>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</si>
  <si>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</si>
  <si>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</si>
  <si>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</si>
  <si>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</si>
  <si>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</si>
  <si>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</si>
  <si>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</si>
  <si>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</si>
  <si>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</si>
  <si>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</si>
  <si>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</si>
  <si>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</si>
  <si>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</si>
  <si>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</si>
  <si>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</si>
  <si>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</si>
  <si>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</si>
  <si>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</si>
  <si>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</si>
  <si>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</si>
  <si>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</si>
  <si>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</si>
  <si>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</si>
  <si>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</si>
  <si>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</si>
  <si>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</si>
  <si>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</si>
  <si>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</si>
  <si>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</si>
  <si>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</si>
  <si>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</si>
  <si>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</si>
  <si>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</si>
  <si>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</si>
  <si>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</si>
  <si>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</si>
  <si>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</si>
  <si>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</si>
  <si>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</si>
  <si>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</si>
  <si>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</si>
  <si>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</si>
  <si>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</si>
  <si>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</si>
  <si>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</si>
  <si>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</si>
  <si>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</si>
  <si>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</si>
  <si>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</si>
  <si>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</si>
  <si>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</si>
  <si>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</si>
  <si>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</si>
  <si>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</si>
  <si>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</si>
  <si>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</si>
  <si>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</si>
  <si>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</si>
  <si>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</si>
  <si>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</si>
  <si>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</si>
  <si>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</si>
  <si>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</si>
  <si>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</si>
  <si>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</si>
  <si>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</si>
  <si>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</si>
  <si>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</si>
  <si>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</si>
  <si>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</si>
  <si>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</si>
  <si>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</si>
  <si>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</si>
  <si>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</si>
  <si>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</si>
  <si>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</si>
  <si>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</si>
  <si>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</si>
  <si>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</si>
  <si>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</si>
  <si>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</si>
  <si>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</si>
  <si>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</si>
  <si>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</si>
  <si>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</si>
  <si>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</si>
  <si>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</si>
  <si>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</si>
  <si>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</si>
  <si>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</si>
  <si>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</si>
  <si>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</si>
  <si>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</si>
  <si>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</si>
  <si>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</si>
  <si>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</si>
  <si>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</si>
  <si>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</si>
  <si>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</si>
  <si>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</si>
  <si>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</si>
  <si>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</si>
  <si>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</si>
  <si>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</si>
  <si>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</si>
  <si>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</si>
  <si>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</si>
  <si>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</si>
  <si>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</si>
  <si>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</si>
  <si>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</si>
  <si>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</si>
  <si>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</si>
  <si>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</si>
  <si>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</si>
  <si>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</si>
  <si>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</si>
  <si>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</si>
  <si>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</si>
  <si>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</si>
  <si>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</si>
  <si>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</si>
  <si>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</si>
  <si>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</si>
  <si>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</si>
  <si>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</si>
  <si>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</si>
  <si>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</si>
  <si>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</si>
  <si>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</si>
  <si>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</si>
  <si>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</si>
  <si>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</si>
  <si>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</si>
  <si>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</si>
  <si>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</si>
  <si>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</si>
  <si>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</si>
  <si>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</si>
  <si>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</si>
  <si>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</si>
  <si>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</si>
  <si>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</si>
  <si>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</si>
  <si>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</si>
  <si>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</si>
  <si>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</si>
  <si>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</si>
  <si>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</si>
  <si>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</si>
  <si>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</si>
  <si>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</si>
  <si>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</si>
  <si>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</si>
  <si>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</si>
  <si>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</si>
  <si>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</si>
  <si>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</si>
  <si>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</si>
  <si>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</si>
  <si>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</si>
  <si>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</si>
  <si>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</si>
  <si>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</si>
  <si>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</si>
  <si>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</si>
  <si>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</si>
  <si>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</si>
  <si>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</si>
  <si>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</si>
  <si>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</si>
  <si>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</si>
  <si>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</si>
  <si>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</si>
  <si>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</si>
  <si>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</si>
  <si>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</si>
  <si>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</si>
  <si>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</si>
  <si>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</si>
  <si>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</si>
  <si>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</si>
  <si>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</si>
  <si>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</si>
  <si>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</si>
  <si>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</si>
  <si>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</si>
  <si>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</si>
  <si>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</si>
  <si>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</si>
  <si>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</si>
  <si>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</si>
  <si>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</si>
  <si>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</si>
  <si>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</si>
  <si>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</si>
  <si>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</si>
  <si>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</si>
  <si>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</si>
  <si>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</si>
  <si>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</si>
  <si>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</si>
  <si>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</si>
  <si>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</si>
  <si>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</si>
  <si>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</si>
  <si>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</si>
  <si>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</si>
  <si>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</si>
  <si>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</si>
  <si>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</si>
  <si>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</si>
  <si>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</si>
  <si>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</si>
  <si>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</si>
  <si>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</si>
  <si>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</si>
  <si>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</si>
  <si>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</si>
  <si>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</si>
  <si>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</si>
  <si>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</si>
  <si>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</si>
  <si>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</si>
  <si>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</si>
  <si>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</si>
  <si>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</si>
  <si>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</si>
  <si>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</si>
  <si>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</si>
  <si>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</si>
  <si>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</si>
  <si>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</si>
  <si>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</si>
  <si>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</si>
  <si>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</si>
  <si>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</si>
  <si>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</si>
  <si>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</si>
  <si>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</si>
  <si>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</si>
  <si>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</si>
  <si>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</si>
  <si>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</si>
  <si>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</si>
  <si>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</si>
  <si>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</si>
  <si>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</si>
  <si>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</si>
  <si>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</si>
  <si>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</si>
  <si>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</si>
  <si>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</si>
  <si>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</si>
  <si>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</si>
  <si>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</si>
  <si>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</si>
  <si>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</si>
  <si>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</si>
  <si>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</si>
  <si>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</si>
  <si>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</si>
  <si>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</si>
  <si>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</si>
  <si>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</si>
  <si>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</si>
  <si>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</si>
  <si>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</si>
  <si>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</si>
  <si>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</si>
  <si>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</si>
  <si>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</si>
  <si>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</si>
  <si>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</si>
  <si>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</si>
  <si>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</si>
  <si>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</si>
  <si>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</si>
  <si>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</si>
  <si>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</si>
  <si>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</si>
  <si>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</si>
  <si>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</si>
  <si>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</si>
  <si>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</si>
  <si>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</si>
  <si>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</si>
  <si>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</si>
  <si>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</si>
  <si>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</si>
  <si>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</si>
  <si>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</si>
  <si>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</si>
  <si>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</si>
  <si>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</si>
  <si>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</si>
  <si>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</si>
  <si>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</si>
  <si>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</si>
  <si>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</si>
  <si>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</si>
  <si>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</si>
  <si>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</si>
  <si>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</si>
  <si>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</si>
  <si>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</si>
  <si>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</si>
  <si>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</si>
  <si>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</si>
  <si>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</si>
  <si>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</si>
  <si>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</si>
  <si>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</si>
  <si>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</si>
  <si>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</si>
  <si>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</si>
  <si>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</si>
  <si>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</si>
  <si>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</si>
  <si>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</si>
  <si>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</si>
  <si>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</si>
  <si>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</si>
  <si>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</si>
  <si>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</si>
  <si>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</si>
  <si>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</si>
  <si>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</si>
  <si>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</si>
  <si>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</si>
  <si>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</si>
  <si>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</si>
  <si>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</si>
  <si>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</si>
  <si>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</si>
  <si>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</si>
  <si>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</si>
  <si>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</si>
  <si>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</si>
  <si>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</si>
  <si>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</si>
  <si>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</si>
  <si>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</si>
  <si>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</si>
  <si>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</si>
  <si>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</si>
  <si>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</si>
  <si>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</si>
  <si>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</si>
  <si>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</si>
  <si>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</si>
  <si>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</si>
  <si>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</si>
  <si>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</si>
  <si>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</si>
  <si>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</si>
  <si>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</si>
  <si>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</si>
  <si>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</si>
  <si>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</si>
  <si>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</si>
  <si>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</si>
  <si>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</si>
  <si>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</si>
  <si>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</si>
  <si>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</si>
  <si>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</si>
  <si>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</si>
  <si>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</si>
  <si>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</si>
  <si>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</si>
  <si>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</si>
  <si>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</si>
  <si>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</si>
  <si>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</si>
  <si>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</si>
  <si>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</si>
  <si>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</si>
  <si>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</si>
  <si>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</si>
  <si>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</si>
  <si>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</si>
  <si>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</si>
  <si>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</si>
  <si>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</si>
  <si>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</si>
  <si>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</si>
  <si>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</si>
  <si>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</si>
  <si>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</si>
  <si>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</si>
  <si>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</si>
  <si>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</si>
  <si>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</si>
  <si>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</si>
  <si>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</si>
  <si>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</si>
  <si>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</si>
  <si>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</si>
  <si>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</si>
  <si>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</si>
  <si>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</si>
  <si>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</si>
  <si>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</si>
  <si>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</si>
  <si>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</si>
  <si>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</si>
  <si>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</si>
  <si>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</si>
  <si>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</si>
  <si>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</si>
  <si>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</si>
  <si>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</si>
  <si>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</si>
  <si>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</si>
  <si>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</si>
  <si>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</si>
  <si>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</si>
  <si>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</si>
  <si>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</si>
  <si>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</si>
  <si>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</si>
  <si>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</si>
  <si>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</si>
  <si>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</si>
  <si>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</si>
  <si>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</si>
  <si>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</si>
  <si>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</si>
  <si>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</si>
  <si>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</si>
  <si>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</si>
  <si>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</si>
  <si>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</si>
  <si>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</si>
  <si>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</si>
  <si>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</si>
  <si>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</si>
  <si>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</si>
  <si>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</si>
  <si>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</si>
  <si>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</si>
  <si>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</si>
  <si>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</si>
  <si>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</si>
  <si>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</si>
  <si>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</si>
  <si>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</si>
  <si>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</si>
  <si>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</si>
  <si>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</si>
  <si>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</si>
  <si>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</si>
  <si>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</si>
  <si>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</si>
  <si>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</si>
  <si>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</si>
  <si>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</si>
  <si>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</si>
  <si>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</si>
  <si>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</si>
  <si>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</si>
  <si>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</si>
  <si>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</si>
  <si>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</si>
  <si>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</si>
  <si>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</si>
  <si>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</si>
  <si>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</si>
  <si>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</si>
  <si>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</si>
  <si>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</si>
  <si>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</si>
  <si>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</si>
  <si>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</si>
  <si>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</si>
  <si>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</si>
  <si>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</si>
  <si>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</si>
  <si>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</si>
  <si>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</si>
  <si>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</si>
  <si>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</si>
  <si>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</si>
  <si>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</si>
  <si>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</si>
  <si>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</si>
  <si>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</si>
  <si>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</si>
  <si>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</si>
  <si>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</si>
  <si>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</si>
  <si>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</si>
  <si>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</si>
  <si>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</si>
  <si>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</si>
  <si>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</si>
  <si>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</si>
  <si>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</si>
  <si>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</si>
  <si>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</si>
  <si>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</si>
  <si>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</si>
  <si>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</si>
  <si>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</si>
  <si>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</si>
  <si>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</si>
  <si>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</si>
  <si>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</si>
  <si>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</si>
  <si>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</si>
  <si>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</si>
  <si>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</si>
  <si>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</si>
  <si>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</si>
  <si>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</si>
  <si>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</si>
  <si>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</si>
  <si>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</si>
  <si>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</si>
  <si>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</si>
  <si>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</si>
  <si>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</si>
  <si>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</si>
  <si>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</si>
  <si>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</si>
  <si>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</si>
  <si>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</si>
  <si>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</si>
  <si>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</si>
  <si>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</si>
  <si>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</si>
  <si>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</si>
  <si>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</si>
  <si>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</si>
  <si>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</si>
  <si>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</si>
  <si>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</si>
  <si>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</si>
  <si>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</si>
  <si>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</si>
  <si>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</si>
  <si>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</si>
  <si>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</si>
  <si>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</si>
  <si>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</si>
  <si>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</si>
  <si>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</si>
  <si>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</si>
  <si>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</si>
  <si>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</si>
  <si>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</si>
  <si>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</si>
  <si>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</si>
  <si>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</si>
  <si>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</si>
  <si>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</si>
  <si>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</si>
  <si>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LI</t>
  </si>
  <si>
    <t>Q_1_1</t>
  </si>
  <si>
    <t>S01_InstitutionDetails</t>
  </si>
  <si>
    <t>NameAndDepartment</t>
  </si>
  <si>
    <t>text</t>
  </si>
  <si>
    <t>Amt für Umwelt, Internationales und Klima</t>
  </si>
  <si>
    <t/>
  </si>
  <si>
    <t>ContactPersonName</t>
  </si>
  <si>
    <t>Karin Jehle</t>
  </si>
  <si>
    <t>ContactPersonJobTitle</t>
  </si>
  <si>
    <t>Internationales und Klima</t>
  </si>
  <si>
    <t>Address</t>
  </si>
  <si>
    <t>Gerberweg 5, 9490 Vaduz</t>
  </si>
  <si>
    <t>InternationalTelephoneNumber</t>
  </si>
  <si>
    <t>4232366196</t>
  </si>
  <si>
    <t>EMail</t>
  </si>
  <si>
    <t>karin.jehle@llv.li</t>
  </si>
  <si>
    <t>ReportingYear</t>
  </si>
  <si>
    <t>integer</t>
  </si>
  <si>
    <t>Q_2_1</t>
  </si>
  <si>
    <t>S02_CompetentAuthority</t>
  </si>
  <si>
    <t>CAName</t>
  </si>
  <si>
    <t>Amt für Umwelt</t>
  </si>
  <si>
    <t>CAAbbreviation</t>
  </si>
  <si>
    <t>AU</t>
  </si>
  <si>
    <t>CAType</t>
  </si>
  <si>
    <t>CANumber</t>
  </si>
  <si>
    <t>1</t>
  </si>
  <si>
    <t>CATelephone</t>
  </si>
  <si>
    <t>CAEmail</t>
  </si>
  <si>
    <t>CAWebsite</t>
  </si>
  <si>
    <t>au.llv.li</t>
  </si>
  <si>
    <t>S02_AccreditationBody</t>
  </si>
  <si>
    <t>AccBodyName</t>
  </si>
  <si>
    <t>Amt für Umwelt, Tätigeiten ausgelagert an UBA Österreich</t>
  </si>
  <si>
    <t>AccBodyAbbreviation</t>
  </si>
  <si>
    <t>AccBodyTelephone</t>
  </si>
  <si>
    <t>AccBodyEmail</t>
  </si>
  <si>
    <t>CertificationBodySetUp</t>
  </si>
  <si>
    <t>yesno</t>
  </si>
  <si>
    <t>S02_RegistryAdministrator</t>
  </si>
  <si>
    <t>RegAdminName</t>
  </si>
  <si>
    <t>Amt für Umwelt, Karin Jehle</t>
  </si>
  <si>
    <t>RegAdminAbbreviation</t>
  </si>
  <si>
    <t>RegAdminTelephone</t>
  </si>
  <si>
    <t>RegAdminEmail</t>
  </si>
  <si>
    <t>RegAdminWebsite</t>
  </si>
  <si>
    <t>http:llv.li</t>
  </si>
  <si>
    <t>Q_2_2</t>
  </si>
  <si>
    <t>S02_CompetentAuthorityRoles</t>
  </si>
  <si>
    <t>CAForInstallationTask</t>
  </si>
  <si>
    <t>Q_2_3</t>
  </si>
  <si>
    <t>S02_CompetentAuthorityCoordination</t>
  </si>
  <si>
    <t>CACoordinationYesNo</t>
  </si>
  <si>
    <t>Q_2_4</t>
  </si>
  <si>
    <t>S02_InformationExchangeAccBodyAndCA</t>
  </si>
  <si>
    <t>InfoExchangeYesNo</t>
  </si>
  <si>
    <t>Q_3_1</t>
  </si>
  <si>
    <t>S03_EmittingInstallations</t>
  </si>
  <si>
    <t>NumberOfInstallations</t>
  </si>
  <si>
    <t>S03_ActivityPermits</t>
  </si>
  <si>
    <t>ActivityPermitsIssued</t>
  </si>
  <si>
    <t>Q_3_2</t>
  </si>
  <si>
    <t>InstallationsExcludedArt27</t>
  </si>
  <si>
    <t>S03_InstallationsExcludedClosed</t>
  </si>
  <si>
    <t>ClosedArt27</t>
  </si>
  <si>
    <t>ClosedArt27a</t>
  </si>
  <si>
    <t>Q_3_3</t>
  </si>
  <si>
    <t>S03_AircraftAnnex1Activities</t>
  </si>
  <si>
    <t>NumberCommercialOperators</t>
  </si>
  <si>
    <t>Q_4_1</t>
  </si>
  <si>
    <t>S04_IEDProcedureRequirementsIntegratedYes</t>
  </si>
  <si>
    <t>IntegrationYesNo</t>
  </si>
  <si>
    <t>Q_4_2</t>
  </si>
  <si>
    <t>S04_NationalLawPermitUpdate</t>
  </si>
  <si>
    <t>PermitUpdateNationalLawDetail</t>
  </si>
  <si>
    <t>EHG Art. 7 mit anderen Gesetzen (Allg. Verwaltungsrecht)</t>
  </si>
  <si>
    <t>Nein, EHG Art 7 (2)</t>
  </si>
  <si>
    <t>EHG Art 8 (2)</t>
  </si>
  <si>
    <t>EHG Art. 8 (2)</t>
  </si>
  <si>
    <t>Bei grundlegenden Änderungen</t>
  </si>
  <si>
    <t>PermitUpdateTotalNumber</t>
  </si>
  <si>
    <t>Q_5_1</t>
  </si>
  <si>
    <t>AdditionalNationalLegislation</t>
  </si>
  <si>
    <t>AdditionalNationalGuidance</t>
  </si>
  <si>
    <t>Q_5_2</t>
  </si>
  <si>
    <t>MeasuresStreamline</t>
  </si>
  <si>
    <t>MeasuresStreamlineYesNo</t>
  </si>
  <si>
    <t>Q_5_3</t>
  </si>
  <si>
    <t>CommissionTemplatesMRR</t>
  </si>
  <si>
    <t>S05_MSCustomisedTemplatesMRR1</t>
  </si>
  <si>
    <t>SpecificTemplateOrFileFormat</t>
  </si>
  <si>
    <t>Q_5_4</t>
  </si>
  <si>
    <t>AutomatedSystemInformationExchange</t>
  </si>
  <si>
    <t>ComplyRequirementsArt75</t>
  </si>
  <si>
    <t>Q_5_5</t>
  </si>
  <si>
    <t>S05_InstallationFuelConsEmissions</t>
  </si>
  <si>
    <t>FuelConsumption</t>
  </si>
  <si>
    <t>decimal</t>
  </si>
  <si>
    <t>Q_5_8</t>
  </si>
  <si>
    <t>S05_InstallationDifferentSamplingFrequency</t>
  </si>
  <si>
    <t>CountInstallationsDiffFrequency</t>
  </si>
  <si>
    <t>SamplingPlanDocumented</t>
  </si>
  <si>
    <t>Q_5_11</t>
  </si>
  <si>
    <t>FallBackApproachApplied</t>
  </si>
  <si>
    <t>Q_5_13</t>
  </si>
  <si>
    <t>InherentCarbonTransferred</t>
  </si>
  <si>
    <t>Q_5_14</t>
  </si>
  <si>
    <t>ContinuousEmissionsMeasurement</t>
  </si>
  <si>
    <t>Q_5_16</t>
  </si>
  <si>
    <t>WasteFuelFossilCO2</t>
  </si>
  <si>
    <t>Q_5_17</t>
  </si>
  <si>
    <t>SimplifiedMonitoringArt13</t>
  </si>
  <si>
    <t>S05_SimplifiedMonitoringArt13Detail</t>
  </si>
  <si>
    <t>Art13RiskAssessmentType</t>
  </si>
  <si>
    <t>Art13RiskAssessmentPrinciples</t>
  </si>
  <si>
    <t>Liechtenstein used simplified monitoring when it still had installations recorded.</t>
  </si>
  <si>
    <t>Q_5_18</t>
  </si>
  <si>
    <t>S05_AircraftMethodFuelConsumption</t>
  </si>
  <si>
    <t>CountAircraftOperators</t>
  </si>
  <si>
    <t>Q_5_19</t>
  </si>
  <si>
    <t>S05_TotalFlightEmissions</t>
  </si>
  <si>
    <t>TotalFlightEmissions</t>
  </si>
  <si>
    <t>CountOperatorsThirdCountries</t>
  </si>
  <si>
    <t>Q_5_20</t>
  </si>
  <si>
    <t>CountOperatorsUsingBiofuels</t>
  </si>
  <si>
    <t>Q_5_21</t>
  </si>
  <si>
    <t>S05_SmallEmittersTool</t>
  </si>
  <si>
    <t>CountSmallEmitters</t>
  </si>
  <si>
    <t>Q_5_22</t>
  </si>
  <si>
    <t>AircraftImprovementReportRequired</t>
  </si>
  <si>
    <t>AircraftImprovementReportSubmitted</t>
  </si>
  <si>
    <t>Q_5_23</t>
  </si>
  <si>
    <t>AircraftSimplifiedMonitoringArt13</t>
  </si>
  <si>
    <t>S05_AircraftSimplifiedMonitoringArt13Detail</t>
  </si>
  <si>
    <t>AircraftRiskAssessmentType</t>
  </si>
  <si>
    <t>AircraftGeneralRiskAssessmentPrinciples</t>
  </si>
  <si>
    <t>When Liechtenstein still had installations, simplified measures were used.</t>
  </si>
  <si>
    <t>Q_6_1</t>
  </si>
  <si>
    <t>S06_TotalVerifiers</t>
  </si>
  <si>
    <t>CountVerifiersInstallations</t>
  </si>
  <si>
    <t>Q_6_2</t>
  </si>
  <si>
    <t>S06_ApplicationInformationExchangeRequirements1</t>
  </si>
  <si>
    <t>FromOwnMS</t>
  </si>
  <si>
    <t>S06_ApplicationInformationExchangeRequirements2</t>
  </si>
  <si>
    <t>NumberImposedOnVerifiersSuspension</t>
  </si>
  <si>
    <t>S06_ApplicationInformationExchangeRequirements3</t>
  </si>
  <si>
    <t>TimesSurveillanceRequested</t>
  </si>
  <si>
    <t>S06_ApplicationInformationExchangeRequirements4</t>
  </si>
  <si>
    <t>NumberOfIssues</t>
  </si>
  <si>
    <t>Q_6_3</t>
  </si>
  <si>
    <t>S06_NegativeOpinionInstallations</t>
  </si>
  <si>
    <t>CountNegativeOpinions</t>
  </si>
  <si>
    <t>Q_6_4</t>
  </si>
  <si>
    <t>InstallationsVerificationReportIssues</t>
  </si>
  <si>
    <t>Q_6_5</t>
  </si>
  <si>
    <t>InstallationsVerificationReportChecks</t>
  </si>
  <si>
    <t>Q_6_6</t>
  </si>
  <si>
    <t>InstallationsVisitsWaivedLowEmitters</t>
  </si>
  <si>
    <t>Q_6_7</t>
  </si>
  <si>
    <t>VirtualVisitsInstallations</t>
  </si>
  <si>
    <t>Q_6_8</t>
  </si>
  <si>
    <t>S06_NegativeOpinionAircraft</t>
  </si>
  <si>
    <t>Q_6_9</t>
  </si>
  <si>
    <t>AircraftOperatorsVerificationReportIssues</t>
  </si>
  <si>
    <t>Q_6_10</t>
  </si>
  <si>
    <t>AircraftOperatorsVerificationReportChecks</t>
  </si>
  <si>
    <t>Q_7_3</t>
  </si>
  <si>
    <t>AircraftOperatorsMandateArt15UseNumber</t>
  </si>
  <si>
    <t>Q_8_1</t>
  </si>
  <si>
    <t>CommissionTemplatesAllocation</t>
  </si>
  <si>
    <t>Q_8_2</t>
  </si>
  <si>
    <t>FeesAllocation</t>
  </si>
  <si>
    <t>Q_8_3</t>
  </si>
  <si>
    <t>ITforAllocationData</t>
  </si>
  <si>
    <t>Q_8_4</t>
  </si>
  <si>
    <t>S08_RenunciationSuspensionAllowances</t>
  </si>
  <si>
    <t>Q_8_5</t>
  </si>
  <si>
    <t>SubInstallationBenchmark61</t>
  </si>
  <si>
    <t>SubInstallationBenchmark62</t>
  </si>
  <si>
    <t>Q_8_6</t>
  </si>
  <si>
    <t>S08_ScopeExclusion</t>
  </si>
  <si>
    <t>Q_8_7</t>
  </si>
  <si>
    <t>Article10cApplied</t>
  </si>
  <si>
    <t>S08_Article10cAppliedDetail</t>
  </si>
  <si>
    <t>NumberOfAllowances</t>
  </si>
  <si>
    <t>Q_8_8</t>
  </si>
  <si>
    <t>S08_NegativeOpinionBaselineData</t>
  </si>
  <si>
    <t>Q_8_9</t>
  </si>
  <si>
    <t>BaselineDataIssues</t>
  </si>
  <si>
    <t>Q_8_10</t>
  </si>
  <si>
    <t>AdditionalParametersRequired</t>
  </si>
  <si>
    <t>Q_8_11</t>
  </si>
  <si>
    <t>PreliminaryActivityRequired</t>
  </si>
  <si>
    <t>Q_8_12</t>
  </si>
  <si>
    <t>S08_NegativeOpinionActivityData</t>
  </si>
  <si>
    <t>ActivityDataIssues</t>
  </si>
  <si>
    <t>Q_8_14</t>
  </si>
  <si>
    <t>ActivityReportRejected</t>
  </si>
  <si>
    <t>Q_8_15</t>
  </si>
  <si>
    <t>ActivityLevelVisitsWaived</t>
  </si>
  <si>
    <t>Q_8_16</t>
  </si>
  <si>
    <t>VirtualVisitsActivityLevel</t>
  </si>
  <si>
    <t>Q_8_18</t>
  </si>
  <si>
    <t>PriorPenaltiesEnforced</t>
  </si>
  <si>
    <t>Q_9_1</t>
  </si>
  <si>
    <t>InstallationOperatorFees</t>
  </si>
  <si>
    <t>Q_9_2</t>
  </si>
  <si>
    <t>AircraftOperatorFees</t>
  </si>
  <si>
    <t>Q_10_1</t>
  </si>
  <si>
    <t>S10_InstallationsComplianceMeasures</t>
  </si>
  <si>
    <t>ComplianceMeasuresYesNo</t>
  </si>
  <si>
    <t>ComplianceMeasuresComment</t>
  </si>
  <si>
    <t>memo</t>
  </si>
  <si>
    <t>Q_10_2</t>
  </si>
  <si>
    <t>S10_InstallationsInfringementPenalties</t>
  </si>
  <si>
    <t>MinFine</t>
  </si>
  <si>
    <t>MaxFine</t>
  </si>
  <si>
    <t>OtherPenalty</t>
  </si>
  <si>
    <t>Gemäss EHG, LGBL 346, 15.11.2012</t>
  </si>
  <si>
    <t>InstallationsNationalLaw</t>
  </si>
  <si>
    <t xml:space="preserve">	 EHG, LGBL 346, 15.11.2012</t>
  </si>
  <si>
    <t>Q_10_3</t>
  </si>
  <si>
    <t>InstallationsPriorPenaltiesEnforced</t>
  </si>
  <si>
    <t>Q_11_1</t>
  </si>
  <si>
    <t>LegalNatureOfEmissionAllowance</t>
  </si>
  <si>
    <t>Nicht gesetzlich geregelt</t>
  </si>
  <si>
    <t>Q_11_3</t>
  </si>
  <si>
    <t>VATdueEmissionAllowancesIssuance</t>
  </si>
  <si>
    <t>Q_11_4</t>
  </si>
  <si>
    <t>EmissionAllowancesTaxed</t>
  </si>
  <si>
    <t>Q_12_1</t>
  </si>
  <si>
    <t>S12_FraudFreeAllocationOfAllowances</t>
  </si>
  <si>
    <t>DetailsOfProceduresInNationalLaw</t>
  </si>
  <si>
    <t>Gemmäss Strafgesetzbuch. AU informiert bei Verdacht auf betrügerische Aktiviäten.</t>
  </si>
  <si>
    <t>Gemäss Strafgesetzbuch</t>
  </si>
  <si>
    <t>Amt für Umwelt informiert bei Auffälligkeiten die Geldwäschereibehörde.</t>
  </si>
  <si>
    <t>Q_12_2</t>
  </si>
  <si>
    <t>S12_CompetentAuthoritiesAwareOfFraud</t>
  </si>
  <si>
    <t>DetailsOfArrangementsAndProcedures</t>
  </si>
  <si>
    <t>Yes, Liechtenstein collaborates closly by phone or e-mail between FIU and EU authority</t>
  </si>
  <si>
    <t>Q_12_3</t>
  </si>
  <si>
    <t>S12_InformationOnFraudActivities</t>
  </si>
  <si>
    <t>NumberOfActivities</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</si>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</sst>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250"/>
  <sheetViews>
    <sheetView topLeftCell="A225" workbookViewId="0">
      <selection activeCell="B250" sqref="B250"/>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1</v>
      </c>
      <c r="E10" t="s">
        <v>1447</v>
      </c>
      <c r="F10" t="s">
        <v>1816</v>
      </c>
      <c r="G10" t="s">
        <v>1797</v>
      </c>
      <c r="H10" t="s">
        <v>1817</v>
      </c>
      <c r="I10" t="s">
        <v>1799</v>
      </c>
      <c r="J10" t="s">
        <v>1799</v>
      </c>
      <c r="K10" t="s">
        <v>1799</v>
      </c>
      <c r="L10" t="s">
        <v>1799</v>
      </c>
      <c r="M10" t="s">
        <v>1799</v>
      </c>
      <c r="N10" t="s">
        <v>1799</v>
      </c>
      <c r="O10" s="184" t="str">
        <f>"["&amp;$C10&amp;"]["&amp;$D10&amp;"]["&amp;$F10&amp;"]"</f>
        <v>[S02_CompetentAuthority][1][CAAbbreviation]</v>
      </c>
    </row>
    <row r="11" spans="1:18" x14ac:dyDescent="0.3">
      <c r="A11" t="s">
        <v>1793</v>
      </c>
      <c r="B11" t="s">
        <v>1812</v>
      </c>
      <c r="C11" t="s">
        <v>1813</v>
      </c>
      <c r="D11">
        <v>1</v>
      </c>
      <c r="E11" t="s">
        <v>1447</v>
      </c>
      <c r="F11" t="s">
        <v>1818</v>
      </c>
      <c r="G11" t="s">
        <v>1797</v>
      </c>
      <c r="H11" t="s">
        <v>1422</v>
      </c>
      <c r="I11" t="s">
        <v>1799</v>
      </c>
      <c r="J11" t="s">
        <v>1799</v>
      </c>
      <c r="K11" t="s">
        <v>1799</v>
      </c>
      <c r="L11" t="s">
        <v>1799</v>
      </c>
      <c r="M11" t="s">
        <v>1799</v>
      </c>
      <c r="N11" t="s">
        <v>1799</v>
      </c>
      <c r="O11" s="184" t="str">
        <f>"["&amp;$C11&amp;"]["&amp;$D11&amp;"]["&amp;$F11&amp;"]"</f>
        <v>[S02_CompetentAuthority][1][CAType]</v>
      </c>
    </row>
    <row r="12" spans="1:18" x14ac:dyDescent="0.3">
      <c r="A12" t="s">
        <v>1793</v>
      </c>
      <c r="B12" t="s">
        <v>1812</v>
      </c>
      <c r="C12" t="s">
        <v>1813</v>
      </c>
      <c r="D12">
        <v>1</v>
      </c>
      <c r="E12" t="s">
        <v>1447</v>
      </c>
      <c r="F12" t="s">
        <v>1819</v>
      </c>
      <c r="G12" t="s">
        <v>1797</v>
      </c>
      <c r="H12" t="s">
        <v>1820</v>
      </c>
      <c r="I12" t="s">
        <v>1799</v>
      </c>
      <c r="J12" t="s">
        <v>1799</v>
      </c>
      <c r="K12" t="s">
        <v>1799</v>
      </c>
      <c r="L12" t="s">
        <v>1799</v>
      </c>
      <c r="M12" t="s">
        <v>1799</v>
      </c>
      <c r="N12" t="s">
        <v>1799</v>
      </c>
      <c r="O12" s="184" t="str">
        <f>"["&amp;$C12&amp;"]["&amp;$D12&amp;"]["&amp;$F12&amp;"]"</f>
        <v>[S02_CompetentAuthority][1][CANumber]</v>
      </c>
    </row>
    <row r="13" spans="1:18" x14ac:dyDescent="0.3">
      <c r="A13" t="s">
        <v>1793</v>
      </c>
      <c r="B13" t="s">
        <v>1812</v>
      </c>
      <c r="C13" t="s">
        <v>1813</v>
      </c>
      <c r="D13">
        <v>1</v>
      </c>
      <c r="E13" t="s">
        <v>1447</v>
      </c>
      <c r="F13" t="s">
        <v>1821</v>
      </c>
      <c r="G13" t="s">
        <v>1797</v>
      </c>
      <c r="H13" t="s">
        <v>1807</v>
      </c>
      <c r="I13" t="s">
        <v>1799</v>
      </c>
      <c r="J13" t="s">
        <v>1799</v>
      </c>
      <c r="K13" t="s">
        <v>1799</v>
      </c>
      <c r="L13" t="s">
        <v>1799</v>
      </c>
      <c r="M13" t="s">
        <v>1799</v>
      </c>
      <c r="N13" t="s">
        <v>1799</v>
      </c>
      <c r="O13" s="184" t="str">
        <f>"["&amp;$C13&amp;"]["&amp;$D13&amp;"]["&amp;$F13&amp;"]"</f>
        <v>[S02_CompetentAuthority][1][CATelephone]</v>
      </c>
    </row>
    <row r="14" spans="1:18" x14ac:dyDescent="0.3">
      <c r="A14" t="s">
        <v>1793</v>
      </c>
      <c r="B14" t="s">
        <v>1812</v>
      </c>
      <c r="C14" t="s">
        <v>1813</v>
      </c>
      <c r="D14">
        <v>1</v>
      </c>
      <c r="E14" t="s">
        <v>1447</v>
      </c>
      <c r="F14" t="s">
        <v>1822</v>
      </c>
      <c r="G14" t="s">
        <v>1797</v>
      </c>
      <c r="H14" t="s">
        <v>1807</v>
      </c>
      <c r="I14" t="s">
        <v>1799</v>
      </c>
      <c r="J14" t="s">
        <v>1799</v>
      </c>
      <c r="K14" t="s">
        <v>1799</v>
      </c>
      <c r="L14" t="s">
        <v>1799</v>
      </c>
      <c r="M14" t="s">
        <v>1799</v>
      </c>
      <c r="N14" t="s">
        <v>1799</v>
      </c>
      <c r="O14" s="184" t="str">
        <f>"["&amp;$C14&amp;"]["&amp;$D14&amp;"]["&amp;$F14&amp;"]"</f>
        <v>[S02_CompetentAuthority][1][CAEmail]</v>
      </c>
    </row>
    <row r="15" spans="1:18" x14ac:dyDescent="0.3">
      <c r="A15" t="s">
        <v>1793</v>
      </c>
      <c r="B15" t="s">
        <v>1812</v>
      </c>
      <c r="C15" t="s">
        <v>1813</v>
      </c>
      <c r="D15">
        <v>1</v>
      </c>
      <c r="E15" t="s">
        <v>1447</v>
      </c>
      <c r="F15" t="s">
        <v>1823</v>
      </c>
      <c r="G15" t="s">
        <v>1797</v>
      </c>
      <c r="H15" t="s">
        <v>1824</v>
      </c>
      <c r="I15" t="s">
        <v>1799</v>
      </c>
      <c r="J15" t="s">
        <v>1799</v>
      </c>
      <c r="K15" t="s">
        <v>1799</v>
      </c>
      <c r="L15" t="s">
        <v>1799</v>
      </c>
      <c r="M15" t="s">
        <v>1799</v>
      </c>
      <c r="N15" t="s">
        <v>1799</v>
      </c>
      <c r="O15" s="184" t="str">
        <f>"["&amp;$C15&amp;"]["&amp;$D15&amp;"]["&amp;$F15&amp;"]"</f>
        <v>[S02_CompetentAuthority][1][CAWebsite]</v>
      </c>
    </row>
    <row r="16" spans="1:18" x14ac:dyDescent="0.3">
      <c r="A16" t="s">
        <v>1793</v>
      </c>
      <c r="B16" t="s">
        <v>1812</v>
      </c>
      <c r="C16" t="s">
        <v>1825</v>
      </c>
      <c r="D16">
        <v>1</v>
      </c>
      <c r="E16" t="s">
        <v>1447</v>
      </c>
      <c r="F16" t="s">
        <v>1826</v>
      </c>
      <c r="G16" t="s">
        <v>1797</v>
      </c>
      <c r="H16" t="s">
        <v>1827</v>
      </c>
      <c r="I16" t="s">
        <v>1799</v>
      </c>
      <c r="J16" t="s">
        <v>1799</v>
      </c>
      <c r="K16" t="s">
        <v>1799</v>
      </c>
      <c r="L16" t="s">
        <v>1799</v>
      </c>
      <c r="M16" t="s">
        <v>1799</v>
      </c>
      <c r="N16" t="s">
        <v>1799</v>
      </c>
      <c r="O16" s="184" t="str">
        <f>"["&amp;$C16&amp;"]["&amp;$D16&amp;"]["&amp;$F16&amp;"]"</f>
        <v>[S02_AccreditationBody][1][AccBodyName]</v>
      </c>
    </row>
    <row r="17" spans="1:15" x14ac:dyDescent="0.3">
      <c r="A17" t="s">
        <v>1793</v>
      </c>
      <c r="B17" t="s">
        <v>1812</v>
      </c>
      <c r="C17" t="s">
        <v>1825</v>
      </c>
      <c r="D17">
        <v>1</v>
      </c>
      <c r="E17" t="s">
        <v>1447</v>
      </c>
      <c r="F17" t="s">
        <v>1828</v>
      </c>
      <c r="G17" t="s">
        <v>1797</v>
      </c>
      <c r="H17" t="s">
        <v>1817</v>
      </c>
      <c r="I17" t="s">
        <v>1799</v>
      </c>
      <c r="J17" t="s">
        <v>1799</v>
      </c>
      <c r="K17" t="s">
        <v>1799</v>
      </c>
      <c r="L17" t="s">
        <v>1799</v>
      </c>
      <c r="M17" t="s">
        <v>1799</v>
      </c>
      <c r="N17" t="s">
        <v>1799</v>
      </c>
      <c r="O17" s="184" t="str">
        <f>"["&amp;$C17&amp;"]["&amp;$D17&amp;"]["&amp;$F17&amp;"]"</f>
        <v>[S02_AccreditationBody][1][AccBodyAbbreviation]</v>
      </c>
    </row>
    <row r="18" spans="1:15" x14ac:dyDescent="0.3">
      <c r="A18" t="s">
        <v>1793</v>
      </c>
      <c r="B18" t="s">
        <v>1812</v>
      </c>
      <c r="C18" t="s">
        <v>1825</v>
      </c>
      <c r="D18">
        <v>1</v>
      </c>
      <c r="E18" t="s">
        <v>1447</v>
      </c>
      <c r="F18" t="s">
        <v>1829</v>
      </c>
      <c r="G18" t="s">
        <v>1797</v>
      </c>
      <c r="H18" t="s">
        <v>1807</v>
      </c>
      <c r="I18" t="s">
        <v>1799</v>
      </c>
      <c r="J18" t="s">
        <v>1799</v>
      </c>
      <c r="K18" t="s">
        <v>1799</v>
      </c>
      <c r="L18" t="s">
        <v>1799</v>
      </c>
      <c r="M18" t="s">
        <v>1799</v>
      </c>
      <c r="N18" t="s">
        <v>1799</v>
      </c>
      <c r="O18" s="184" t="str">
        <f>"["&amp;$C18&amp;"]["&amp;$D18&amp;"]["&amp;$F18&amp;"]"</f>
        <v>[S02_AccreditationBody][1][AccBodyTelephone]</v>
      </c>
    </row>
    <row r="19" spans="1:15" x14ac:dyDescent="0.3">
      <c r="A19" t="s">
        <v>1793</v>
      </c>
      <c r="B19" t="s">
        <v>1812</v>
      </c>
      <c r="C19" t="s">
        <v>1825</v>
      </c>
      <c r="D19">
        <v>1</v>
      </c>
      <c r="E19" t="s">
        <v>1447</v>
      </c>
      <c r="F19" t="s">
        <v>1830</v>
      </c>
      <c r="G19" t="s">
        <v>1797</v>
      </c>
      <c r="H19" t="s">
        <v>1807</v>
      </c>
      <c r="I19" t="s">
        <v>1799</v>
      </c>
      <c r="J19" t="s">
        <v>1799</v>
      </c>
      <c r="K19" t="s">
        <v>1799</v>
      </c>
      <c r="L19" t="s">
        <v>1799</v>
      </c>
      <c r="M19" t="s">
        <v>1799</v>
      </c>
      <c r="N19" t="s">
        <v>1799</v>
      </c>
      <c r="O19" s="184" t="str">
        <f>"["&amp;$C19&amp;"]["&amp;$D19&amp;"]["&amp;$F19&amp;"]"</f>
        <v>[S02_AccreditationBody][1][AccBodyEmail]</v>
      </c>
    </row>
    <row r="20" spans="1:15" x14ac:dyDescent="0.3">
      <c r="A20" t="s">
        <v>1793</v>
      </c>
      <c r="B20" t="s">
        <v>1812</v>
      </c>
      <c r="C20" t="s">
        <v>1831</v>
      </c>
      <c r="D20">
        <v>0</v>
      </c>
      <c r="E20" t="s">
        <v>1447</v>
      </c>
      <c r="F20" t="s">
        <v>1831</v>
      </c>
      <c r="G20" t="s">
        <v>1832</v>
      </c>
      <c r="H20" t="s">
        <v>1799</v>
      </c>
      <c r="I20" t="s">
        <v>1799</v>
      </c>
      <c r="J20" t="s">
        <v>1799</v>
      </c>
      <c r="K20" t="s">
        <v>1799</v>
      </c>
      <c r="L20" t="s">
        <v>1447</v>
      </c>
      <c r="M20" t="s">
        <v>1799</v>
      </c>
      <c r="N20" t="s">
        <v>1799</v>
      </c>
      <c r="O20" s="184" t="str">
        <f>"["&amp;$C20&amp;"]["&amp;$D20&amp;"]["&amp;$F20&amp;"]"</f>
        <v>[CertificationBodySetUp][0][CertificationBodySetUp]</v>
      </c>
    </row>
    <row r="21" spans="1:15" x14ac:dyDescent="0.3">
      <c r="A21" t="s">
        <v>1793</v>
      </c>
      <c r="B21" t="s">
        <v>1812</v>
      </c>
      <c r="C21" t="s">
        <v>1833</v>
      </c>
      <c r="D21">
        <v>1</v>
      </c>
      <c r="E21" t="s">
        <v>1447</v>
      </c>
      <c r="F21" t="s">
        <v>1834</v>
      </c>
      <c r="G21" t="s">
        <v>1797</v>
      </c>
      <c r="H21" t="s">
        <v>1835</v>
      </c>
      <c r="I21" t="s">
        <v>1799</v>
      </c>
      <c r="J21" t="s">
        <v>1799</v>
      </c>
      <c r="K21" t="s">
        <v>1799</v>
      </c>
      <c r="L21" t="s">
        <v>1799</v>
      </c>
      <c r="M21" t="s">
        <v>1799</v>
      </c>
      <c r="N21" t="s">
        <v>1799</v>
      </c>
      <c r="O21" s="184" t="str">
        <f>"["&amp;$C21&amp;"]["&amp;$D21&amp;"]["&amp;$F21&amp;"]"</f>
        <v>[S02_RegistryAdministrator][1][RegAdminName]</v>
      </c>
    </row>
    <row r="22" spans="1:15" x14ac:dyDescent="0.3">
      <c r="A22" t="s">
        <v>1793</v>
      </c>
      <c r="B22" t="s">
        <v>1812</v>
      </c>
      <c r="C22" t="s">
        <v>1833</v>
      </c>
      <c r="D22">
        <v>1</v>
      </c>
      <c r="E22" t="s">
        <v>1447</v>
      </c>
      <c r="F22" t="s">
        <v>1836</v>
      </c>
      <c r="G22" t="s">
        <v>1797</v>
      </c>
      <c r="H22" t="s">
        <v>1817</v>
      </c>
      <c r="I22" t="s">
        <v>1799</v>
      </c>
      <c r="J22" t="s">
        <v>1799</v>
      </c>
      <c r="K22" t="s">
        <v>1799</v>
      </c>
      <c r="L22" t="s">
        <v>1799</v>
      </c>
      <c r="M22" t="s">
        <v>1799</v>
      </c>
      <c r="N22" t="s">
        <v>1799</v>
      </c>
      <c r="O22" s="184" t="str">
        <f>"["&amp;$C22&amp;"]["&amp;$D22&amp;"]["&amp;$F22&amp;"]"</f>
        <v>[S02_RegistryAdministrator][1][RegAdminAbbreviation]</v>
      </c>
    </row>
    <row r="23" spans="1:15" x14ac:dyDescent="0.3">
      <c r="A23" t="s">
        <v>1793</v>
      </c>
      <c r="B23" t="s">
        <v>1812</v>
      </c>
      <c r="C23" t="s">
        <v>1833</v>
      </c>
      <c r="D23">
        <v>1</v>
      </c>
      <c r="E23" t="s">
        <v>1447</v>
      </c>
      <c r="F23" t="s">
        <v>1837</v>
      </c>
      <c r="G23" t="s">
        <v>1797</v>
      </c>
      <c r="H23" t="s">
        <v>1807</v>
      </c>
      <c r="I23" t="s">
        <v>1799</v>
      </c>
      <c r="J23" t="s">
        <v>1799</v>
      </c>
      <c r="K23" t="s">
        <v>1799</v>
      </c>
      <c r="L23" t="s">
        <v>1799</v>
      </c>
      <c r="M23" t="s">
        <v>1799</v>
      </c>
      <c r="N23" t="s">
        <v>1799</v>
      </c>
      <c r="O23" s="184" t="str">
        <f>"["&amp;$C23&amp;"]["&amp;$D23&amp;"]["&amp;$F23&amp;"]"</f>
        <v>[S02_RegistryAdministrator][1][RegAdminTelephone]</v>
      </c>
    </row>
    <row r="24" spans="1:15" x14ac:dyDescent="0.3">
      <c r="A24" t="s">
        <v>1793</v>
      </c>
      <c r="B24" t="s">
        <v>1812</v>
      </c>
      <c r="C24" t="s">
        <v>1833</v>
      </c>
      <c r="D24">
        <v>1</v>
      </c>
      <c r="E24" t="s">
        <v>1447</v>
      </c>
      <c r="F24" t="s">
        <v>1838</v>
      </c>
      <c r="G24" t="s">
        <v>1797</v>
      </c>
      <c r="H24" t="s">
        <v>1809</v>
      </c>
      <c r="I24" t="s">
        <v>1799</v>
      </c>
      <c r="J24" t="s">
        <v>1799</v>
      </c>
      <c r="K24" t="s">
        <v>1799</v>
      </c>
      <c r="L24" t="s">
        <v>1799</v>
      </c>
      <c r="M24" t="s">
        <v>1799</v>
      </c>
      <c r="N24" t="s">
        <v>1799</v>
      </c>
      <c r="O24" s="184" t="str">
        <f>"["&amp;$C24&amp;"]["&amp;$D24&amp;"]["&amp;$F24&amp;"]"</f>
        <v>[S02_RegistryAdministrator][1][RegAdminEmail]</v>
      </c>
    </row>
    <row r="25" spans="1:15" x14ac:dyDescent="0.3">
      <c r="A25" t="s">
        <v>1793</v>
      </c>
      <c r="B25" t="s">
        <v>1812</v>
      </c>
      <c r="C25" t="s">
        <v>1833</v>
      </c>
      <c r="D25">
        <v>1</v>
      </c>
      <c r="E25" t="s">
        <v>1447</v>
      </c>
      <c r="F25" t="s">
        <v>1839</v>
      </c>
      <c r="G25" t="s">
        <v>1797</v>
      </c>
      <c r="H25" t="s">
        <v>1840</v>
      </c>
      <c r="I25" t="s">
        <v>1799</v>
      </c>
      <c r="J25" t="s">
        <v>1799</v>
      </c>
      <c r="K25" t="s">
        <v>1799</v>
      </c>
      <c r="L25" t="s">
        <v>1799</v>
      </c>
      <c r="M25" t="s">
        <v>1799</v>
      </c>
      <c r="N25" t="s">
        <v>1799</v>
      </c>
      <c r="O25" s="184" t="str">
        <f>"["&amp;$C25&amp;"]["&amp;$D25&amp;"]["&amp;$F25&amp;"]"</f>
        <v>[S02_RegistryAdministrator][1][RegAdminWebsite]</v>
      </c>
    </row>
    <row r="26" spans="1:15" x14ac:dyDescent="0.3">
      <c r="A26" t="s">
        <v>1793</v>
      </c>
      <c r="B26" t="s">
        <v>1841</v>
      </c>
      <c r="C26" t="s">
        <v>1842</v>
      </c>
      <c r="D26">
        <v>1</v>
      </c>
      <c r="E26" t="s">
        <v>1447</v>
      </c>
      <c r="F26" t="s">
        <v>1843</v>
      </c>
      <c r="G26" t="s">
        <v>1797</v>
      </c>
      <c r="H26" t="s">
        <v>1817</v>
      </c>
      <c r="I26" t="s">
        <v>1799</v>
      </c>
      <c r="J26" t="s">
        <v>1799</v>
      </c>
      <c r="K26" t="s">
        <v>1799</v>
      </c>
      <c r="L26" t="s">
        <v>1799</v>
      </c>
      <c r="M26" t="s">
        <v>1799</v>
      </c>
      <c r="N26" t="s">
        <v>1799</v>
      </c>
      <c r="O26" s="184" t="str">
        <f>"["&amp;$C26&amp;"]["&amp;$D26&amp;"]["&amp;$F26&amp;"]"</f>
        <v>[S02_CompetentAuthorityRoles][1][CAForInstallationTask]</v>
      </c>
    </row>
    <row r="27" spans="1:15" x14ac:dyDescent="0.3">
      <c r="A27" t="s">
        <v>1793</v>
      </c>
      <c r="B27" t="s">
        <v>1841</v>
      </c>
      <c r="C27" t="s">
        <v>1842</v>
      </c>
      <c r="D27">
        <v>2</v>
      </c>
      <c r="E27" t="s">
        <v>1447</v>
      </c>
      <c r="F27" t="s">
        <v>1843</v>
      </c>
      <c r="G27" t="s">
        <v>1797</v>
      </c>
      <c r="H27" t="s">
        <v>1817</v>
      </c>
      <c r="I27" t="s">
        <v>1799</v>
      </c>
      <c r="J27" t="s">
        <v>1799</v>
      </c>
      <c r="K27" t="s">
        <v>1799</v>
      </c>
      <c r="L27" t="s">
        <v>1799</v>
      </c>
      <c r="M27" t="s">
        <v>1799</v>
      </c>
      <c r="N27" t="s">
        <v>1799</v>
      </c>
      <c r="O27" s="184" t="str">
        <f>"["&amp;$C27&amp;"]["&amp;$D27&amp;"]["&amp;$F27&amp;"]"</f>
        <v>[S02_CompetentAuthorityRoles][2][CAForInstallationTask]</v>
      </c>
    </row>
    <row r="28" spans="1:15" x14ac:dyDescent="0.3">
      <c r="A28" t="s">
        <v>1793</v>
      </c>
      <c r="B28" t="s">
        <v>1841</v>
      </c>
      <c r="C28" t="s">
        <v>1842</v>
      </c>
      <c r="D28">
        <v>3</v>
      </c>
      <c r="E28" t="s">
        <v>1447</v>
      </c>
      <c r="F28" t="s">
        <v>1843</v>
      </c>
      <c r="G28" t="s">
        <v>1797</v>
      </c>
      <c r="H28" t="s">
        <v>1817</v>
      </c>
      <c r="I28" t="s">
        <v>1799</v>
      </c>
      <c r="J28" t="s">
        <v>1799</v>
      </c>
      <c r="K28" t="s">
        <v>1799</v>
      </c>
      <c r="L28" t="s">
        <v>1799</v>
      </c>
      <c r="M28" t="s">
        <v>1799</v>
      </c>
      <c r="N28" t="s">
        <v>1799</v>
      </c>
      <c r="O28" s="184" t="str">
        <f>"["&amp;$C28&amp;"]["&amp;$D28&amp;"]["&amp;$F28&amp;"]"</f>
        <v>[S02_CompetentAuthorityRoles][3][CAForInstallationTask]</v>
      </c>
    </row>
    <row r="29" spans="1:15" x14ac:dyDescent="0.3">
      <c r="A29" t="s">
        <v>1793</v>
      </c>
      <c r="B29" t="s">
        <v>1841</v>
      </c>
      <c r="C29" t="s">
        <v>1842</v>
      </c>
      <c r="D29">
        <v>4</v>
      </c>
      <c r="E29" t="s">
        <v>1447</v>
      </c>
      <c r="F29" t="s">
        <v>1843</v>
      </c>
      <c r="G29" t="s">
        <v>1797</v>
      </c>
      <c r="H29" t="s">
        <v>1817</v>
      </c>
      <c r="I29" t="s">
        <v>1799</v>
      </c>
      <c r="J29" t="s">
        <v>1799</v>
      </c>
      <c r="K29" t="s">
        <v>1799</v>
      </c>
      <c r="L29" t="s">
        <v>1799</v>
      </c>
      <c r="M29" t="s">
        <v>1799</v>
      </c>
      <c r="N29" t="s">
        <v>1799</v>
      </c>
      <c r="O29" s="184" t="str">
        <f>"["&amp;$C29&amp;"]["&amp;$D29&amp;"]["&amp;$F29&amp;"]"</f>
        <v>[S02_CompetentAuthorityRoles][4][CAForInstallationTask]</v>
      </c>
    </row>
    <row r="30" spans="1:15" x14ac:dyDescent="0.3">
      <c r="A30" t="s">
        <v>1793</v>
      </c>
      <c r="B30" t="s">
        <v>1841</v>
      </c>
      <c r="C30" t="s">
        <v>1842</v>
      </c>
      <c r="D30">
        <v>6</v>
      </c>
      <c r="E30" t="s">
        <v>1447</v>
      </c>
      <c r="F30" t="s">
        <v>1843</v>
      </c>
      <c r="G30" t="s">
        <v>1797</v>
      </c>
      <c r="H30" t="s">
        <v>1817</v>
      </c>
      <c r="I30" t="s">
        <v>1799</v>
      </c>
      <c r="J30" t="s">
        <v>1799</v>
      </c>
      <c r="K30" t="s">
        <v>1799</v>
      </c>
      <c r="L30" t="s">
        <v>1799</v>
      </c>
      <c r="M30" t="s">
        <v>1799</v>
      </c>
      <c r="N30" t="s">
        <v>1799</v>
      </c>
      <c r="O30" s="184" t="str">
        <f>"["&amp;$C30&amp;"]["&amp;$D30&amp;"]["&amp;$F30&amp;"]"</f>
        <v>[S02_CompetentAuthorityRoles][6][CAForInstallationTask]</v>
      </c>
    </row>
    <row r="31" spans="1:15" x14ac:dyDescent="0.3">
      <c r="A31" t="s">
        <v>1793</v>
      </c>
      <c r="B31" t="s">
        <v>1841</v>
      </c>
      <c r="C31" t="s">
        <v>1842</v>
      </c>
      <c r="D31">
        <v>7</v>
      </c>
      <c r="E31" t="s">
        <v>1447</v>
      </c>
      <c r="F31" t="s">
        <v>1843</v>
      </c>
      <c r="G31" t="s">
        <v>1797</v>
      </c>
      <c r="H31" t="s">
        <v>1817</v>
      </c>
      <c r="I31" t="s">
        <v>1799</v>
      </c>
      <c r="J31" t="s">
        <v>1799</v>
      </c>
      <c r="K31" t="s">
        <v>1799</v>
      </c>
      <c r="L31" t="s">
        <v>1799</v>
      </c>
      <c r="M31" t="s">
        <v>1799</v>
      </c>
      <c r="N31" t="s">
        <v>1799</v>
      </c>
      <c r="O31" s="184" t="str">
        <f>"["&amp;$C31&amp;"]["&amp;$D31&amp;"]["&amp;$F31&amp;"]"</f>
        <v>[S02_CompetentAuthorityRoles][7][CAForInstallationTask]</v>
      </c>
    </row>
    <row r="32" spans="1:15" x14ac:dyDescent="0.3">
      <c r="A32" t="s">
        <v>1793</v>
      </c>
      <c r="B32" t="s">
        <v>1841</v>
      </c>
      <c r="C32" t="s">
        <v>1842</v>
      </c>
      <c r="D32">
        <v>8</v>
      </c>
      <c r="E32" t="s">
        <v>1447</v>
      </c>
      <c r="F32" t="s">
        <v>1843</v>
      </c>
      <c r="G32" t="s">
        <v>1797</v>
      </c>
      <c r="H32" t="s">
        <v>1817</v>
      </c>
      <c r="I32" t="s">
        <v>1799</v>
      </c>
      <c r="J32" t="s">
        <v>1799</v>
      </c>
      <c r="K32" t="s">
        <v>1799</v>
      </c>
      <c r="L32" t="s">
        <v>1799</v>
      </c>
      <c r="M32" t="s">
        <v>1799</v>
      </c>
      <c r="N32" t="s">
        <v>1799</v>
      </c>
      <c r="O32" s="184" t="str">
        <f>"["&amp;$C32&amp;"]["&amp;$D32&amp;"]["&amp;$F32&amp;"]"</f>
        <v>[S02_CompetentAuthorityRoles][8][CAForInstallationTask]</v>
      </c>
    </row>
    <row r="33" spans="1:15" x14ac:dyDescent="0.3">
      <c r="A33" t="s">
        <v>1793</v>
      </c>
      <c r="B33" t="s">
        <v>1841</v>
      </c>
      <c r="C33" t="s">
        <v>1842</v>
      </c>
      <c r="D33">
        <v>9</v>
      </c>
      <c r="E33" t="s">
        <v>1447</v>
      </c>
      <c r="F33" t="s">
        <v>1843</v>
      </c>
      <c r="G33" t="s">
        <v>1797</v>
      </c>
      <c r="H33" t="s">
        <v>1817</v>
      </c>
      <c r="I33" t="s">
        <v>1799</v>
      </c>
      <c r="J33" t="s">
        <v>1799</v>
      </c>
      <c r="K33" t="s">
        <v>1799</v>
      </c>
      <c r="L33" t="s">
        <v>1799</v>
      </c>
      <c r="M33" t="s">
        <v>1799</v>
      </c>
      <c r="N33" t="s">
        <v>1799</v>
      </c>
      <c r="O33" s="184" t="str">
        <f>"["&amp;$C33&amp;"]["&amp;$D33&amp;"]["&amp;$F33&amp;"]"</f>
        <v>[S02_CompetentAuthorityRoles][9][CAForInstallationTask]</v>
      </c>
    </row>
    <row r="34" spans="1:15" x14ac:dyDescent="0.3">
      <c r="A34" t="s">
        <v>1793</v>
      </c>
      <c r="B34" t="s">
        <v>1841</v>
      </c>
      <c r="C34" t="s">
        <v>1842</v>
      </c>
      <c r="D34">
        <v>10</v>
      </c>
      <c r="E34" t="s">
        <v>1447</v>
      </c>
      <c r="F34" t="s">
        <v>1843</v>
      </c>
      <c r="G34" t="s">
        <v>1797</v>
      </c>
      <c r="H34" t="s">
        <v>1817</v>
      </c>
      <c r="I34" t="s">
        <v>1799</v>
      </c>
      <c r="J34" t="s">
        <v>1799</v>
      </c>
      <c r="K34" t="s">
        <v>1799</v>
      </c>
      <c r="L34" t="s">
        <v>1799</v>
      </c>
      <c r="M34" t="s">
        <v>1799</v>
      </c>
      <c r="N34" t="s">
        <v>1799</v>
      </c>
      <c r="O34" s="184" t="str">
        <f>"["&amp;$C34&amp;"]["&amp;$D34&amp;"]["&amp;$F34&amp;"]"</f>
        <v>[S02_CompetentAuthorityRoles][10][CAForInstallationTask]</v>
      </c>
    </row>
    <row r="35" spans="1:15" x14ac:dyDescent="0.3">
      <c r="A35" t="s">
        <v>1793</v>
      </c>
      <c r="B35" t="s">
        <v>1841</v>
      </c>
      <c r="C35" t="s">
        <v>1842</v>
      </c>
      <c r="D35">
        <v>11</v>
      </c>
      <c r="E35" t="s">
        <v>1447</v>
      </c>
      <c r="F35" t="s">
        <v>1843</v>
      </c>
      <c r="G35" t="s">
        <v>1797</v>
      </c>
      <c r="H35" t="s">
        <v>1817</v>
      </c>
      <c r="I35" t="s">
        <v>1799</v>
      </c>
      <c r="J35" t="s">
        <v>1799</v>
      </c>
      <c r="K35" t="s">
        <v>1799</v>
      </c>
      <c r="L35" t="s">
        <v>1799</v>
      </c>
      <c r="M35" t="s">
        <v>1799</v>
      </c>
      <c r="N35" t="s">
        <v>1799</v>
      </c>
      <c r="O35" s="184" t="str">
        <f>"["&amp;$C35&amp;"]["&amp;$D35&amp;"]["&amp;$F35&amp;"]"</f>
        <v>[S02_CompetentAuthorityRoles][11][CAForInstallationTask]</v>
      </c>
    </row>
    <row r="36" spans="1:15" x14ac:dyDescent="0.3">
      <c r="A36" t="s">
        <v>1793</v>
      </c>
      <c r="B36" t="s">
        <v>1841</v>
      </c>
      <c r="C36" t="s">
        <v>1842</v>
      </c>
      <c r="D36">
        <v>12</v>
      </c>
      <c r="E36" t="s">
        <v>1447</v>
      </c>
      <c r="F36" t="s">
        <v>1843</v>
      </c>
      <c r="G36" t="s">
        <v>1797</v>
      </c>
      <c r="H36" t="s">
        <v>1817</v>
      </c>
      <c r="I36" t="s">
        <v>1799</v>
      </c>
      <c r="J36" t="s">
        <v>1799</v>
      </c>
      <c r="K36" t="s">
        <v>1799</v>
      </c>
      <c r="L36" t="s">
        <v>1799</v>
      </c>
      <c r="M36" t="s">
        <v>1799</v>
      </c>
      <c r="N36" t="s">
        <v>1799</v>
      </c>
      <c r="O36" s="184" t="str">
        <f>"["&amp;$C36&amp;"]["&amp;$D36&amp;"]["&amp;$F36&amp;"]"</f>
        <v>[S02_CompetentAuthorityRoles][12][CAForInstallationTask]</v>
      </c>
    </row>
    <row r="37" spans="1:15" x14ac:dyDescent="0.3">
      <c r="A37" t="s">
        <v>1793</v>
      </c>
      <c r="B37" t="s">
        <v>1841</v>
      </c>
      <c r="C37" t="s">
        <v>1842</v>
      </c>
      <c r="D37">
        <v>13</v>
      </c>
      <c r="E37" t="s">
        <v>1447</v>
      </c>
      <c r="F37" t="s">
        <v>1843</v>
      </c>
      <c r="G37" t="s">
        <v>1797</v>
      </c>
      <c r="H37" t="s">
        <v>1817</v>
      </c>
      <c r="I37" t="s">
        <v>1799</v>
      </c>
      <c r="J37" t="s">
        <v>1799</v>
      </c>
      <c r="K37" t="s">
        <v>1799</v>
      </c>
      <c r="L37" t="s">
        <v>1799</v>
      </c>
      <c r="M37" t="s">
        <v>1799</v>
      </c>
      <c r="N37" t="s">
        <v>1799</v>
      </c>
      <c r="O37" s="184" t="str">
        <f>"["&amp;$C37&amp;"]["&amp;$D37&amp;"]["&amp;$F37&amp;"]"</f>
        <v>[S02_CompetentAuthorityRoles][13][CAForInstallationTask]</v>
      </c>
    </row>
    <row r="38" spans="1:15" x14ac:dyDescent="0.3">
      <c r="A38" t="s">
        <v>1793</v>
      </c>
      <c r="B38" t="s">
        <v>1844</v>
      </c>
      <c r="C38" t="s">
        <v>1845</v>
      </c>
      <c r="D38">
        <v>1</v>
      </c>
      <c r="E38" t="s">
        <v>1447</v>
      </c>
      <c r="F38" t="s">
        <v>1846</v>
      </c>
      <c r="G38" t="s">
        <v>1832</v>
      </c>
      <c r="H38" t="s">
        <v>1799</v>
      </c>
      <c r="I38" t="s">
        <v>1799</v>
      </c>
      <c r="J38" t="s">
        <v>1799</v>
      </c>
      <c r="K38" t="s">
        <v>1799</v>
      </c>
      <c r="L38" t="s">
        <v>1447</v>
      </c>
      <c r="M38" t="s">
        <v>1799</v>
      </c>
      <c r="N38" t="s">
        <v>1799</v>
      </c>
      <c r="O38" s="184" t="str">
        <f>"["&amp;$C38&amp;"]["&amp;$D38&amp;"]["&amp;$F38&amp;"]"</f>
        <v>[S02_CompetentAuthorityCoordination][1][CACoordinationYesNo]</v>
      </c>
    </row>
    <row r="39" spans="1:15" x14ac:dyDescent="0.3">
      <c r="A39" t="s">
        <v>1793</v>
      </c>
      <c r="B39" t="s">
        <v>1844</v>
      </c>
      <c r="C39" t="s">
        <v>1845</v>
      </c>
      <c r="D39">
        <v>2</v>
      </c>
      <c r="E39" t="s">
        <v>1447</v>
      </c>
      <c r="F39" t="s">
        <v>1846</v>
      </c>
      <c r="G39" t="s">
        <v>1832</v>
      </c>
      <c r="H39" t="s">
        <v>1799</v>
      </c>
      <c r="I39" t="s">
        <v>1799</v>
      </c>
      <c r="J39" t="s">
        <v>1799</v>
      </c>
      <c r="K39" t="s">
        <v>1799</v>
      </c>
      <c r="L39" t="s">
        <v>1447</v>
      </c>
      <c r="M39" t="s">
        <v>1799</v>
      </c>
      <c r="N39" t="s">
        <v>1799</v>
      </c>
      <c r="O39" s="184" t="str">
        <f>"["&amp;$C39&amp;"]["&amp;$D39&amp;"]["&amp;$F39&amp;"]"</f>
        <v>[S02_CompetentAuthorityCoordination][2][CACoordinationYesNo]</v>
      </c>
    </row>
    <row r="40" spans="1:15" x14ac:dyDescent="0.3">
      <c r="A40" t="s">
        <v>1793</v>
      </c>
      <c r="B40" t="s">
        <v>1844</v>
      </c>
      <c r="C40" t="s">
        <v>1845</v>
      </c>
      <c r="D40">
        <v>3</v>
      </c>
      <c r="E40" t="s">
        <v>1447</v>
      </c>
      <c r="F40" t="s">
        <v>1846</v>
      </c>
      <c r="G40" t="s">
        <v>1832</v>
      </c>
      <c r="H40" t="s">
        <v>1799</v>
      </c>
      <c r="I40" t="s">
        <v>1799</v>
      </c>
      <c r="J40" t="s">
        <v>1799</v>
      </c>
      <c r="K40" t="s">
        <v>1799</v>
      </c>
      <c r="L40" t="s">
        <v>1447</v>
      </c>
      <c r="M40" t="s">
        <v>1799</v>
      </c>
      <c r="N40" t="s">
        <v>1799</v>
      </c>
      <c r="O40" s="184" t="str">
        <f>"["&amp;$C40&amp;"]["&amp;$D40&amp;"]["&amp;$F40&amp;"]"</f>
        <v>[S02_CompetentAuthorityCoordination][3][CACoordinationYesNo]</v>
      </c>
    </row>
    <row r="41" spans="1:15" x14ac:dyDescent="0.3">
      <c r="A41" t="s">
        <v>1793</v>
      </c>
      <c r="B41" t="s">
        <v>1844</v>
      </c>
      <c r="C41" t="s">
        <v>1845</v>
      </c>
      <c r="D41">
        <v>4</v>
      </c>
      <c r="E41" t="s">
        <v>1447</v>
      </c>
      <c r="F41" t="s">
        <v>1846</v>
      </c>
      <c r="G41" t="s">
        <v>1832</v>
      </c>
      <c r="H41" t="s">
        <v>1799</v>
      </c>
      <c r="I41" t="s">
        <v>1799</v>
      </c>
      <c r="J41" t="s">
        <v>1799</v>
      </c>
      <c r="K41" t="s">
        <v>1799</v>
      </c>
      <c r="L41" t="s">
        <v>1447</v>
      </c>
      <c r="M41" t="s">
        <v>1799</v>
      </c>
      <c r="N41" t="s">
        <v>1799</v>
      </c>
      <c r="O41" s="184" t="str">
        <f>"["&amp;$C41&amp;"]["&amp;$D41&amp;"]["&amp;$F41&amp;"]"</f>
        <v>[S02_CompetentAuthorityCoordination][4][CACoordinationYesNo]</v>
      </c>
    </row>
    <row r="42" spans="1:15" x14ac:dyDescent="0.3">
      <c r="A42" t="s">
        <v>1793</v>
      </c>
      <c r="B42" t="s">
        <v>1844</v>
      </c>
      <c r="C42" t="s">
        <v>1845</v>
      </c>
      <c r="D42">
        <v>5</v>
      </c>
      <c r="E42" t="s">
        <v>1447</v>
      </c>
      <c r="F42" t="s">
        <v>1846</v>
      </c>
      <c r="G42" t="s">
        <v>1832</v>
      </c>
      <c r="H42" t="s">
        <v>1799</v>
      </c>
      <c r="I42" t="s">
        <v>1799</v>
      </c>
      <c r="J42" t="s">
        <v>1799</v>
      </c>
      <c r="K42" t="s">
        <v>1799</v>
      </c>
      <c r="L42" t="s">
        <v>1447</v>
      </c>
      <c r="M42" t="s">
        <v>1799</v>
      </c>
      <c r="N42" t="s">
        <v>1799</v>
      </c>
      <c r="O42" s="184" t="str">
        <f>"["&amp;$C42&amp;"]["&amp;$D42&amp;"]["&amp;$F42&amp;"]"</f>
        <v>[S02_CompetentAuthorityCoordination][5][CACoordinationYesNo]</v>
      </c>
    </row>
    <row r="43" spans="1:15" x14ac:dyDescent="0.3">
      <c r="A43" t="s">
        <v>1793</v>
      </c>
      <c r="B43" t="s">
        <v>1844</v>
      </c>
      <c r="C43" t="s">
        <v>1845</v>
      </c>
      <c r="D43">
        <v>6</v>
      </c>
      <c r="E43" t="s">
        <v>1447</v>
      </c>
      <c r="F43" t="s">
        <v>1846</v>
      </c>
      <c r="G43" t="s">
        <v>1832</v>
      </c>
      <c r="H43" t="s">
        <v>1799</v>
      </c>
      <c r="I43" t="s">
        <v>1799</v>
      </c>
      <c r="J43" t="s">
        <v>1799</v>
      </c>
      <c r="K43" t="s">
        <v>1799</v>
      </c>
      <c r="L43" t="s">
        <v>1447</v>
      </c>
      <c r="M43" t="s">
        <v>1799</v>
      </c>
      <c r="N43" t="s">
        <v>1799</v>
      </c>
      <c r="O43" s="184" t="str">
        <f>"["&amp;$C43&amp;"]["&amp;$D43&amp;"]["&amp;$F43&amp;"]"</f>
        <v>[S02_CompetentAuthorityCoordination][6][CACoordinationYesNo]</v>
      </c>
    </row>
    <row r="44" spans="1:15" x14ac:dyDescent="0.3">
      <c r="A44" t="s">
        <v>1793</v>
      </c>
      <c r="B44" t="s">
        <v>1847</v>
      </c>
      <c r="C44" t="s">
        <v>1848</v>
      </c>
      <c r="D44">
        <v>1</v>
      </c>
      <c r="E44" t="s">
        <v>1447</v>
      </c>
      <c r="F44" t="s">
        <v>1849</v>
      </c>
      <c r="G44" t="s">
        <v>1832</v>
      </c>
      <c r="H44" t="s">
        <v>1799</v>
      </c>
      <c r="I44" t="s">
        <v>1799</v>
      </c>
      <c r="J44" t="s">
        <v>1799</v>
      </c>
      <c r="K44" t="s">
        <v>1799</v>
      </c>
      <c r="L44" t="s">
        <v>1447</v>
      </c>
      <c r="M44" t="s">
        <v>1799</v>
      </c>
      <c r="N44" t="s">
        <v>1799</v>
      </c>
      <c r="O44" s="184" t="str">
        <f>"["&amp;$C44&amp;"]["&amp;$D44&amp;"]["&amp;$F44&amp;"]"</f>
        <v>[S02_InformationExchangeAccBodyAndCA][1][InfoExchangeYesNo]</v>
      </c>
    </row>
    <row r="45" spans="1:15" x14ac:dyDescent="0.3">
      <c r="A45" t="s">
        <v>1793</v>
      </c>
      <c r="B45" t="s">
        <v>1847</v>
      </c>
      <c r="C45" t="s">
        <v>1848</v>
      </c>
      <c r="D45">
        <v>2</v>
      </c>
      <c r="E45" t="s">
        <v>1447</v>
      </c>
      <c r="F45" t="s">
        <v>1849</v>
      </c>
      <c r="G45" t="s">
        <v>1832</v>
      </c>
      <c r="H45" t="s">
        <v>1799</v>
      </c>
      <c r="I45" t="s">
        <v>1799</v>
      </c>
      <c r="J45" t="s">
        <v>1799</v>
      </c>
      <c r="K45" t="s">
        <v>1799</v>
      </c>
      <c r="L45" t="s">
        <v>1447</v>
      </c>
      <c r="M45" t="s">
        <v>1799</v>
      </c>
      <c r="N45" t="s">
        <v>1799</v>
      </c>
      <c r="O45" s="184" t="str">
        <f>"["&amp;$C45&amp;"]["&amp;$D45&amp;"]["&amp;$F45&amp;"]"</f>
        <v>[S02_InformationExchangeAccBodyAndCA][2][InfoExchangeYesNo]</v>
      </c>
    </row>
    <row r="46" spans="1:15" x14ac:dyDescent="0.3">
      <c r="A46" t="s">
        <v>1793</v>
      </c>
      <c r="B46" t="s">
        <v>1847</v>
      </c>
      <c r="C46" t="s">
        <v>1848</v>
      </c>
      <c r="D46">
        <v>3</v>
      </c>
      <c r="E46" t="s">
        <v>1447</v>
      </c>
      <c r="F46" t="s">
        <v>1849</v>
      </c>
      <c r="G46" t="s">
        <v>1832</v>
      </c>
      <c r="H46" t="s">
        <v>1799</v>
      </c>
      <c r="I46" t="s">
        <v>1799</v>
      </c>
      <c r="J46" t="s">
        <v>1799</v>
      </c>
      <c r="K46" t="s">
        <v>1799</v>
      </c>
      <c r="L46" t="s">
        <v>1447</v>
      </c>
      <c r="M46" t="s">
        <v>1799</v>
      </c>
      <c r="N46" t="s">
        <v>1799</v>
      </c>
      <c r="O46" s="184" t="str">
        <f>"["&amp;$C46&amp;"]["&amp;$D46&amp;"]["&amp;$F46&amp;"]"</f>
        <v>[S02_InformationExchangeAccBodyAndCA][3][InfoExchangeYesNo]</v>
      </c>
    </row>
    <row r="47" spans="1:15" x14ac:dyDescent="0.3">
      <c r="A47" t="s">
        <v>1793</v>
      </c>
      <c r="B47" t="s">
        <v>1850</v>
      </c>
      <c r="C47" t="s">
        <v>1851</v>
      </c>
      <c r="D47">
        <v>1</v>
      </c>
      <c r="E47" t="s">
        <v>1447</v>
      </c>
      <c r="F47" t="s">
        <v>1852</v>
      </c>
      <c r="G47" t="s">
        <v>1811</v>
      </c>
      <c r="H47" t="s">
        <v>1799</v>
      </c>
      <c r="I47">
        <v>0</v>
      </c>
      <c r="J47" t="s">
        <v>1799</v>
      </c>
      <c r="K47" t="s">
        <v>1799</v>
      </c>
      <c r="L47" t="s">
        <v>1799</v>
      </c>
      <c r="M47" t="s">
        <v>1799</v>
      </c>
      <c r="N47" t="s">
        <v>1799</v>
      </c>
      <c r="O47" s="184" t="str">
        <f>"["&amp;$C47&amp;"]["&amp;$D47&amp;"]["&amp;$F47&amp;"]"</f>
        <v>[S03_EmittingInstallations][1][NumberOfInstallations]</v>
      </c>
    </row>
    <row r="48" spans="1:15" x14ac:dyDescent="0.3">
      <c r="A48" t="s">
        <v>1793</v>
      </c>
      <c r="B48" t="s">
        <v>1850</v>
      </c>
      <c r="C48" t="s">
        <v>1851</v>
      </c>
      <c r="D48">
        <v>2</v>
      </c>
      <c r="E48" t="s">
        <v>1447</v>
      </c>
      <c r="F48" t="s">
        <v>1852</v>
      </c>
      <c r="G48" t="s">
        <v>1811</v>
      </c>
      <c r="H48" t="s">
        <v>1799</v>
      </c>
      <c r="I48">
        <v>0</v>
      </c>
      <c r="J48" t="s">
        <v>1799</v>
      </c>
      <c r="K48" t="s">
        <v>1799</v>
      </c>
      <c r="L48" t="s">
        <v>1799</v>
      </c>
      <c r="M48" t="s">
        <v>1799</v>
      </c>
      <c r="N48" t="s">
        <v>1799</v>
      </c>
      <c r="O48" s="184" t="str">
        <f>"["&amp;$C48&amp;"]["&amp;$D48&amp;"]["&amp;$F48&amp;"]"</f>
        <v>[S03_EmittingInstallations][2][NumberOfInstallations]</v>
      </c>
    </row>
    <row r="49" spans="1:15" x14ac:dyDescent="0.3">
      <c r="A49" t="s">
        <v>1793</v>
      </c>
      <c r="B49" t="s">
        <v>1850</v>
      </c>
      <c r="C49" t="s">
        <v>1851</v>
      </c>
      <c r="D49">
        <v>3</v>
      </c>
      <c r="E49" t="s">
        <v>1447</v>
      </c>
      <c r="F49" t="s">
        <v>1852</v>
      </c>
      <c r="G49" t="s">
        <v>1811</v>
      </c>
      <c r="H49" t="s">
        <v>1799</v>
      </c>
      <c r="I49">
        <v>0</v>
      </c>
      <c r="J49" t="s">
        <v>1799</v>
      </c>
      <c r="K49" t="s">
        <v>1799</v>
      </c>
      <c r="L49" t="s">
        <v>1799</v>
      </c>
      <c r="M49" t="s">
        <v>1799</v>
      </c>
      <c r="N49" t="s">
        <v>1799</v>
      </c>
      <c r="O49" s="184" t="str">
        <f>"["&amp;$C49&amp;"]["&amp;$D49&amp;"]["&amp;$F49&amp;"]"</f>
        <v>[S03_EmittingInstallations][3][NumberOfInstallations]</v>
      </c>
    </row>
    <row r="50" spans="1:15" x14ac:dyDescent="0.3">
      <c r="A50" t="s">
        <v>1793</v>
      </c>
      <c r="B50" t="s">
        <v>1850</v>
      </c>
      <c r="C50" t="s">
        <v>1851</v>
      </c>
      <c r="D50">
        <v>4</v>
      </c>
      <c r="E50" t="s">
        <v>1447</v>
      </c>
      <c r="F50" t="s">
        <v>1852</v>
      </c>
      <c r="G50" t="s">
        <v>1811</v>
      </c>
      <c r="H50" t="s">
        <v>1799</v>
      </c>
      <c r="I50">
        <v>0</v>
      </c>
      <c r="J50" t="s">
        <v>1799</v>
      </c>
      <c r="K50" t="s">
        <v>1799</v>
      </c>
      <c r="L50" t="s">
        <v>1799</v>
      </c>
      <c r="M50" t="s">
        <v>1799</v>
      </c>
      <c r="N50" t="s">
        <v>1799</v>
      </c>
      <c r="O50" s="184" t="str">
        <f>"["&amp;$C50&amp;"]["&amp;$D50&amp;"]["&amp;$F50&amp;"]"</f>
        <v>[S03_EmittingInstallations][4][NumberOfInstallations]</v>
      </c>
    </row>
    <row r="51" spans="1:15" x14ac:dyDescent="0.3">
      <c r="A51" t="s">
        <v>1793</v>
      </c>
      <c r="B51" t="s">
        <v>1850</v>
      </c>
      <c r="C51" t="s">
        <v>1851</v>
      </c>
      <c r="D51">
        <v>5</v>
      </c>
      <c r="E51" t="s">
        <v>1447</v>
      </c>
      <c r="F51" t="s">
        <v>1852</v>
      </c>
      <c r="G51" t="s">
        <v>1811</v>
      </c>
      <c r="H51" t="s">
        <v>1799</v>
      </c>
      <c r="I51">
        <v>0</v>
      </c>
      <c r="J51" t="s">
        <v>1799</v>
      </c>
      <c r="K51" t="s">
        <v>1799</v>
      </c>
      <c r="L51" t="s">
        <v>1799</v>
      </c>
      <c r="M51" t="s">
        <v>1799</v>
      </c>
      <c r="N51" t="s">
        <v>1799</v>
      </c>
      <c r="O51" s="184" t="str">
        <f>"["&amp;$C51&amp;"]["&amp;$D51&amp;"]["&amp;$F51&amp;"]"</f>
        <v>[S03_EmittingInstallations][5][NumberOfInstallations]</v>
      </c>
    </row>
    <row r="52" spans="1:15" x14ac:dyDescent="0.3">
      <c r="A52" t="s">
        <v>1793</v>
      </c>
      <c r="B52" t="s">
        <v>1850</v>
      </c>
      <c r="C52" t="s">
        <v>1853</v>
      </c>
      <c r="D52">
        <v>1</v>
      </c>
      <c r="E52" t="s">
        <v>1447</v>
      </c>
      <c r="F52" t="s">
        <v>1854</v>
      </c>
      <c r="G52" t="s">
        <v>1832</v>
      </c>
      <c r="H52" t="s">
        <v>1799</v>
      </c>
      <c r="I52" t="s">
        <v>1799</v>
      </c>
      <c r="J52" t="s">
        <v>1799</v>
      </c>
      <c r="K52" t="s">
        <v>1799</v>
      </c>
      <c r="L52" t="s">
        <v>1447</v>
      </c>
      <c r="M52" t="s">
        <v>1799</v>
      </c>
      <c r="N52" t="s">
        <v>1799</v>
      </c>
      <c r="O52" s="184" t="str">
        <f>"["&amp;$C52&amp;"]["&amp;$D52&amp;"]["&amp;$F52&amp;"]"</f>
        <v>[S03_ActivityPermits][1][ActivityPermitsIssued]</v>
      </c>
    </row>
    <row r="53" spans="1:15" x14ac:dyDescent="0.3">
      <c r="A53" t="s">
        <v>1793</v>
      </c>
      <c r="B53" t="s">
        <v>1850</v>
      </c>
      <c r="C53" t="s">
        <v>1853</v>
      </c>
      <c r="D53">
        <v>2</v>
      </c>
      <c r="E53" t="s">
        <v>1447</v>
      </c>
      <c r="F53" t="s">
        <v>1854</v>
      </c>
      <c r="G53" t="s">
        <v>1832</v>
      </c>
      <c r="H53" t="s">
        <v>1799</v>
      </c>
      <c r="I53" t="s">
        <v>1799</v>
      </c>
      <c r="J53" t="s">
        <v>1799</v>
      </c>
      <c r="K53" t="s">
        <v>1799</v>
      </c>
      <c r="L53" t="s">
        <v>1447</v>
      </c>
      <c r="M53" t="s">
        <v>1799</v>
      </c>
      <c r="N53" t="s">
        <v>1799</v>
      </c>
      <c r="O53" s="184" t="str">
        <f>"["&amp;$C53&amp;"]["&amp;$D53&amp;"]["&amp;$F53&amp;"]"</f>
        <v>[S03_ActivityPermits][2][ActivityPermitsIssued]</v>
      </c>
    </row>
    <row r="54" spans="1:15" x14ac:dyDescent="0.3">
      <c r="A54" t="s">
        <v>1793</v>
      </c>
      <c r="B54" t="s">
        <v>1850</v>
      </c>
      <c r="C54" t="s">
        <v>1853</v>
      </c>
      <c r="D54">
        <v>3</v>
      </c>
      <c r="E54" t="s">
        <v>1447</v>
      </c>
      <c r="F54" t="s">
        <v>1854</v>
      </c>
      <c r="G54" t="s">
        <v>1832</v>
      </c>
      <c r="H54" t="s">
        <v>1799</v>
      </c>
      <c r="I54" t="s">
        <v>1799</v>
      </c>
      <c r="J54" t="s">
        <v>1799</v>
      </c>
      <c r="K54" t="s">
        <v>1799</v>
      </c>
      <c r="L54" t="s">
        <v>1447</v>
      </c>
      <c r="M54" t="s">
        <v>1799</v>
      </c>
      <c r="N54" t="s">
        <v>1799</v>
      </c>
      <c r="O54" s="184" t="str">
        <f>"["&amp;$C54&amp;"]["&amp;$D54&amp;"]["&amp;$F54&amp;"]"</f>
        <v>[S03_ActivityPermits][3][ActivityPermitsIssued]</v>
      </c>
    </row>
    <row r="55" spans="1:15" x14ac:dyDescent="0.3">
      <c r="A55" t="s">
        <v>1793</v>
      </c>
      <c r="B55" t="s">
        <v>1850</v>
      </c>
      <c r="C55" t="s">
        <v>1853</v>
      </c>
      <c r="D55">
        <v>4</v>
      </c>
      <c r="E55" t="s">
        <v>1447</v>
      </c>
      <c r="F55" t="s">
        <v>1854</v>
      </c>
      <c r="G55" t="s">
        <v>1832</v>
      </c>
      <c r="H55" t="s">
        <v>1799</v>
      </c>
      <c r="I55" t="s">
        <v>1799</v>
      </c>
      <c r="J55" t="s">
        <v>1799</v>
      </c>
      <c r="K55" t="s">
        <v>1799</v>
      </c>
      <c r="L55" t="s">
        <v>1447</v>
      </c>
      <c r="M55" t="s">
        <v>1799</v>
      </c>
      <c r="N55" t="s">
        <v>1799</v>
      </c>
      <c r="O55" s="184" t="str">
        <f>"["&amp;$C55&amp;"]["&amp;$D55&amp;"]["&amp;$F55&amp;"]"</f>
        <v>[S03_ActivityPermits][4][ActivityPermitsIssued]</v>
      </c>
    </row>
    <row r="56" spans="1:15" x14ac:dyDescent="0.3">
      <c r="A56" t="s">
        <v>1793</v>
      </c>
      <c r="B56" t="s">
        <v>1850</v>
      </c>
      <c r="C56" t="s">
        <v>1853</v>
      </c>
      <c r="D56">
        <v>5</v>
      </c>
      <c r="E56" t="s">
        <v>1447</v>
      </c>
      <c r="F56" t="s">
        <v>1854</v>
      </c>
      <c r="G56" t="s">
        <v>1832</v>
      </c>
      <c r="H56" t="s">
        <v>1799</v>
      </c>
      <c r="I56" t="s">
        <v>1799</v>
      </c>
      <c r="J56" t="s">
        <v>1799</v>
      </c>
      <c r="K56" t="s">
        <v>1799</v>
      </c>
      <c r="L56" t="s">
        <v>1447</v>
      </c>
      <c r="M56" t="s">
        <v>1799</v>
      </c>
      <c r="N56" t="s">
        <v>1799</v>
      </c>
      <c r="O56" s="184" t="str">
        <f>"["&amp;$C56&amp;"]["&amp;$D56&amp;"]["&amp;$F56&amp;"]"</f>
        <v>[S03_ActivityPermits][5][ActivityPermitsIssued]</v>
      </c>
    </row>
    <row r="57" spans="1:15" x14ac:dyDescent="0.3">
      <c r="A57" t="s">
        <v>1793</v>
      </c>
      <c r="B57" t="s">
        <v>1850</v>
      </c>
      <c r="C57" t="s">
        <v>1853</v>
      </c>
      <c r="D57">
        <v>6</v>
      </c>
      <c r="E57" t="s">
        <v>1447</v>
      </c>
      <c r="F57" t="s">
        <v>1854</v>
      </c>
      <c r="G57" t="s">
        <v>1832</v>
      </c>
      <c r="H57" t="s">
        <v>1799</v>
      </c>
      <c r="I57" t="s">
        <v>1799</v>
      </c>
      <c r="J57" t="s">
        <v>1799</v>
      </c>
      <c r="K57" t="s">
        <v>1799</v>
      </c>
      <c r="L57" t="s">
        <v>1447</v>
      </c>
      <c r="M57" t="s">
        <v>1799</v>
      </c>
      <c r="N57" t="s">
        <v>1799</v>
      </c>
      <c r="O57" s="184" t="str">
        <f>"["&amp;$C57&amp;"]["&amp;$D57&amp;"]["&amp;$F57&amp;"]"</f>
        <v>[S03_ActivityPermits][6][ActivityPermitsIssued]</v>
      </c>
    </row>
    <row r="58" spans="1:15" x14ac:dyDescent="0.3">
      <c r="A58" t="s">
        <v>1793</v>
      </c>
      <c r="B58" t="s">
        <v>1850</v>
      </c>
      <c r="C58" t="s">
        <v>1853</v>
      </c>
      <c r="D58">
        <v>7</v>
      </c>
      <c r="E58" t="s">
        <v>1447</v>
      </c>
      <c r="F58" t="s">
        <v>1854</v>
      </c>
      <c r="G58" t="s">
        <v>1832</v>
      </c>
      <c r="H58" t="s">
        <v>1799</v>
      </c>
      <c r="I58" t="s">
        <v>1799</v>
      </c>
      <c r="J58" t="s">
        <v>1799</v>
      </c>
      <c r="K58" t="s">
        <v>1799</v>
      </c>
      <c r="L58" t="s">
        <v>1447</v>
      </c>
      <c r="M58" t="s">
        <v>1799</v>
      </c>
      <c r="N58" t="s">
        <v>1799</v>
      </c>
      <c r="O58" s="184" t="str">
        <f>"["&amp;$C58&amp;"]["&amp;$D58&amp;"]["&amp;$F58&amp;"]"</f>
        <v>[S03_ActivityPermits][7][ActivityPermitsIssued]</v>
      </c>
    </row>
    <row r="59" spans="1:15" x14ac:dyDescent="0.3">
      <c r="A59" t="s">
        <v>1793</v>
      </c>
      <c r="B59" t="s">
        <v>1850</v>
      </c>
      <c r="C59" t="s">
        <v>1853</v>
      </c>
      <c r="D59">
        <v>8</v>
      </c>
      <c r="E59" t="s">
        <v>1447</v>
      </c>
      <c r="F59" t="s">
        <v>1854</v>
      </c>
      <c r="G59" t="s">
        <v>1832</v>
      </c>
      <c r="H59" t="s">
        <v>1799</v>
      </c>
      <c r="I59" t="s">
        <v>1799</v>
      </c>
      <c r="J59" t="s">
        <v>1799</v>
      </c>
      <c r="K59" t="s">
        <v>1799</v>
      </c>
      <c r="L59" t="s">
        <v>1447</v>
      </c>
      <c r="M59" t="s">
        <v>1799</v>
      </c>
      <c r="N59" t="s">
        <v>1799</v>
      </c>
      <c r="O59" s="184" t="str">
        <f>"["&amp;$C59&amp;"]["&amp;$D59&amp;"]["&amp;$F59&amp;"]"</f>
        <v>[S03_ActivityPermits][8][ActivityPermitsIssued]</v>
      </c>
    </row>
    <row r="60" spans="1:15" x14ac:dyDescent="0.3">
      <c r="A60" t="s">
        <v>1793</v>
      </c>
      <c r="B60" t="s">
        <v>1850</v>
      </c>
      <c r="C60" t="s">
        <v>1853</v>
      </c>
      <c r="D60">
        <v>9</v>
      </c>
      <c r="E60" t="s">
        <v>1447</v>
      </c>
      <c r="F60" t="s">
        <v>1854</v>
      </c>
      <c r="G60" t="s">
        <v>1832</v>
      </c>
      <c r="H60" t="s">
        <v>1799</v>
      </c>
      <c r="I60" t="s">
        <v>1799</v>
      </c>
      <c r="J60" t="s">
        <v>1799</v>
      </c>
      <c r="K60" t="s">
        <v>1799</v>
      </c>
      <c r="L60" t="s">
        <v>1447</v>
      </c>
      <c r="M60" t="s">
        <v>1799</v>
      </c>
      <c r="N60" t="s">
        <v>1799</v>
      </c>
      <c r="O60" s="184" t="str">
        <f>"["&amp;$C60&amp;"]["&amp;$D60&amp;"]["&amp;$F60&amp;"]"</f>
        <v>[S03_ActivityPermits][9][ActivityPermitsIssued]</v>
      </c>
    </row>
    <row r="61" spans="1:15" x14ac:dyDescent="0.3">
      <c r="A61" t="s">
        <v>1793</v>
      </c>
      <c r="B61" t="s">
        <v>1850</v>
      </c>
      <c r="C61" t="s">
        <v>1853</v>
      </c>
      <c r="D61">
        <v>10</v>
      </c>
      <c r="E61" t="s">
        <v>1447</v>
      </c>
      <c r="F61" t="s">
        <v>1854</v>
      </c>
      <c r="G61" t="s">
        <v>1832</v>
      </c>
      <c r="H61" t="s">
        <v>1799</v>
      </c>
      <c r="I61" t="s">
        <v>1799</v>
      </c>
      <c r="J61" t="s">
        <v>1799</v>
      </c>
      <c r="K61" t="s">
        <v>1799</v>
      </c>
      <c r="L61" t="s">
        <v>1447</v>
      </c>
      <c r="M61" t="s">
        <v>1799</v>
      </c>
      <c r="N61" t="s">
        <v>1799</v>
      </c>
      <c r="O61" s="184" t="str">
        <f>"["&amp;$C61&amp;"]["&amp;$D61&amp;"]["&amp;$F61&amp;"]"</f>
        <v>[S03_ActivityPermits][10][ActivityPermitsIssued]</v>
      </c>
    </row>
    <row r="62" spans="1:15" x14ac:dyDescent="0.3">
      <c r="A62" t="s">
        <v>1793</v>
      </c>
      <c r="B62" t="s">
        <v>1850</v>
      </c>
      <c r="C62" t="s">
        <v>1853</v>
      </c>
      <c r="D62">
        <v>11</v>
      </c>
      <c r="E62" t="s">
        <v>1447</v>
      </c>
      <c r="F62" t="s">
        <v>1854</v>
      </c>
      <c r="G62" t="s">
        <v>1832</v>
      </c>
      <c r="H62" t="s">
        <v>1799</v>
      </c>
      <c r="I62" t="s">
        <v>1799</v>
      </c>
      <c r="J62" t="s">
        <v>1799</v>
      </c>
      <c r="K62" t="s">
        <v>1799</v>
      </c>
      <c r="L62" t="s">
        <v>1447</v>
      </c>
      <c r="M62" t="s">
        <v>1799</v>
      </c>
      <c r="N62" t="s">
        <v>1799</v>
      </c>
      <c r="O62" s="184" t="str">
        <f>"["&amp;$C62&amp;"]["&amp;$D62&amp;"]["&amp;$F62&amp;"]"</f>
        <v>[S03_ActivityPermits][11][ActivityPermitsIssued]</v>
      </c>
    </row>
    <row r="63" spans="1:15" x14ac:dyDescent="0.3">
      <c r="A63" t="s">
        <v>1793</v>
      </c>
      <c r="B63" t="s">
        <v>1850</v>
      </c>
      <c r="C63" t="s">
        <v>1853</v>
      </c>
      <c r="D63">
        <v>12</v>
      </c>
      <c r="E63" t="s">
        <v>1447</v>
      </c>
      <c r="F63" t="s">
        <v>1854</v>
      </c>
      <c r="G63" t="s">
        <v>1832</v>
      </c>
      <c r="H63" t="s">
        <v>1799</v>
      </c>
      <c r="I63" t="s">
        <v>1799</v>
      </c>
      <c r="J63" t="s">
        <v>1799</v>
      </c>
      <c r="K63" t="s">
        <v>1799</v>
      </c>
      <c r="L63" t="s">
        <v>1447</v>
      </c>
      <c r="M63" t="s">
        <v>1799</v>
      </c>
      <c r="N63" t="s">
        <v>1799</v>
      </c>
      <c r="O63" s="184" t="str">
        <f>"["&amp;$C63&amp;"]["&amp;$D63&amp;"]["&amp;$F63&amp;"]"</f>
        <v>[S03_ActivityPermits][12][ActivityPermitsIssued]</v>
      </c>
    </row>
    <row r="64" spans="1:15" x14ac:dyDescent="0.3">
      <c r="A64" t="s">
        <v>1793</v>
      </c>
      <c r="B64" t="s">
        <v>1850</v>
      </c>
      <c r="C64" t="s">
        <v>1853</v>
      </c>
      <c r="D64">
        <v>13</v>
      </c>
      <c r="E64" t="s">
        <v>1447</v>
      </c>
      <c r="F64" t="s">
        <v>1854</v>
      </c>
      <c r="G64" t="s">
        <v>1832</v>
      </c>
      <c r="H64" t="s">
        <v>1799</v>
      </c>
      <c r="I64" t="s">
        <v>1799</v>
      </c>
      <c r="J64" t="s">
        <v>1799</v>
      </c>
      <c r="K64" t="s">
        <v>1799</v>
      </c>
      <c r="L64" t="s">
        <v>1447</v>
      </c>
      <c r="M64" t="s">
        <v>1799</v>
      </c>
      <c r="N64" t="s">
        <v>1799</v>
      </c>
      <c r="O64" s="184" t="str">
        <f>"["&amp;$C64&amp;"]["&amp;$D64&amp;"]["&amp;$F64&amp;"]"</f>
        <v>[S03_ActivityPermits][13][ActivityPermitsIssued]</v>
      </c>
    </row>
    <row r="65" spans="1:15" x14ac:dyDescent="0.3">
      <c r="A65" t="s">
        <v>1793</v>
      </c>
      <c r="B65" t="s">
        <v>1850</v>
      </c>
      <c r="C65" t="s">
        <v>1853</v>
      </c>
      <c r="D65">
        <v>14</v>
      </c>
      <c r="E65" t="s">
        <v>1447</v>
      </c>
      <c r="F65" t="s">
        <v>1854</v>
      </c>
      <c r="G65" t="s">
        <v>1832</v>
      </c>
      <c r="H65" t="s">
        <v>1799</v>
      </c>
      <c r="I65" t="s">
        <v>1799</v>
      </c>
      <c r="J65" t="s">
        <v>1799</v>
      </c>
      <c r="K65" t="s">
        <v>1799</v>
      </c>
      <c r="L65" t="s">
        <v>1447</v>
      </c>
      <c r="M65" t="s">
        <v>1799</v>
      </c>
      <c r="N65" t="s">
        <v>1799</v>
      </c>
      <c r="O65" s="184" t="str">
        <f>"["&amp;$C65&amp;"]["&amp;$D65&amp;"]["&amp;$F65&amp;"]"</f>
        <v>[S03_ActivityPermits][14][ActivityPermitsIssued]</v>
      </c>
    </row>
    <row r="66" spans="1:15" x14ac:dyDescent="0.3">
      <c r="A66" t="s">
        <v>1793</v>
      </c>
      <c r="B66" t="s">
        <v>1850</v>
      </c>
      <c r="C66" t="s">
        <v>1853</v>
      </c>
      <c r="D66">
        <v>15</v>
      </c>
      <c r="E66" t="s">
        <v>1447</v>
      </c>
      <c r="F66" t="s">
        <v>1854</v>
      </c>
      <c r="G66" t="s">
        <v>1832</v>
      </c>
      <c r="H66" t="s">
        <v>1799</v>
      </c>
      <c r="I66" t="s">
        <v>1799</v>
      </c>
      <c r="J66" t="s">
        <v>1799</v>
      </c>
      <c r="K66" t="s">
        <v>1799</v>
      </c>
      <c r="L66" t="s">
        <v>1447</v>
      </c>
      <c r="M66" t="s">
        <v>1799</v>
      </c>
      <c r="N66" t="s">
        <v>1799</v>
      </c>
      <c r="O66" s="184" t="str">
        <f>"["&amp;$C66&amp;"]["&amp;$D66&amp;"]["&amp;$F66&amp;"]"</f>
        <v>[S03_ActivityPermits][15][ActivityPermitsIssued]</v>
      </c>
    </row>
    <row r="67" spans="1:15" x14ac:dyDescent="0.3">
      <c r="A67" t="s">
        <v>1793</v>
      </c>
      <c r="B67" t="s">
        <v>1850</v>
      </c>
      <c r="C67" t="s">
        <v>1853</v>
      </c>
      <c r="D67">
        <v>17</v>
      </c>
      <c r="E67" t="s">
        <v>1447</v>
      </c>
      <c r="F67" t="s">
        <v>1854</v>
      </c>
      <c r="G67" t="s">
        <v>1832</v>
      </c>
      <c r="H67" t="s">
        <v>1799</v>
      </c>
      <c r="I67" t="s">
        <v>1799</v>
      </c>
      <c r="J67" t="s">
        <v>1799</v>
      </c>
      <c r="K67" t="s">
        <v>1799</v>
      </c>
      <c r="L67" t="s">
        <v>1447</v>
      </c>
      <c r="M67" t="s">
        <v>1799</v>
      </c>
      <c r="N67" t="s">
        <v>1799</v>
      </c>
      <c r="O67" s="184" t="str">
        <f>"["&amp;$C67&amp;"]["&amp;$D67&amp;"]["&amp;$F67&amp;"]"</f>
        <v>[S03_ActivityPermits][17][ActivityPermitsIssued]</v>
      </c>
    </row>
    <row r="68" spans="1:15" x14ac:dyDescent="0.3">
      <c r="A68" t="s">
        <v>1793</v>
      </c>
      <c r="B68" t="s">
        <v>1850</v>
      </c>
      <c r="C68" t="s">
        <v>1853</v>
      </c>
      <c r="D68">
        <v>18</v>
      </c>
      <c r="E68" t="s">
        <v>1447</v>
      </c>
      <c r="F68" t="s">
        <v>1854</v>
      </c>
      <c r="G68" t="s">
        <v>1832</v>
      </c>
      <c r="H68" t="s">
        <v>1799</v>
      </c>
      <c r="I68" t="s">
        <v>1799</v>
      </c>
      <c r="J68" t="s">
        <v>1799</v>
      </c>
      <c r="K68" t="s">
        <v>1799</v>
      </c>
      <c r="L68" t="s">
        <v>1447</v>
      </c>
      <c r="M68" t="s">
        <v>1799</v>
      </c>
      <c r="N68" t="s">
        <v>1799</v>
      </c>
      <c r="O68" s="184" t="str">
        <f>"["&amp;$C68&amp;"]["&amp;$D68&amp;"]["&amp;$F68&amp;"]"</f>
        <v>[S03_ActivityPermits][18][ActivityPermitsIssued]</v>
      </c>
    </row>
    <row r="69" spans="1:15" x14ac:dyDescent="0.3">
      <c r="A69" t="s">
        <v>1793</v>
      </c>
      <c r="B69" t="s">
        <v>1850</v>
      </c>
      <c r="C69" t="s">
        <v>1853</v>
      </c>
      <c r="D69">
        <v>19</v>
      </c>
      <c r="E69" t="s">
        <v>1447</v>
      </c>
      <c r="F69" t="s">
        <v>1854</v>
      </c>
      <c r="G69" t="s">
        <v>1832</v>
      </c>
      <c r="H69" t="s">
        <v>1799</v>
      </c>
      <c r="I69" t="s">
        <v>1799</v>
      </c>
      <c r="J69" t="s">
        <v>1799</v>
      </c>
      <c r="K69" t="s">
        <v>1799</v>
      </c>
      <c r="L69" t="s">
        <v>1447</v>
      </c>
      <c r="M69" t="s">
        <v>1799</v>
      </c>
      <c r="N69" t="s">
        <v>1799</v>
      </c>
      <c r="O69" s="184" t="str">
        <f>"["&amp;$C69&amp;"]["&amp;$D69&amp;"]["&amp;$F69&amp;"]"</f>
        <v>[S03_ActivityPermits][19][ActivityPermitsIssued]</v>
      </c>
    </row>
    <row r="70" spans="1:15" x14ac:dyDescent="0.3">
      <c r="A70" t="s">
        <v>1793</v>
      </c>
      <c r="B70" t="s">
        <v>1850</v>
      </c>
      <c r="C70" t="s">
        <v>1853</v>
      </c>
      <c r="D70">
        <v>20</v>
      </c>
      <c r="E70" t="s">
        <v>1447</v>
      </c>
      <c r="F70" t="s">
        <v>1854</v>
      </c>
      <c r="G70" t="s">
        <v>1832</v>
      </c>
      <c r="H70" t="s">
        <v>1799</v>
      </c>
      <c r="I70" t="s">
        <v>1799</v>
      </c>
      <c r="J70" t="s">
        <v>1799</v>
      </c>
      <c r="K70" t="s">
        <v>1799</v>
      </c>
      <c r="L70" t="s">
        <v>1447</v>
      </c>
      <c r="M70" t="s">
        <v>1799</v>
      </c>
      <c r="N70" t="s">
        <v>1799</v>
      </c>
      <c r="O70" s="184" t="str">
        <f>"["&amp;$C70&amp;"]["&amp;$D70&amp;"]["&amp;$F70&amp;"]"</f>
        <v>[S03_ActivityPermits][20][ActivityPermitsIssued]</v>
      </c>
    </row>
    <row r="71" spans="1:15" x14ac:dyDescent="0.3">
      <c r="A71" t="s">
        <v>1793</v>
      </c>
      <c r="B71" t="s">
        <v>1850</v>
      </c>
      <c r="C71" t="s">
        <v>1853</v>
      </c>
      <c r="D71">
        <v>21</v>
      </c>
      <c r="E71" t="s">
        <v>1447</v>
      </c>
      <c r="F71" t="s">
        <v>1854</v>
      </c>
      <c r="G71" t="s">
        <v>1832</v>
      </c>
      <c r="H71" t="s">
        <v>1799</v>
      </c>
      <c r="I71" t="s">
        <v>1799</v>
      </c>
      <c r="J71" t="s">
        <v>1799</v>
      </c>
      <c r="K71" t="s">
        <v>1799</v>
      </c>
      <c r="L71" t="s">
        <v>1447</v>
      </c>
      <c r="M71" t="s">
        <v>1799</v>
      </c>
      <c r="N71" t="s">
        <v>1799</v>
      </c>
      <c r="O71" s="184" t="str">
        <f>"["&amp;$C71&amp;"]["&amp;$D71&amp;"]["&amp;$F71&amp;"]"</f>
        <v>[S03_ActivityPermits][21][ActivityPermitsIssued]</v>
      </c>
    </row>
    <row r="72" spans="1:15" x14ac:dyDescent="0.3">
      <c r="A72" t="s">
        <v>1793</v>
      </c>
      <c r="B72" t="s">
        <v>1850</v>
      </c>
      <c r="C72" t="s">
        <v>1853</v>
      </c>
      <c r="D72">
        <v>22</v>
      </c>
      <c r="E72" t="s">
        <v>1447</v>
      </c>
      <c r="F72" t="s">
        <v>1854</v>
      </c>
      <c r="G72" t="s">
        <v>1832</v>
      </c>
      <c r="H72" t="s">
        <v>1799</v>
      </c>
      <c r="I72" t="s">
        <v>1799</v>
      </c>
      <c r="J72" t="s">
        <v>1799</v>
      </c>
      <c r="K72" t="s">
        <v>1799</v>
      </c>
      <c r="L72" t="s">
        <v>1447</v>
      </c>
      <c r="M72" t="s">
        <v>1799</v>
      </c>
      <c r="N72" t="s">
        <v>1799</v>
      </c>
      <c r="O72" s="184" t="str">
        <f>"["&amp;$C72&amp;"]["&amp;$D72&amp;"]["&amp;$F72&amp;"]"</f>
        <v>[S03_ActivityPermits][22][ActivityPermitsIssued]</v>
      </c>
    </row>
    <row r="73" spans="1:15" x14ac:dyDescent="0.3">
      <c r="A73" t="s">
        <v>1793</v>
      </c>
      <c r="B73" t="s">
        <v>1850</v>
      </c>
      <c r="C73" t="s">
        <v>1853</v>
      </c>
      <c r="D73">
        <v>23</v>
      </c>
      <c r="E73" t="s">
        <v>1447</v>
      </c>
      <c r="F73" t="s">
        <v>1854</v>
      </c>
      <c r="G73" t="s">
        <v>1832</v>
      </c>
      <c r="H73" t="s">
        <v>1799</v>
      </c>
      <c r="I73" t="s">
        <v>1799</v>
      </c>
      <c r="J73" t="s">
        <v>1799</v>
      </c>
      <c r="K73" t="s">
        <v>1799</v>
      </c>
      <c r="L73" t="s">
        <v>1447</v>
      </c>
      <c r="M73" t="s">
        <v>1799</v>
      </c>
      <c r="N73" t="s">
        <v>1799</v>
      </c>
      <c r="O73" s="184" t="str">
        <f>"["&amp;$C73&amp;"]["&amp;$D73&amp;"]["&amp;$F73&amp;"]"</f>
        <v>[S03_ActivityPermits][23][ActivityPermitsIssued]</v>
      </c>
    </row>
    <row r="74" spans="1:15" x14ac:dyDescent="0.3">
      <c r="A74" t="s">
        <v>1793</v>
      </c>
      <c r="B74" t="s">
        <v>1850</v>
      </c>
      <c r="C74" t="s">
        <v>1853</v>
      </c>
      <c r="D74">
        <v>24</v>
      </c>
      <c r="E74" t="s">
        <v>1447</v>
      </c>
      <c r="F74" t="s">
        <v>1854</v>
      </c>
      <c r="G74" t="s">
        <v>1832</v>
      </c>
      <c r="H74" t="s">
        <v>1799</v>
      </c>
      <c r="I74" t="s">
        <v>1799</v>
      </c>
      <c r="J74" t="s">
        <v>1799</v>
      </c>
      <c r="K74" t="s">
        <v>1799</v>
      </c>
      <c r="L74" t="s">
        <v>1447</v>
      </c>
      <c r="M74" t="s">
        <v>1799</v>
      </c>
      <c r="N74" t="s">
        <v>1799</v>
      </c>
      <c r="O74" s="184" t="str">
        <f>"["&amp;$C74&amp;"]["&amp;$D74&amp;"]["&amp;$F74&amp;"]"</f>
        <v>[S03_ActivityPermits][24][ActivityPermitsIssued]</v>
      </c>
    </row>
    <row r="75" spans="1:15" x14ac:dyDescent="0.3">
      <c r="A75" t="s">
        <v>1793</v>
      </c>
      <c r="B75" t="s">
        <v>1850</v>
      </c>
      <c r="C75" t="s">
        <v>1853</v>
      </c>
      <c r="D75">
        <v>25</v>
      </c>
      <c r="E75" t="s">
        <v>1447</v>
      </c>
      <c r="F75" t="s">
        <v>1854</v>
      </c>
      <c r="G75" t="s">
        <v>1832</v>
      </c>
      <c r="H75" t="s">
        <v>1799</v>
      </c>
      <c r="I75" t="s">
        <v>1799</v>
      </c>
      <c r="J75" t="s">
        <v>1799</v>
      </c>
      <c r="K75" t="s">
        <v>1799</v>
      </c>
      <c r="L75" t="s">
        <v>1447</v>
      </c>
      <c r="M75" t="s">
        <v>1799</v>
      </c>
      <c r="N75" t="s">
        <v>1799</v>
      </c>
      <c r="O75" s="184" t="str">
        <f>"["&amp;$C75&amp;"]["&amp;$D75&amp;"]["&amp;$F75&amp;"]"</f>
        <v>[S03_ActivityPermits][25][ActivityPermitsIssued]</v>
      </c>
    </row>
    <row r="76" spans="1:15" x14ac:dyDescent="0.3">
      <c r="A76" t="s">
        <v>1793</v>
      </c>
      <c r="B76" t="s">
        <v>1850</v>
      </c>
      <c r="C76" t="s">
        <v>1853</v>
      </c>
      <c r="D76">
        <v>26</v>
      </c>
      <c r="E76" t="s">
        <v>1447</v>
      </c>
      <c r="F76" t="s">
        <v>1854</v>
      </c>
      <c r="G76" t="s">
        <v>1832</v>
      </c>
      <c r="H76" t="s">
        <v>1799</v>
      </c>
      <c r="I76" t="s">
        <v>1799</v>
      </c>
      <c r="J76" t="s">
        <v>1799</v>
      </c>
      <c r="K76" t="s">
        <v>1799</v>
      </c>
      <c r="L76" t="s">
        <v>1447</v>
      </c>
      <c r="M76" t="s">
        <v>1799</v>
      </c>
      <c r="N76" t="s">
        <v>1799</v>
      </c>
      <c r="O76" s="184" t="str">
        <f>"["&amp;$C76&amp;"]["&amp;$D76&amp;"]["&amp;$F76&amp;"]"</f>
        <v>[S03_ActivityPermits][26][ActivityPermitsIssued]</v>
      </c>
    </row>
    <row r="77" spans="1:15" x14ac:dyDescent="0.3">
      <c r="A77" t="s">
        <v>1793</v>
      </c>
      <c r="B77" t="s">
        <v>1850</v>
      </c>
      <c r="C77" t="s">
        <v>1853</v>
      </c>
      <c r="D77">
        <v>27</v>
      </c>
      <c r="E77" t="s">
        <v>1447</v>
      </c>
      <c r="F77" t="s">
        <v>1854</v>
      </c>
      <c r="G77" t="s">
        <v>1832</v>
      </c>
      <c r="H77" t="s">
        <v>1799</v>
      </c>
      <c r="I77" t="s">
        <v>1799</v>
      </c>
      <c r="J77" t="s">
        <v>1799</v>
      </c>
      <c r="K77" t="s">
        <v>1799</v>
      </c>
      <c r="L77" t="s">
        <v>1447</v>
      </c>
      <c r="M77" t="s">
        <v>1799</v>
      </c>
      <c r="N77" t="s">
        <v>1799</v>
      </c>
      <c r="O77" s="184" t="str">
        <f>"["&amp;$C77&amp;"]["&amp;$D77&amp;"]["&amp;$F77&amp;"]"</f>
        <v>[S03_ActivityPermits][27][ActivityPermitsIssued]</v>
      </c>
    </row>
    <row r="78" spans="1:15" x14ac:dyDescent="0.3">
      <c r="A78" t="s">
        <v>1793</v>
      </c>
      <c r="B78" t="s">
        <v>1850</v>
      </c>
      <c r="C78" t="s">
        <v>1853</v>
      </c>
      <c r="D78">
        <v>28</v>
      </c>
      <c r="E78" t="s">
        <v>1447</v>
      </c>
      <c r="F78" t="s">
        <v>1854</v>
      </c>
      <c r="G78" t="s">
        <v>1832</v>
      </c>
      <c r="H78" t="s">
        <v>1799</v>
      </c>
      <c r="I78" t="s">
        <v>1799</v>
      </c>
      <c r="J78" t="s">
        <v>1799</v>
      </c>
      <c r="K78" t="s">
        <v>1799</v>
      </c>
      <c r="L78" t="s">
        <v>1447</v>
      </c>
      <c r="M78" t="s">
        <v>1799</v>
      </c>
      <c r="N78" t="s">
        <v>1799</v>
      </c>
      <c r="O78" s="184" t="str">
        <f>"["&amp;$C78&amp;"]["&amp;$D78&amp;"]["&amp;$F78&amp;"]"</f>
        <v>[S03_ActivityPermits][28][ActivityPermitsIssued]</v>
      </c>
    </row>
    <row r="79" spans="1:15" x14ac:dyDescent="0.3">
      <c r="A79" t="s">
        <v>1793</v>
      </c>
      <c r="B79" t="s">
        <v>1855</v>
      </c>
      <c r="C79" t="s">
        <v>1856</v>
      </c>
      <c r="D79">
        <v>0</v>
      </c>
      <c r="E79" t="s">
        <v>1447</v>
      </c>
      <c r="F79" t="s">
        <v>1856</v>
      </c>
      <c r="G79" t="s">
        <v>1832</v>
      </c>
      <c r="H79" t="s">
        <v>1799</v>
      </c>
      <c r="I79" t="s">
        <v>1799</v>
      </c>
      <c r="J79" t="s">
        <v>1799</v>
      </c>
      <c r="K79" t="s">
        <v>1799</v>
      </c>
      <c r="L79" t="s">
        <v>1447</v>
      </c>
      <c r="M79" t="s">
        <v>1799</v>
      </c>
      <c r="N79" t="s">
        <v>1799</v>
      </c>
      <c r="O79" s="184" t="str">
        <f>"["&amp;$C79&amp;"]["&amp;$D79&amp;"]["&amp;$F79&amp;"]"</f>
        <v>[InstallationsExcludedArt27][0][InstallationsExcludedArt27]</v>
      </c>
    </row>
    <row r="80" spans="1:15" x14ac:dyDescent="0.3">
      <c r="A80" t="s">
        <v>1793</v>
      </c>
      <c r="B80" t="s">
        <v>1855</v>
      </c>
      <c r="C80" t="s">
        <v>1857</v>
      </c>
      <c r="D80">
        <v>0</v>
      </c>
      <c r="E80" t="s">
        <v>1447</v>
      </c>
      <c r="F80" t="s">
        <v>1858</v>
      </c>
      <c r="G80" t="s">
        <v>1811</v>
      </c>
      <c r="H80" t="s">
        <v>1799</v>
      </c>
      <c r="I80">
        <v>2</v>
      </c>
      <c r="J80" t="s">
        <v>1799</v>
      </c>
      <c r="K80" t="s">
        <v>1799</v>
      </c>
      <c r="L80" t="s">
        <v>1799</v>
      </c>
      <c r="M80" t="s">
        <v>1799</v>
      </c>
      <c r="N80" t="s">
        <v>1799</v>
      </c>
      <c r="O80" s="184" t="str">
        <f>"["&amp;$C80&amp;"]["&amp;$D80&amp;"]["&amp;$F80&amp;"]"</f>
        <v>[S03_InstallationsExcludedClosed][0][ClosedArt27]</v>
      </c>
    </row>
    <row r="81" spans="1:15" x14ac:dyDescent="0.3">
      <c r="A81" t="s">
        <v>1793</v>
      </c>
      <c r="B81" t="s">
        <v>1855</v>
      </c>
      <c r="C81" t="s">
        <v>1857</v>
      </c>
      <c r="D81">
        <v>0</v>
      </c>
      <c r="E81" t="s">
        <v>1447</v>
      </c>
      <c r="F81" t="s">
        <v>1859</v>
      </c>
      <c r="G81" t="s">
        <v>1811</v>
      </c>
      <c r="H81" t="s">
        <v>1799</v>
      </c>
      <c r="I81">
        <v>2</v>
      </c>
      <c r="J81" t="s">
        <v>1799</v>
      </c>
      <c r="K81" t="s">
        <v>1799</v>
      </c>
      <c r="L81" t="s">
        <v>1799</v>
      </c>
      <c r="M81" t="s">
        <v>1799</v>
      </c>
      <c r="N81" t="s">
        <v>1799</v>
      </c>
      <c r="O81" s="184" t="str">
        <f>"["&amp;$C81&amp;"]["&amp;$D81&amp;"]["&amp;$F81&amp;"]"</f>
        <v>[S03_InstallationsExcludedClosed][0][ClosedArt27a]</v>
      </c>
    </row>
    <row r="82" spans="1:15" x14ac:dyDescent="0.3">
      <c r="A82" t="s">
        <v>1793</v>
      </c>
      <c r="B82" t="s">
        <v>1860</v>
      </c>
      <c r="C82" t="s">
        <v>1861</v>
      </c>
      <c r="D82">
        <v>1</v>
      </c>
      <c r="E82" t="s">
        <v>1447</v>
      </c>
      <c r="F82" t="s">
        <v>1862</v>
      </c>
      <c r="G82" t="s">
        <v>1811</v>
      </c>
      <c r="H82" t="s">
        <v>1799</v>
      </c>
      <c r="I82">
        <v>0</v>
      </c>
      <c r="J82" t="s">
        <v>1799</v>
      </c>
      <c r="K82" t="s">
        <v>1799</v>
      </c>
      <c r="L82" t="s">
        <v>1799</v>
      </c>
      <c r="M82" t="s">
        <v>1799</v>
      </c>
      <c r="N82" t="s">
        <v>1799</v>
      </c>
      <c r="O82" s="184" t="str">
        <f>"["&amp;$C82&amp;"]["&amp;$D82&amp;"]["&amp;$F82&amp;"]"</f>
        <v>[S03_AircraftAnnex1Activities][1][NumberCommercialOperators]</v>
      </c>
    </row>
    <row r="83" spans="1:15" x14ac:dyDescent="0.3">
      <c r="A83" t="s">
        <v>1793</v>
      </c>
      <c r="B83" t="s">
        <v>1860</v>
      </c>
      <c r="C83" t="s">
        <v>1861</v>
      </c>
      <c r="D83">
        <v>2</v>
      </c>
      <c r="E83" t="s">
        <v>1447</v>
      </c>
      <c r="F83" t="s">
        <v>1862</v>
      </c>
      <c r="G83" t="s">
        <v>1811</v>
      </c>
      <c r="H83" t="s">
        <v>1799</v>
      </c>
      <c r="I83">
        <v>0</v>
      </c>
      <c r="J83" t="s">
        <v>1799</v>
      </c>
      <c r="K83" t="s">
        <v>1799</v>
      </c>
      <c r="L83" t="s">
        <v>1799</v>
      </c>
      <c r="M83" t="s">
        <v>1799</v>
      </c>
      <c r="N83" t="s">
        <v>1799</v>
      </c>
      <c r="O83" s="184" t="str">
        <f>"["&amp;$C83&amp;"]["&amp;$D83&amp;"]["&amp;$F83&amp;"]"</f>
        <v>[S03_AircraftAnnex1Activities][2][NumberCommercialOperators]</v>
      </c>
    </row>
    <row r="84" spans="1:15" x14ac:dyDescent="0.3">
      <c r="A84" t="s">
        <v>1793</v>
      </c>
      <c r="B84" t="s">
        <v>1860</v>
      </c>
      <c r="C84" t="s">
        <v>1861</v>
      </c>
      <c r="D84">
        <v>3</v>
      </c>
      <c r="E84" t="s">
        <v>1447</v>
      </c>
      <c r="F84" t="s">
        <v>1862</v>
      </c>
      <c r="G84" t="s">
        <v>1811</v>
      </c>
      <c r="H84" t="s">
        <v>1799</v>
      </c>
      <c r="I84">
        <v>0</v>
      </c>
      <c r="J84" t="s">
        <v>1799</v>
      </c>
      <c r="K84" t="s">
        <v>1799</v>
      </c>
      <c r="L84" t="s">
        <v>1799</v>
      </c>
      <c r="M84" t="s">
        <v>1799</v>
      </c>
      <c r="N84" t="s">
        <v>1799</v>
      </c>
      <c r="O84" s="184" t="str">
        <f>"["&amp;$C84&amp;"]["&amp;$D84&amp;"]["&amp;$F84&amp;"]"</f>
        <v>[S03_AircraftAnnex1Activities][3][NumberCommercialOperators]</v>
      </c>
    </row>
    <row r="85" spans="1:15" x14ac:dyDescent="0.3">
      <c r="A85" t="s">
        <v>1793</v>
      </c>
      <c r="B85" t="s">
        <v>1863</v>
      </c>
      <c r="C85" t="s">
        <v>1864</v>
      </c>
      <c r="D85">
        <v>1</v>
      </c>
      <c r="E85" t="s">
        <v>1447</v>
      </c>
      <c r="F85" t="s">
        <v>1865</v>
      </c>
      <c r="G85" t="s">
        <v>1737</v>
      </c>
      <c r="H85" t="s">
        <v>1799</v>
      </c>
      <c r="I85" t="s">
        <v>1799</v>
      </c>
      <c r="J85" t="s">
        <v>1799</v>
      </c>
      <c r="K85" t="s">
        <v>1799</v>
      </c>
      <c r="L85" t="s">
        <v>1447</v>
      </c>
      <c r="M85" t="s">
        <v>1799</v>
      </c>
      <c r="N85" t="s">
        <v>1799</v>
      </c>
      <c r="O85" s="184" t="str">
        <f>"["&amp;$C85&amp;"]["&amp;$D85&amp;"]["&amp;$F85&amp;"]"</f>
        <v>[S04_IEDProcedureRequirementsIntegratedYes][1][IntegrationYesNo]</v>
      </c>
    </row>
    <row r="86" spans="1:15" x14ac:dyDescent="0.3">
      <c r="A86" t="s">
        <v>1793</v>
      </c>
      <c r="B86" t="s">
        <v>1863</v>
      </c>
      <c r="C86" t="s">
        <v>1864</v>
      </c>
      <c r="D86">
        <v>2</v>
      </c>
      <c r="E86" t="s">
        <v>1447</v>
      </c>
      <c r="F86" t="s">
        <v>1865</v>
      </c>
      <c r="G86" t="s">
        <v>1737</v>
      </c>
      <c r="H86" t="s">
        <v>1799</v>
      </c>
      <c r="I86" t="s">
        <v>1799</v>
      </c>
      <c r="J86" t="s">
        <v>1799</v>
      </c>
      <c r="K86" t="s">
        <v>1799</v>
      </c>
      <c r="L86" t="s">
        <v>1419</v>
      </c>
      <c r="M86" t="s">
        <v>1799</v>
      </c>
      <c r="N86" t="s">
        <v>1799</v>
      </c>
      <c r="O86" s="184" t="str">
        <f>"["&amp;$C86&amp;"]["&amp;$D86&amp;"]["&amp;$F86&amp;"]"</f>
        <v>[S04_IEDProcedureRequirementsIntegratedYes][2][IntegrationYesNo]</v>
      </c>
    </row>
    <row r="87" spans="1:15" x14ac:dyDescent="0.3">
      <c r="A87" t="s">
        <v>1793</v>
      </c>
      <c r="B87" t="s">
        <v>1863</v>
      </c>
      <c r="C87" t="s">
        <v>1864</v>
      </c>
      <c r="D87">
        <v>3</v>
      </c>
      <c r="E87" t="s">
        <v>1447</v>
      </c>
      <c r="F87" t="s">
        <v>1865</v>
      </c>
      <c r="G87" t="s">
        <v>1737</v>
      </c>
      <c r="H87" t="s">
        <v>1799</v>
      </c>
      <c r="I87" t="s">
        <v>1799</v>
      </c>
      <c r="J87" t="s">
        <v>1799</v>
      </c>
      <c r="K87" t="s">
        <v>1799</v>
      </c>
      <c r="L87" t="s">
        <v>1419</v>
      </c>
      <c r="M87" t="s">
        <v>1799</v>
      </c>
      <c r="N87" t="s">
        <v>1799</v>
      </c>
      <c r="O87" s="184" t="str">
        <f>"["&amp;$C87&amp;"]["&amp;$D87&amp;"]["&amp;$F87&amp;"]"</f>
        <v>[S04_IEDProcedureRequirementsIntegratedYes][3][IntegrationYesNo]</v>
      </c>
    </row>
    <row r="88" spans="1:15" x14ac:dyDescent="0.3">
      <c r="A88" t="s">
        <v>1793</v>
      </c>
      <c r="B88" t="s">
        <v>1863</v>
      </c>
      <c r="C88" t="s">
        <v>1864</v>
      </c>
      <c r="D88">
        <v>4</v>
      </c>
      <c r="E88" t="s">
        <v>1447</v>
      </c>
      <c r="F88" t="s">
        <v>1865</v>
      </c>
      <c r="G88" t="s">
        <v>1737</v>
      </c>
      <c r="H88" t="s">
        <v>1799</v>
      </c>
      <c r="I88" t="s">
        <v>1799</v>
      </c>
      <c r="J88" t="s">
        <v>1799</v>
      </c>
      <c r="K88" t="s">
        <v>1799</v>
      </c>
      <c r="L88" t="s">
        <v>1419</v>
      </c>
      <c r="M88" t="s">
        <v>1799</v>
      </c>
      <c r="N88" t="s">
        <v>1799</v>
      </c>
      <c r="O88" s="184" t="str">
        <f>"["&amp;$C88&amp;"]["&amp;$D88&amp;"]["&amp;$F88&amp;"]"</f>
        <v>[S04_IEDProcedureRequirementsIntegratedYes][4][IntegrationYesNo]</v>
      </c>
    </row>
    <row r="89" spans="1:15" x14ac:dyDescent="0.3">
      <c r="A89" t="s">
        <v>1793</v>
      </c>
      <c r="B89" t="s">
        <v>1863</v>
      </c>
      <c r="C89" t="s">
        <v>1864</v>
      </c>
      <c r="D89">
        <v>5</v>
      </c>
      <c r="E89" t="s">
        <v>1447</v>
      </c>
      <c r="F89" t="s">
        <v>1865</v>
      </c>
      <c r="G89" t="s">
        <v>1737</v>
      </c>
      <c r="H89" t="s">
        <v>1799</v>
      </c>
      <c r="I89" t="s">
        <v>1799</v>
      </c>
      <c r="J89" t="s">
        <v>1799</v>
      </c>
      <c r="K89" t="s">
        <v>1799</v>
      </c>
      <c r="L89" t="s">
        <v>1447</v>
      </c>
      <c r="M89" t="s">
        <v>1799</v>
      </c>
      <c r="N89" t="s">
        <v>1799</v>
      </c>
      <c r="O89" s="184" t="str">
        <f>"["&amp;$C89&amp;"]["&amp;$D89&amp;"]["&amp;$F89&amp;"]"</f>
        <v>[S04_IEDProcedureRequirementsIntegratedYes][5][IntegrationYesNo]</v>
      </c>
    </row>
    <row r="90" spans="1:15" x14ac:dyDescent="0.3">
      <c r="A90" t="s">
        <v>1793</v>
      </c>
      <c r="B90" t="s">
        <v>1863</v>
      </c>
      <c r="C90" t="s">
        <v>1864</v>
      </c>
      <c r="D90">
        <v>6</v>
      </c>
      <c r="E90" t="s">
        <v>1447</v>
      </c>
      <c r="F90" t="s">
        <v>1865</v>
      </c>
      <c r="G90" t="s">
        <v>1737</v>
      </c>
      <c r="H90" t="s">
        <v>1799</v>
      </c>
      <c r="I90" t="s">
        <v>1799</v>
      </c>
      <c r="J90" t="s">
        <v>1799</v>
      </c>
      <c r="K90" t="s">
        <v>1799</v>
      </c>
      <c r="L90" t="s">
        <v>1447</v>
      </c>
      <c r="M90" t="s">
        <v>1799</v>
      </c>
      <c r="N90" t="s">
        <v>1799</v>
      </c>
      <c r="O90" s="184" t="str">
        <f>"["&amp;$C90&amp;"]["&amp;$D90&amp;"]["&amp;$F90&amp;"]"</f>
        <v>[S04_IEDProcedureRequirementsIntegratedYes][6][IntegrationYesNo]</v>
      </c>
    </row>
    <row r="91" spans="1:15" x14ac:dyDescent="0.3">
      <c r="A91" t="s">
        <v>1793</v>
      </c>
      <c r="B91" t="s">
        <v>1863</v>
      </c>
      <c r="C91" t="s">
        <v>1864</v>
      </c>
      <c r="D91">
        <v>7</v>
      </c>
      <c r="E91" t="s">
        <v>1447</v>
      </c>
      <c r="F91" t="s">
        <v>1865</v>
      </c>
      <c r="G91" t="s">
        <v>1737</v>
      </c>
      <c r="H91" t="s">
        <v>1799</v>
      </c>
      <c r="I91" t="s">
        <v>1799</v>
      </c>
      <c r="J91" t="s">
        <v>1799</v>
      </c>
      <c r="K91" t="s">
        <v>1799</v>
      </c>
      <c r="L91" t="s">
        <v>1447</v>
      </c>
      <c r="M91" t="s">
        <v>1799</v>
      </c>
      <c r="N91" t="s">
        <v>1799</v>
      </c>
      <c r="O91" s="184" t="str">
        <f>"["&amp;$C91&amp;"]["&amp;$D91&amp;"]["&amp;$F91&amp;"]"</f>
        <v>[S04_IEDProcedureRequirementsIntegratedYes][7][IntegrationYesNo]</v>
      </c>
    </row>
    <row r="92" spans="1:15" x14ac:dyDescent="0.3">
      <c r="A92" t="s">
        <v>1793</v>
      </c>
      <c r="B92" t="s">
        <v>1863</v>
      </c>
      <c r="C92" t="s">
        <v>1864</v>
      </c>
      <c r="D92">
        <v>8</v>
      </c>
      <c r="E92" t="s">
        <v>1447</v>
      </c>
      <c r="F92" t="s">
        <v>1865</v>
      </c>
      <c r="G92" t="s">
        <v>1737</v>
      </c>
      <c r="H92" t="s">
        <v>1799</v>
      </c>
      <c r="I92" t="s">
        <v>1799</v>
      </c>
      <c r="J92" t="s">
        <v>1799</v>
      </c>
      <c r="K92" t="s">
        <v>1799</v>
      </c>
      <c r="L92" t="s">
        <v>1447</v>
      </c>
      <c r="M92" t="s">
        <v>1799</v>
      </c>
      <c r="N92" t="s">
        <v>1799</v>
      </c>
      <c r="O92" s="184" t="str">
        <f>"["&amp;$C92&amp;"]["&amp;$D92&amp;"]["&amp;$F92&amp;"]"</f>
        <v>[S04_IEDProcedureRequirementsIntegratedYes][8][IntegrationYesNo]</v>
      </c>
    </row>
    <row r="93" spans="1:15" x14ac:dyDescent="0.3">
      <c r="A93" t="s">
        <v>1793</v>
      </c>
      <c r="B93" t="s">
        <v>1866</v>
      </c>
      <c r="C93" t="s">
        <v>1867</v>
      </c>
      <c r="D93">
        <v>1</v>
      </c>
      <c r="E93" t="s">
        <v>1447</v>
      </c>
      <c r="F93" t="s">
        <v>1868</v>
      </c>
      <c r="G93" t="s">
        <v>1797</v>
      </c>
      <c r="H93" t="s">
        <v>1869</v>
      </c>
      <c r="I93" t="s">
        <v>1799</v>
      </c>
      <c r="J93" t="s">
        <v>1799</v>
      </c>
      <c r="K93" t="s">
        <v>1799</v>
      </c>
      <c r="L93" t="s">
        <v>1799</v>
      </c>
      <c r="M93" t="s">
        <v>1799</v>
      </c>
      <c r="N93" t="s">
        <v>1799</v>
      </c>
      <c r="O93" s="184" t="str">
        <f>"["&amp;$C93&amp;"]["&amp;$D93&amp;"]["&amp;$F93&amp;"]"</f>
        <v>[S04_NationalLawPermitUpdate][1][PermitUpdateNationalLawDetail]</v>
      </c>
    </row>
    <row r="94" spans="1:15" x14ac:dyDescent="0.3">
      <c r="A94" t="s">
        <v>1793</v>
      </c>
      <c r="B94" t="s">
        <v>1866</v>
      </c>
      <c r="C94" t="s">
        <v>1867</v>
      </c>
      <c r="D94">
        <v>2</v>
      </c>
      <c r="E94" t="s">
        <v>1447</v>
      </c>
      <c r="F94" t="s">
        <v>1868</v>
      </c>
      <c r="G94" t="s">
        <v>1797</v>
      </c>
      <c r="H94" t="s">
        <v>1870</v>
      </c>
      <c r="I94" t="s">
        <v>1799</v>
      </c>
      <c r="J94" t="s">
        <v>1799</v>
      </c>
      <c r="K94" t="s">
        <v>1799</v>
      </c>
      <c r="L94" t="s">
        <v>1799</v>
      </c>
      <c r="M94" t="s">
        <v>1799</v>
      </c>
      <c r="N94" t="s">
        <v>1799</v>
      </c>
      <c r="O94" s="184" t="str">
        <f>"["&amp;$C94&amp;"]["&amp;$D94&amp;"]["&amp;$F94&amp;"]"</f>
        <v>[S04_NationalLawPermitUpdate][2][PermitUpdateNationalLawDetail]</v>
      </c>
    </row>
    <row r="95" spans="1:15" x14ac:dyDescent="0.3">
      <c r="A95" t="s">
        <v>1793</v>
      </c>
      <c r="B95" t="s">
        <v>1866</v>
      </c>
      <c r="C95" t="s">
        <v>1867</v>
      </c>
      <c r="D95">
        <v>3</v>
      </c>
      <c r="E95" t="s">
        <v>1447</v>
      </c>
      <c r="F95" t="s">
        <v>1868</v>
      </c>
      <c r="G95" t="s">
        <v>1797</v>
      </c>
      <c r="H95" t="s">
        <v>1871</v>
      </c>
      <c r="I95" t="s">
        <v>1799</v>
      </c>
      <c r="J95" t="s">
        <v>1799</v>
      </c>
      <c r="K95" t="s">
        <v>1799</v>
      </c>
      <c r="L95" t="s">
        <v>1799</v>
      </c>
      <c r="M95" t="s">
        <v>1799</v>
      </c>
      <c r="N95" t="s">
        <v>1799</v>
      </c>
      <c r="O95" s="184" t="str">
        <f>"["&amp;$C95&amp;"]["&amp;$D95&amp;"]["&amp;$F95&amp;"]"</f>
        <v>[S04_NationalLawPermitUpdate][3][PermitUpdateNationalLawDetail]</v>
      </c>
    </row>
    <row r="96" spans="1:15" x14ac:dyDescent="0.3">
      <c r="A96" t="s">
        <v>1793</v>
      </c>
      <c r="B96" t="s">
        <v>1866</v>
      </c>
      <c r="C96" t="s">
        <v>1867</v>
      </c>
      <c r="D96">
        <v>4</v>
      </c>
      <c r="E96" t="s">
        <v>1447</v>
      </c>
      <c r="F96" t="s">
        <v>1868</v>
      </c>
      <c r="G96" t="s">
        <v>1797</v>
      </c>
      <c r="H96" t="s">
        <v>1872</v>
      </c>
      <c r="I96" t="s">
        <v>1799</v>
      </c>
      <c r="J96" t="s">
        <v>1799</v>
      </c>
      <c r="K96" t="s">
        <v>1799</v>
      </c>
      <c r="L96" t="s">
        <v>1799</v>
      </c>
      <c r="M96" t="s">
        <v>1799</v>
      </c>
      <c r="N96" t="s">
        <v>1799</v>
      </c>
      <c r="O96" s="184" t="str">
        <f>"["&amp;$C96&amp;"]["&amp;$D96&amp;"]["&amp;$F96&amp;"]"</f>
        <v>[S04_NationalLawPermitUpdate][4][PermitUpdateNationalLawDetail]</v>
      </c>
    </row>
    <row r="97" spans="1:15" x14ac:dyDescent="0.3">
      <c r="A97" t="s">
        <v>1793</v>
      </c>
      <c r="B97" t="s">
        <v>1866</v>
      </c>
      <c r="C97" t="s">
        <v>1867</v>
      </c>
      <c r="D97">
        <v>5</v>
      </c>
      <c r="E97" t="s">
        <v>1447</v>
      </c>
      <c r="F97" t="s">
        <v>1868</v>
      </c>
      <c r="G97" t="s">
        <v>1797</v>
      </c>
      <c r="H97" t="s">
        <v>1873</v>
      </c>
      <c r="I97" t="s">
        <v>1799</v>
      </c>
      <c r="J97" t="s">
        <v>1799</v>
      </c>
      <c r="K97" t="s">
        <v>1799</v>
      </c>
      <c r="L97" t="s">
        <v>1799</v>
      </c>
      <c r="M97" t="s">
        <v>1799</v>
      </c>
      <c r="N97" t="s">
        <v>1799</v>
      </c>
      <c r="O97" s="184" t="str">
        <f>"["&amp;$C97&amp;"]["&amp;$D97&amp;"]["&amp;$F97&amp;"]"</f>
        <v>[S04_NationalLawPermitUpdate][5][PermitUpdateNationalLawDetail]</v>
      </c>
    </row>
    <row r="98" spans="1:15" x14ac:dyDescent="0.3">
      <c r="A98" t="s">
        <v>1793</v>
      </c>
      <c r="B98" t="s">
        <v>1866</v>
      </c>
      <c r="C98" t="s">
        <v>1874</v>
      </c>
      <c r="D98">
        <v>0</v>
      </c>
      <c r="E98" t="s">
        <v>1447</v>
      </c>
      <c r="F98" t="s">
        <v>1874</v>
      </c>
      <c r="G98" t="s">
        <v>1811</v>
      </c>
      <c r="H98" t="s">
        <v>1799</v>
      </c>
      <c r="I98">
        <v>0</v>
      </c>
      <c r="J98" t="s">
        <v>1799</v>
      </c>
      <c r="K98" t="s">
        <v>1799</v>
      </c>
      <c r="L98" t="s">
        <v>1799</v>
      </c>
      <c r="M98" t="s">
        <v>1799</v>
      </c>
      <c r="N98" t="s">
        <v>1799</v>
      </c>
      <c r="O98" s="184" t="str">
        <f>"["&amp;$C98&amp;"]["&amp;$D98&amp;"]["&amp;$F98&amp;"]"</f>
        <v>[PermitUpdateTotalNumber][0][PermitUpdateTotalNumber]</v>
      </c>
    </row>
    <row r="99" spans="1:15" x14ac:dyDescent="0.3">
      <c r="A99" t="s">
        <v>1793</v>
      </c>
      <c r="B99" t="s">
        <v>1875</v>
      </c>
      <c r="C99" t="s">
        <v>1876</v>
      </c>
      <c r="D99">
        <v>0</v>
      </c>
      <c r="E99" t="s">
        <v>1447</v>
      </c>
      <c r="F99" t="s">
        <v>1876</v>
      </c>
      <c r="G99" t="s">
        <v>1832</v>
      </c>
      <c r="H99" t="s">
        <v>1799</v>
      </c>
      <c r="I99" t="s">
        <v>1799</v>
      </c>
      <c r="J99" t="s">
        <v>1799</v>
      </c>
      <c r="K99" t="s">
        <v>1799</v>
      </c>
      <c r="L99" t="s">
        <v>1447</v>
      </c>
      <c r="M99" t="s">
        <v>1799</v>
      </c>
      <c r="N99" t="s">
        <v>1799</v>
      </c>
      <c r="O99" s="184" t="str">
        <f>"["&amp;$C99&amp;"]["&amp;$D99&amp;"]["&amp;$F99&amp;"]"</f>
        <v>[AdditionalNationalLegislation][0][AdditionalNationalLegislation]</v>
      </c>
    </row>
    <row r="100" spans="1:15" x14ac:dyDescent="0.3">
      <c r="A100" t="s">
        <v>1793</v>
      </c>
      <c r="B100" t="s">
        <v>1875</v>
      </c>
      <c r="C100" t="s">
        <v>1877</v>
      </c>
      <c r="D100">
        <v>0</v>
      </c>
      <c r="E100" t="s">
        <v>1447</v>
      </c>
      <c r="F100" t="s">
        <v>1877</v>
      </c>
      <c r="G100" t="s">
        <v>1832</v>
      </c>
      <c r="H100" t="s">
        <v>1799</v>
      </c>
      <c r="I100" t="s">
        <v>1799</v>
      </c>
      <c r="J100" t="s">
        <v>1799</v>
      </c>
      <c r="K100" t="s">
        <v>1799</v>
      </c>
      <c r="L100" t="s">
        <v>1447</v>
      </c>
      <c r="M100" t="s">
        <v>1799</v>
      </c>
      <c r="N100" t="s">
        <v>1799</v>
      </c>
      <c r="O100" s="184" t="str">
        <f>"["&amp;$C100&amp;"]["&amp;$D100&amp;"]["&amp;$F100&amp;"]"</f>
        <v>[AdditionalNationalGuidance][0][AdditionalNationalGuidance]</v>
      </c>
    </row>
    <row r="101" spans="1:15" x14ac:dyDescent="0.3">
      <c r="A101" t="s">
        <v>1793</v>
      </c>
      <c r="B101" t="s">
        <v>1878</v>
      </c>
      <c r="C101" t="s">
        <v>1879</v>
      </c>
      <c r="D101">
        <v>1</v>
      </c>
      <c r="E101" t="s">
        <v>1447</v>
      </c>
      <c r="F101" t="s">
        <v>1880</v>
      </c>
      <c r="G101" t="s">
        <v>1832</v>
      </c>
      <c r="H101" t="s">
        <v>1799</v>
      </c>
      <c r="I101" t="s">
        <v>1799</v>
      </c>
      <c r="J101" t="s">
        <v>1799</v>
      </c>
      <c r="K101" t="s">
        <v>1799</v>
      </c>
      <c r="L101" t="s">
        <v>1447</v>
      </c>
      <c r="M101" t="s">
        <v>1799</v>
      </c>
      <c r="N101" t="s">
        <v>1799</v>
      </c>
      <c r="O101" s="184" t="str">
        <f>"["&amp;$C101&amp;"]["&amp;$D101&amp;"]["&amp;$F101&amp;"]"</f>
        <v>[MeasuresStreamline][1][MeasuresStreamlineYesNo]</v>
      </c>
    </row>
    <row r="102" spans="1:15" x14ac:dyDescent="0.3">
      <c r="A102" t="s">
        <v>1793</v>
      </c>
      <c r="B102" t="s">
        <v>1878</v>
      </c>
      <c r="C102" t="s">
        <v>1879</v>
      </c>
      <c r="D102">
        <v>2</v>
      </c>
      <c r="E102" t="s">
        <v>1447</v>
      </c>
      <c r="F102" t="s">
        <v>1880</v>
      </c>
      <c r="G102" t="s">
        <v>1832</v>
      </c>
      <c r="H102" t="s">
        <v>1799</v>
      </c>
      <c r="I102" t="s">
        <v>1799</v>
      </c>
      <c r="J102" t="s">
        <v>1799</v>
      </c>
      <c r="K102" t="s">
        <v>1799</v>
      </c>
      <c r="L102" t="s">
        <v>1447</v>
      </c>
      <c r="M102" t="s">
        <v>1799</v>
      </c>
      <c r="N102" t="s">
        <v>1799</v>
      </c>
      <c r="O102" s="184" t="str">
        <f>"["&amp;$C102&amp;"]["&amp;$D102&amp;"]["&amp;$F102&amp;"]"</f>
        <v>[MeasuresStreamline][2][MeasuresStreamlineYesNo]</v>
      </c>
    </row>
    <row r="103" spans="1:15" x14ac:dyDescent="0.3">
      <c r="A103" t="s">
        <v>1793</v>
      </c>
      <c r="B103" t="s">
        <v>1878</v>
      </c>
      <c r="C103" t="s">
        <v>1879</v>
      </c>
      <c r="D103">
        <v>3</v>
      </c>
      <c r="E103" t="s">
        <v>1447</v>
      </c>
      <c r="F103" t="s">
        <v>1880</v>
      </c>
      <c r="G103" t="s">
        <v>1832</v>
      </c>
      <c r="H103" t="s">
        <v>1799</v>
      </c>
      <c r="I103" t="s">
        <v>1799</v>
      </c>
      <c r="J103" t="s">
        <v>1799</v>
      </c>
      <c r="K103" t="s">
        <v>1799</v>
      </c>
      <c r="L103" t="s">
        <v>1447</v>
      </c>
      <c r="M103" t="s">
        <v>1799</v>
      </c>
      <c r="N103" t="s">
        <v>1799</v>
      </c>
      <c r="O103" s="184" t="str">
        <f>"["&amp;$C103&amp;"]["&amp;$D103&amp;"]["&amp;$F103&amp;"]"</f>
        <v>[MeasuresStreamline][3][MeasuresStreamlineYesNo]</v>
      </c>
    </row>
    <row r="104" spans="1:15" x14ac:dyDescent="0.3">
      <c r="A104" t="s">
        <v>1793</v>
      </c>
      <c r="B104" t="s">
        <v>1878</v>
      </c>
      <c r="C104" t="s">
        <v>1879</v>
      </c>
      <c r="D104">
        <v>4</v>
      </c>
      <c r="E104" t="s">
        <v>1447</v>
      </c>
      <c r="F104" t="s">
        <v>1880</v>
      </c>
      <c r="G104" t="s">
        <v>1832</v>
      </c>
      <c r="H104" t="s">
        <v>1799</v>
      </c>
      <c r="I104" t="s">
        <v>1799</v>
      </c>
      <c r="J104" t="s">
        <v>1799</v>
      </c>
      <c r="K104" t="s">
        <v>1799</v>
      </c>
      <c r="L104" t="s">
        <v>1447</v>
      </c>
      <c r="M104" t="s">
        <v>1799</v>
      </c>
      <c r="N104" t="s">
        <v>1799</v>
      </c>
      <c r="O104" s="184" t="str">
        <f>"["&amp;$C104&amp;"]["&amp;$D104&amp;"]["&amp;$F104&amp;"]"</f>
        <v>[MeasuresStreamline][4][MeasuresStreamlineYesNo]</v>
      </c>
    </row>
    <row r="105" spans="1:15" x14ac:dyDescent="0.3">
      <c r="A105" t="s">
        <v>1793</v>
      </c>
      <c r="B105" t="s">
        <v>1878</v>
      </c>
      <c r="C105" t="s">
        <v>1879</v>
      </c>
      <c r="D105">
        <v>5</v>
      </c>
      <c r="E105" t="s">
        <v>1447</v>
      </c>
      <c r="F105" t="s">
        <v>1880</v>
      </c>
      <c r="G105" t="s">
        <v>1832</v>
      </c>
      <c r="H105" t="s">
        <v>1799</v>
      </c>
      <c r="I105" t="s">
        <v>1799</v>
      </c>
      <c r="J105" t="s">
        <v>1799</v>
      </c>
      <c r="K105" t="s">
        <v>1799</v>
      </c>
      <c r="L105" t="s">
        <v>1447</v>
      </c>
      <c r="M105" t="s">
        <v>1799</v>
      </c>
      <c r="N105" t="s">
        <v>1799</v>
      </c>
      <c r="O105" s="184" t="str">
        <f>"["&amp;$C105&amp;"]["&amp;$D105&amp;"]["&amp;$F105&amp;"]"</f>
        <v>[MeasuresStreamline][5][MeasuresStreamlineYesNo]</v>
      </c>
    </row>
    <row r="106" spans="1:15" x14ac:dyDescent="0.3">
      <c r="A106" t="s">
        <v>1793</v>
      </c>
      <c r="B106" t="s">
        <v>1878</v>
      </c>
      <c r="C106" t="s">
        <v>1879</v>
      </c>
      <c r="D106">
        <v>6</v>
      </c>
      <c r="E106" t="s">
        <v>1447</v>
      </c>
      <c r="F106" t="s">
        <v>1880</v>
      </c>
      <c r="G106" t="s">
        <v>1832</v>
      </c>
      <c r="H106" t="s">
        <v>1799</v>
      </c>
      <c r="I106" t="s">
        <v>1799</v>
      </c>
      <c r="J106" t="s">
        <v>1799</v>
      </c>
      <c r="K106" t="s">
        <v>1799</v>
      </c>
      <c r="L106" t="s">
        <v>1447</v>
      </c>
      <c r="M106" t="s">
        <v>1799</v>
      </c>
      <c r="N106" t="s">
        <v>1799</v>
      </c>
      <c r="O106" s="184" t="str">
        <f>"["&amp;$C106&amp;"]["&amp;$D106&amp;"]["&amp;$F106&amp;"]"</f>
        <v>[MeasuresStreamline][6][MeasuresStreamlineYesNo]</v>
      </c>
    </row>
    <row r="107" spans="1:15" x14ac:dyDescent="0.3">
      <c r="A107" t="s">
        <v>1793</v>
      </c>
      <c r="B107" t="s">
        <v>1878</v>
      </c>
      <c r="C107" t="s">
        <v>1879</v>
      </c>
      <c r="D107">
        <v>7</v>
      </c>
      <c r="E107" t="s">
        <v>1447</v>
      </c>
      <c r="F107" t="s">
        <v>1880</v>
      </c>
      <c r="G107" t="s">
        <v>1832</v>
      </c>
      <c r="H107" t="s">
        <v>1799</v>
      </c>
      <c r="I107" t="s">
        <v>1799</v>
      </c>
      <c r="J107" t="s">
        <v>1799</v>
      </c>
      <c r="K107" t="s">
        <v>1799</v>
      </c>
      <c r="L107" t="s">
        <v>1447</v>
      </c>
      <c r="M107" t="s">
        <v>1799</v>
      </c>
      <c r="N107" t="s">
        <v>1799</v>
      </c>
      <c r="O107" s="184" t="str">
        <f>"["&amp;$C107&amp;"]["&amp;$D107&amp;"]["&amp;$F107&amp;"]"</f>
        <v>[MeasuresStreamline][7][MeasuresStreamlineYesNo]</v>
      </c>
    </row>
    <row r="108" spans="1:15" x14ac:dyDescent="0.3">
      <c r="A108" t="s">
        <v>1793</v>
      </c>
      <c r="B108" t="s">
        <v>1881</v>
      </c>
      <c r="C108" t="s">
        <v>1882</v>
      </c>
      <c r="D108">
        <v>0</v>
      </c>
      <c r="E108" t="s">
        <v>1447</v>
      </c>
      <c r="F108" t="s">
        <v>1882</v>
      </c>
      <c r="G108" t="s">
        <v>1832</v>
      </c>
      <c r="H108" t="s">
        <v>1799</v>
      </c>
      <c r="I108" t="s">
        <v>1799</v>
      </c>
      <c r="J108" t="s">
        <v>1799</v>
      </c>
      <c r="K108" t="s">
        <v>1799</v>
      </c>
      <c r="L108" t="s">
        <v>1447</v>
      </c>
      <c r="M108" t="s">
        <v>1799</v>
      </c>
      <c r="N108" t="s">
        <v>1799</v>
      </c>
      <c r="O108" s="184" t="str">
        <f>"["&amp;$C108&amp;"]["&amp;$D108&amp;"]["&amp;$F108&amp;"]"</f>
        <v>[CommissionTemplatesMRR][0][CommissionTemplatesMRR]</v>
      </c>
    </row>
    <row r="109" spans="1:15" x14ac:dyDescent="0.3">
      <c r="A109" t="s">
        <v>1793</v>
      </c>
      <c r="B109" t="s">
        <v>1881</v>
      </c>
      <c r="C109" t="s">
        <v>1883</v>
      </c>
      <c r="D109">
        <v>1</v>
      </c>
      <c r="E109" t="s">
        <v>1447</v>
      </c>
      <c r="F109" t="s">
        <v>1884</v>
      </c>
      <c r="G109" t="s">
        <v>1737</v>
      </c>
      <c r="H109" t="s">
        <v>1799</v>
      </c>
      <c r="I109" t="s">
        <v>1799</v>
      </c>
      <c r="J109" t="s">
        <v>1799</v>
      </c>
      <c r="K109" t="s">
        <v>1799</v>
      </c>
      <c r="L109" t="s">
        <v>1424</v>
      </c>
      <c r="M109" t="s">
        <v>1799</v>
      </c>
      <c r="N109" t="s">
        <v>1799</v>
      </c>
      <c r="O109" s="184" t="str">
        <f>"["&amp;$C109&amp;"]["&amp;$D109&amp;"]["&amp;$F109&amp;"]"</f>
        <v>[S05_MSCustomisedTemplatesMRR1][1][SpecificTemplateOrFileFormat]</v>
      </c>
    </row>
    <row r="110" spans="1:15" x14ac:dyDescent="0.3">
      <c r="A110" t="s">
        <v>1793</v>
      </c>
      <c r="B110" t="s">
        <v>1885</v>
      </c>
      <c r="C110" t="s">
        <v>1886</v>
      </c>
      <c r="D110">
        <v>0</v>
      </c>
      <c r="E110" t="s">
        <v>1447</v>
      </c>
      <c r="F110" t="s">
        <v>1886</v>
      </c>
      <c r="G110" t="s">
        <v>1832</v>
      </c>
      <c r="H110" t="s">
        <v>1799</v>
      </c>
      <c r="I110" t="s">
        <v>1799</v>
      </c>
      <c r="J110" t="s">
        <v>1799</v>
      </c>
      <c r="K110" t="s">
        <v>1799</v>
      </c>
      <c r="L110" t="s">
        <v>1447</v>
      </c>
      <c r="M110" t="s">
        <v>1799</v>
      </c>
      <c r="N110" t="s">
        <v>1799</v>
      </c>
      <c r="O110" s="184" t="str">
        <f>"["&amp;$C110&amp;"]["&amp;$D110&amp;"]["&amp;$F110&amp;"]"</f>
        <v>[AutomatedSystemInformationExchange][0][AutomatedSystemInformationExchange]</v>
      </c>
    </row>
    <row r="111" spans="1:15" x14ac:dyDescent="0.3">
      <c r="A111" t="s">
        <v>1793</v>
      </c>
      <c r="B111" t="s">
        <v>1885</v>
      </c>
      <c r="C111" t="s">
        <v>1887</v>
      </c>
      <c r="D111">
        <v>0</v>
      </c>
      <c r="E111" t="s">
        <v>1447</v>
      </c>
      <c r="F111" t="s">
        <v>1887</v>
      </c>
      <c r="G111" t="s">
        <v>1797</v>
      </c>
      <c r="H111" t="s">
        <v>1756</v>
      </c>
      <c r="I111" t="s">
        <v>1799</v>
      </c>
      <c r="J111" t="s">
        <v>1799</v>
      </c>
      <c r="K111" t="s">
        <v>1799</v>
      </c>
      <c r="L111" t="s">
        <v>1799</v>
      </c>
      <c r="M111" t="s">
        <v>1799</v>
      </c>
      <c r="N111" t="s">
        <v>1799</v>
      </c>
      <c r="O111" s="184" t="str">
        <f>"["&amp;$C111&amp;"]["&amp;$D111&amp;"]["&amp;$F111&amp;"]"</f>
        <v>[ComplyRequirementsArt75][0][ComplyRequirementsArt75]</v>
      </c>
    </row>
    <row r="112" spans="1:15" x14ac:dyDescent="0.3">
      <c r="A112" t="s">
        <v>1793</v>
      </c>
      <c r="B112" t="s">
        <v>1888</v>
      </c>
      <c r="C112" t="s">
        <v>1889</v>
      </c>
      <c r="D112">
        <v>1</v>
      </c>
      <c r="E112" t="s">
        <v>1447</v>
      </c>
      <c r="F112" t="s">
        <v>1890</v>
      </c>
      <c r="G112" t="s">
        <v>1891</v>
      </c>
      <c r="H112" t="s">
        <v>1799</v>
      </c>
      <c r="I112" t="s">
        <v>1799</v>
      </c>
      <c r="J112">
        <v>1</v>
      </c>
      <c r="K112" t="s">
        <v>1799</v>
      </c>
      <c r="L112" t="s">
        <v>1799</v>
      </c>
      <c r="M112" t="s">
        <v>1799</v>
      </c>
      <c r="N112" t="s">
        <v>1799</v>
      </c>
      <c r="O112" s="184" t="str">
        <f>"["&amp;$C112&amp;"]["&amp;$D112&amp;"]["&amp;$F112&amp;"]"</f>
        <v>[S05_InstallationFuelConsEmissions][1][FuelConsumption]</v>
      </c>
    </row>
    <row r="113" spans="1:15" x14ac:dyDescent="0.3">
      <c r="A113" t="s">
        <v>1793</v>
      </c>
      <c r="B113" t="s">
        <v>1892</v>
      </c>
      <c r="C113" t="s">
        <v>1893</v>
      </c>
      <c r="D113">
        <v>1</v>
      </c>
      <c r="E113" t="s">
        <v>1447</v>
      </c>
      <c r="F113" t="s">
        <v>1894</v>
      </c>
      <c r="G113" t="s">
        <v>1811</v>
      </c>
      <c r="H113" t="s">
        <v>1799</v>
      </c>
      <c r="I113">
        <v>0</v>
      </c>
      <c r="J113" t="s">
        <v>1799</v>
      </c>
      <c r="K113" t="s">
        <v>1799</v>
      </c>
      <c r="L113" t="s">
        <v>1799</v>
      </c>
      <c r="M113" t="s">
        <v>1799</v>
      </c>
      <c r="N113" t="s">
        <v>1799</v>
      </c>
      <c r="O113" s="184" t="str">
        <f>"["&amp;$C113&amp;"]["&amp;$D113&amp;"]["&amp;$F113&amp;"]"</f>
        <v>[S05_InstallationDifferentSamplingFrequency][1][CountInstallationsDiffFrequency]</v>
      </c>
    </row>
    <row r="114" spans="1:15" x14ac:dyDescent="0.3">
      <c r="A114" t="s">
        <v>1793</v>
      </c>
      <c r="B114" t="s">
        <v>1892</v>
      </c>
      <c r="C114" t="s">
        <v>1893</v>
      </c>
      <c r="D114">
        <v>1</v>
      </c>
      <c r="E114" t="s">
        <v>1447</v>
      </c>
      <c r="F114" t="s">
        <v>1895</v>
      </c>
      <c r="G114" t="s">
        <v>1832</v>
      </c>
      <c r="H114" t="s">
        <v>1799</v>
      </c>
      <c r="I114" t="s">
        <v>1799</v>
      </c>
      <c r="J114" t="s">
        <v>1799</v>
      </c>
      <c r="K114" t="s">
        <v>1799</v>
      </c>
      <c r="L114" t="s">
        <v>1447</v>
      </c>
      <c r="M114" t="s">
        <v>1799</v>
      </c>
      <c r="N114" t="s">
        <v>1799</v>
      </c>
      <c r="O114" s="184" t="str">
        <f>"["&amp;$C114&amp;"]["&amp;$D114&amp;"]["&amp;$F114&amp;"]"</f>
        <v>[S05_InstallationDifferentSamplingFrequency][1][SamplingPlanDocumented]</v>
      </c>
    </row>
    <row r="115" spans="1:15" x14ac:dyDescent="0.3">
      <c r="A115" t="s">
        <v>1793</v>
      </c>
      <c r="B115" t="s">
        <v>1896</v>
      </c>
      <c r="C115" t="s">
        <v>1897</v>
      </c>
      <c r="D115">
        <v>0</v>
      </c>
      <c r="E115" t="s">
        <v>1447</v>
      </c>
      <c r="F115" t="s">
        <v>1897</v>
      </c>
      <c r="G115" t="s">
        <v>1832</v>
      </c>
      <c r="H115" t="s">
        <v>1799</v>
      </c>
      <c r="I115" t="s">
        <v>1799</v>
      </c>
      <c r="J115" t="s">
        <v>1799</v>
      </c>
      <c r="K115" t="s">
        <v>1799</v>
      </c>
      <c r="L115" t="s">
        <v>1447</v>
      </c>
      <c r="M115" t="s">
        <v>1799</v>
      </c>
      <c r="N115" t="s">
        <v>1799</v>
      </c>
      <c r="O115" s="184" t="str">
        <f>"["&amp;$C115&amp;"]["&amp;$D115&amp;"]["&amp;$F115&amp;"]"</f>
        <v>[FallBackApproachApplied][0][FallBackApproachApplied]</v>
      </c>
    </row>
    <row r="116" spans="1:15" x14ac:dyDescent="0.3">
      <c r="A116" t="s">
        <v>1793</v>
      </c>
      <c r="B116" t="s">
        <v>1898</v>
      </c>
      <c r="C116" t="s">
        <v>1899</v>
      </c>
      <c r="D116">
        <v>0</v>
      </c>
      <c r="E116" t="s">
        <v>1447</v>
      </c>
      <c r="F116" t="s">
        <v>1899</v>
      </c>
      <c r="G116" t="s">
        <v>1832</v>
      </c>
      <c r="H116" t="s">
        <v>1799</v>
      </c>
      <c r="I116" t="s">
        <v>1799</v>
      </c>
      <c r="J116" t="s">
        <v>1799</v>
      </c>
      <c r="K116" t="s">
        <v>1799</v>
      </c>
      <c r="L116" t="s">
        <v>1447</v>
      </c>
      <c r="M116" t="s">
        <v>1799</v>
      </c>
      <c r="N116" t="s">
        <v>1799</v>
      </c>
      <c r="O116" s="184" t="str">
        <f>"["&amp;$C116&amp;"]["&amp;$D116&amp;"]["&amp;$F116&amp;"]"</f>
        <v>[InherentCarbonTransferred][0][InherentCarbonTransferred]</v>
      </c>
    </row>
    <row r="117" spans="1:15" x14ac:dyDescent="0.3">
      <c r="A117" t="s">
        <v>1793</v>
      </c>
      <c r="B117" t="s">
        <v>1900</v>
      </c>
      <c r="C117" t="s">
        <v>1901</v>
      </c>
      <c r="D117">
        <v>0</v>
      </c>
      <c r="E117" t="s">
        <v>1447</v>
      </c>
      <c r="F117" t="s">
        <v>1901</v>
      </c>
      <c r="G117" t="s">
        <v>1832</v>
      </c>
      <c r="H117" t="s">
        <v>1799</v>
      </c>
      <c r="I117" t="s">
        <v>1799</v>
      </c>
      <c r="J117" t="s">
        <v>1799</v>
      </c>
      <c r="K117" t="s">
        <v>1799</v>
      </c>
      <c r="L117" t="s">
        <v>1447</v>
      </c>
      <c r="M117" t="s">
        <v>1799</v>
      </c>
      <c r="N117" t="s">
        <v>1799</v>
      </c>
      <c r="O117" s="184" t="str">
        <f>"["&amp;$C117&amp;"]["&amp;$D117&amp;"]["&amp;$F117&amp;"]"</f>
        <v>[ContinuousEmissionsMeasurement][0][ContinuousEmissionsMeasurement]</v>
      </c>
    </row>
    <row r="118" spans="1:15" x14ac:dyDescent="0.3">
      <c r="A118" t="s">
        <v>1793</v>
      </c>
      <c r="B118" t="s">
        <v>1902</v>
      </c>
      <c r="C118" t="s">
        <v>1903</v>
      </c>
      <c r="D118">
        <v>0</v>
      </c>
      <c r="E118" t="s">
        <v>1447</v>
      </c>
      <c r="F118" t="s">
        <v>1903</v>
      </c>
      <c r="G118" t="s">
        <v>1891</v>
      </c>
      <c r="H118" t="s">
        <v>1799</v>
      </c>
      <c r="I118" t="s">
        <v>1799</v>
      </c>
      <c r="J118">
        <v>0</v>
      </c>
      <c r="K118" t="s">
        <v>1799</v>
      </c>
      <c r="L118" t="s">
        <v>1799</v>
      </c>
      <c r="M118" t="s">
        <v>1799</v>
      </c>
      <c r="N118" t="s">
        <v>1799</v>
      </c>
      <c r="O118" s="184" t="str">
        <f>"["&amp;$C118&amp;"]["&amp;$D118&amp;"]["&amp;$F118&amp;"]"</f>
        <v>[WasteFuelFossilCO2][0][WasteFuelFossilCO2]</v>
      </c>
    </row>
    <row r="119" spans="1:15" x14ac:dyDescent="0.3">
      <c r="A119" t="s">
        <v>1793</v>
      </c>
      <c r="B119" t="s">
        <v>1904</v>
      </c>
      <c r="C119" t="s">
        <v>1905</v>
      </c>
      <c r="D119">
        <v>0</v>
      </c>
      <c r="E119" t="s">
        <v>1447</v>
      </c>
      <c r="F119" t="s">
        <v>1905</v>
      </c>
      <c r="G119" t="s">
        <v>1832</v>
      </c>
      <c r="H119" t="s">
        <v>1799</v>
      </c>
      <c r="I119" t="s">
        <v>1799</v>
      </c>
      <c r="J119" t="s">
        <v>1799</v>
      </c>
      <c r="K119" t="s">
        <v>1799</v>
      </c>
      <c r="L119" t="s">
        <v>1447</v>
      </c>
      <c r="M119" t="s">
        <v>1799</v>
      </c>
      <c r="N119" t="s">
        <v>1799</v>
      </c>
      <c r="O119" s="184" t="str">
        <f>"["&amp;$C119&amp;"]["&amp;$D119&amp;"]["&amp;$F119&amp;"]"</f>
        <v>[SimplifiedMonitoringArt13][0][SimplifiedMonitoringArt13]</v>
      </c>
    </row>
    <row r="120" spans="1:15" x14ac:dyDescent="0.3">
      <c r="A120" t="s">
        <v>1793</v>
      </c>
      <c r="B120" t="s">
        <v>1904</v>
      </c>
      <c r="C120" t="s">
        <v>1906</v>
      </c>
      <c r="D120">
        <v>1</v>
      </c>
      <c r="E120" t="s">
        <v>1447</v>
      </c>
      <c r="F120" t="s">
        <v>1907</v>
      </c>
      <c r="G120" t="s">
        <v>1737</v>
      </c>
      <c r="H120" t="s">
        <v>1799</v>
      </c>
      <c r="I120" t="s">
        <v>1799</v>
      </c>
      <c r="J120" t="s">
        <v>1799</v>
      </c>
      <c r="K120" t="s">
        <v>1799</v>
      </c>
      <c r="L120" t="s">
        <v>1435</v>
      </c>
      <c r="M120" t="s">
        <v>1799</v>
      </c>
      <c r="N120" t="s">
        <v>1799</v>
      </c>
      <c r="O120" s="184" t="str">
        <f>"["&amp;$C120&amp;"]["&amp;$D120&amp;"]["&amp;$F120&amp;"]"</f>
        <v>[S05_SimplifiedMonitoringArt13Detail][1][Art13RiskAssessmentType]</v>
      </c>
    </row>
    <row r="121" spans="1:15" x14ac:dyDescent="0.3">
      <c r="A121" t="s">
        <v>1793</v>
      </c>
      <c r="B121" t="s">
        <v>1904</v>
      </c>
      <c r="C121" t="s">
        <v>1906</v>
      </c>
      <c r="D121">
        <v>1</v>
      </c>
      <c r="E121" t="s">
        <v>1447</v>
      </c>
      <c r="F121" t="s">
        <v>1908</v>
      </c>
      <c r="G121" t="s">
        <v>1797</v>
      </c>
      <c r="H121" t="s">
        <v>1909</v>
      </c>
      <c r="I121" t="s">
        <v>1799</v>
      </c>
      <c r="J121" t="s">
        <v>1799</v>
      </c>
      <c r="K121" t="s">
        <v>1799</v>
      </c>
      <c r="L121" t="s">
        <v>1799</v>
      </c>
      <c r="M121" t="s">
        <v>1799</v>
      </c>
      <c r="N121" t="s">
        <v>1799</v>
      </c>
      <c r="O121" s="184" t="str">
        <f>"["&amp;$C121&amp;"]["&amp;$D121&amp;"]["&amp;$F121&amp;"]"</f>
        <v>[S05_SimplifiedMonitoringArt13Detail][1][Art13RiskAssessmentPrinciples]</v>
      </c>
    </row>
    <row r="122" spans="1:15" x14ac:dyDescent="0.3">
      <c r="A122" t="s">
        <v>1793</v>
      </c>
      <c r="B122" t="s">
        <v>1910</v>
      </c>
      <c r="C122" t="s">
        <v>1911</v>
      </c>
      <c r="D122">
        <v>1</v>
      </c>
      <c r="E122" t="s">
        <v>1447</v>
      </c>
      <c r="F122" t="s">
        <v>1912</v>
      </c>
      <c r="G122" t="s">
        <v>1811</v>
      </c>
      <c r="H122" t="s">
        <v>1799</v>
      </c>
      <c r="I122">
        <v>0</v>
      </c>
      <c r="J122" t="s">
        <v>1799</v>
      </c>
      <c r="K122" t="s">
        <v>1799</v>
      </c>
      <c r="L122" t="s">
        <v>1799</v>
      </c>
      <c r="M122" t="s">
        <v>1799</v>
      </c>
      <c r="N122" t="s">
        <v>1799</v>
      </c>
      <c r="O122" s="184" t="str">
        <f>"["&amp;$C122&amp;"]["&amp;$D122&amp;"]["&amp;$F122&amp;"]"</f>
        <v>[S05_AircraftMethodFuelConsumption][1][CountAircraftOperators]</v>
      </c>
    </row>
    <row r="123" spans="1:15" x14ac:dyDescent="0.3">
      <c r="A123" t="s">
        <v>1793</v>
      </c>
      <c r="B123" t="s">
        <v>1910</v>
      </c>
      <c r="C123" t="s">
        <v>1911</v>
      </c>
      <c r="D123">
        <v>2</v>
      </c>
      <c r="E123" t="s">
        <v>1447</v>
      </c>
      <c r="F123" t="s">
        <v>1912</v>
      </c>
      <c r="G123" t="s">
        <v>1811</v>
      </c>
      <c r="H123" t="s">
        <v>1799</v>
      </c>
      <c r="I123">
        <v>0</v>
      </c>
      <c r="J123" t="s">
        <v>1799</v>
      </c>
      <c r="K123" t="s">
        <v>1799</v>
      </c>
      <c r="L123" t="s">
        <v>1799</v>
      </c>
      <c r="M123" t="s">
        <v>1799</v>
      </c>
      <c r="N123" t="s">
        <v>1799</v>
      </c>
      <c r="O123" s="184" t="str">
        <f>"["&amp;$C123&amp;"]["&amp;$D123&amp;"]["&amp;$F123&amp;"]"</f>
        <v>[S05_AircraftMethodFuelConsumption][2][CountAircraftOperators]</v>
      </c>
    </row>
    <row r="124" spans="1:15" x14ac:dyDescent="0.3">
      <c r="A124" t="s">
        <v>1793</v>
      </c>
      <c r="B124" t="s">
        <v>1910</v>
      </c>
      <c r="C124" t="s">
        <v>1911</v>
      </c>
      <c r="D124">
        <v>3</v>
      </c>
      <c r="E124" t="s">
        <v>1447</v>
      </c>
      <c r="F124" t="s">
        <v>1912</v>
      </c>
      <c r="G124" t="s">
        <v>1811</v>
      </c>
      <c r="H124" t="s">
        <v>1799</v>
      </c>
      <c r="I124">
        <v>0</v>
      </c>
      <c r="J124" t="s">
        <v>1799</v>
      </c>
      <c r="K124" t="s">
        <v>1799</v>
      </c>
      <c r="L124" t="s">
        <v>1799</v>
      </c>
      <c r="M124" t="s">
        <v>1799</v>
      </c>
      <c r="N124" t="s">
        <v>1799</v>
      </c>
      <c r="O124" s="184" t="str">
        <f>"["&amp;$C124&amp;"]["&amp;$D124&amp;"]["&amp;$F124&amp;"]"</f>
        <v>[S05_AircraftMethodFuelConsumption][3][CountAircraftOperators]</v>
      </c>
    </row>
    <row r="125" spans="1:15" x14ac:dyDescent="0.3">
      <c r="A125" t="s">
        <v>1793</v>
      </c>
      <c r="B125" t="s">
        <v>1913</v>
      </c>
      <c r="C125" t="s">
        <v>1914</v>
      </c>
      <c r="D125">
        <v>1</v>
      </c>
      <c r="E125" t="s">
        <v>1447</v>
      </c>
      <c r="F125" t="s">
        <v>1915</v>
      </c>
      <c r="G125" t="s">
        <v>1891</v>
      </c>
      <c r="H125" t="s">
        <v>1799</v>
      </c>
      <c r="I125" t="s">
        <v>1799</v>
      </c>
      <c r="J125">
        <v>0</v>
      </c>
      <c r="K125" t="s">
        <v>1799</v>
      </c>
      <c r="L125" t="s">
        <v>1799</v>
      </c>
      <c r="M125" t="s">
        <v>1799</v>
      </c>
      <c r="N125" t="s">
        <v>1799</v>
      </c>
      <c r="O125" s="184" t="str">
        <f>"["&amp;$C125&amp;"]["&amp;$D125&amp;"]["&amp;$F125&amp;"]"</f>
        <v>[S05_TotalFlightEmissions][1][TotalFlightEmissions]</v>
      </c>
    </row>
    <row r="126" spans="1:15" x14ac:dyDescent="0.3">
      <c r="A126" t="s">
        <v>1793</v>
      </c>
      <c r="B126" t="s">
        <v>1913</v>
      </c>
      <c r="C126" t="s">
        <v>1914</v>
      </c>
      <c r="D126">
        <v>2</v>
      </c>
      <c r="E126" t="s">
        <v>1447</v>
      </c>
      <c r="F126" t="s">
        <v>1915</v>
      </c>
      <c r="G126" t="s">
        <v>1891</v>
      </c>
      <c r="H126" t="s">
        <v>1799</v>
      </c>
      <c r="I126" t="s">
        <v>1799</v>
      </c>
      <c r="J126">
        <v>0</v>
      </c>
      <c r="K126" t="s">
        <v>1799</v>
      </c>
      <c r="L126" t="s">
        <v>1799</v>
      </c>
      <c r="M126" t="s">
        <v>1799</v>
      </c>
      <c r="N126" t="s">
        <v>1799</v>
      </c>
      <c r="O126" s="184" t="str">
        <f>"["&amp;$C126&amp;"]["&amp;$D126&amp;"]["&amp;$F126&amp;"]"</f>
        <v>[S05_TotalFlightEmissions][2][TotalFlightEmissions]</v>
      </c>
    </row>
    <row r="127" spans="1:15" x14ac:dyDescent="0.3">
      <c r="A127" t="s">
        <v>1793</v>
      </c>
      <c r="B127" t="s">
        <v>1913</v>
      </c>
      <c r="C127" t="s">
        <v>1914</v>
      </c>
      <c r="D127">
        <v>3</v>
      </c>
      <c r="E127" t="s">
        <v>1447</v>
      </c>
      <c r="F127" t="s">
        <v>1915</v>
      </c>
      <c r="G127" t="s">
        <v>1891</v>
      </c>
      <c r="H127" t="s">
        <v>1799</v>
      </c>
      <c r="I127" t="s">
        <v>1799</v>
      </c>
      <c r="J127">
        <v>0</v>
      </c>
      <c r="K127" t="s">
        <v>1799</v>
      </c>
      <c r="L127" t="s">
        <v>1799</v>
      </c>
      <c r="M127" t="s">
        <v>1799</v>
      </c>
      <c r="N127" t="s">
        <v>1799</v>
      </c>
      <c r="O127" s="184" t="str">
        <f>"["&amp;$C127&amp;"]["&amp;$D127&amp;"]["&amp;$F127&amp;"]"</f>
        <v>[S05_TotalFlightEmissions][3][TotalFlightEmissions]</v>
      </c>
    </row>
    <row r="128" spans="1:15" x14ac:dyDescent="0.3">
      <c r="A128" t="s">
        <v>1793</v>
      </c>
      <c r="B128" t="s">
        <v>1913</v>
      </c>
      <c r="C128" t="s">
        <v>1914</v>
      </c>
      <c r="D128">
        <v>4</v>
      </c>
      <c r="E128" t="s">
        <v>1447</v>
      </c>
      <c r="F128" t="s">
        <v>1915</v>
      </c>
      <c r="G128" t="s">
        <v>1891</v>
      </c>
      <c r="H128" t="s">
        <v>1799</v>
      </c>
      <c r="I128" t="s">
        <v>1799</v>
      </c>
      <c r="J128">
        <v>0</v>
      </c>
      <c r="K128" t="s">
        <v>1799</v>
      </c>
      <c r="L128" t="s">
        <v>1799</v>
      </c>
      <c r="M128" t="s">
        <v>1799</v>
      </c>
      <c r="N128" t="s">
        <v>1799</v>
      </c>
      <c r="O128" s="184" t="str">
        <f>"["&amp;$C128&amp;"]["&amp;$D128&amp;"]["&amp;$F128&amp;"]"</f>
        <v>[S05_TotalFlightEmissions][4][TotalFlightEmissions]</v>
      </c>
    </row>
    <row r="129" spans="1:15" x14ac:dyDescent="0.3">
      <c r="A129" t="s">
        <v>1793</v>
      </c>
      <c r="B129" t="s">
        <v>1913</v>
      </c>
      <c r="C129" t="s">
        <v>1914</v>
      </c>
      <c r="D129">
        <v>5</v>
      </c>
      <c r="E129" t="s">
        <v>1447</v>
      </c>
      <c r="F129" t="s">
        <v>1915</v>
      </c>
      <c r="G129" t="s">
        <v>1891</v>
      </c>
      <c r="H129" t="s">
        <v>1799</v>
      </c>
      <c r="I129" t="s">
        <v>1799</v>
      </c>
      <c r="J129">
        <v>0</v>
      </c>
      <c r="K129" t="s">
        <v>1799</v>
      </c>
      <c r="L129" t="s">
        <v>1799</v>
      </c>
      <c r="M129" t="s">
        <v>1799</v>
      </c>
      <c r="N129" t="s">
        <v>1799</v>
      </c>
      <c r="O129" s="184" t="str">
        <f>"["&amp;$C129&amp;"]["&amp;$D129&amp;"]["&amp;$F129&amp;"]"</f>
        <v>[S05_TotalFlightEmissions][5][TotalFlightEmissions]</v>
      </c>
    </row>
    <row r="130" spans="1:15" x14ac:dyDescent="0.3">
      <c r="A130" t="s">
        <v>1793</v>
      </c>
      <c r="B130" t="s">
        <v>1913</v>
      </c>
      <c r="C130" t="s">
        <v>1916</v>
      </c>
      <c r="D130">
        <v>0</v>
      </c>
      <c r="E130" t="s">
        <v>1447</v>
      </c>
      <c r="F130" t="s">
        <v>1916</v>
      </c>
      <c r="G130" t="s">
        <v>1811</v>
      </c>
      <c r="H130" t="s">
        <v>1799</v>
      </c>
      <c r="I130">
        <v>0</v>
      </c>
      <c r="J130" t="s">
        <v>1799</v>
      </c>
      <c r="K130" t="s">
        <v>1799</v>
      </c>
      <c r="L130" t="s">
        <v>1799</v>
      </c>
      <c r="M130" t="s">
        <v>1799</v>
      </c>
      <c r="N130" t="s">
        <v>1799</v>
      </c>
      <c r="O130" s="184" t="str">
        <f>"["&amp;$C130&amp;"]["&amp;$D130&amp;"]["&amp;$F130&amp;"]"</f>
        <v>[CountOperatorsThirdCountries][0][CountOperatorsThirdCountries]</v>
      </c>
    </row>
    <row r="131" spans="1:15" x14ac:dyDescent="0.3">
      <c r="A131" t="s">
        <v>1793</v>
      </c>
      <c r="B131" t="s">
        <v>1917</v>
      </c>
      <c r="C131" t="s">
        <v>1918</v>
      </c>
      <c r="D131">
        <v>0</v>
      </c>
      <c r="E131" t="s">
        <v>1447</v>
      </c>
      <c r="F131" t="s">
        <v>1918</v>
      </c>
      <c r="G131" t="s">
        <v>1811</v>
      </c>
      <c r="H131" t="s">
        <v>1799</v>
      </c>
      <c r="I131">
        <v>0</v>
      </c>
      <c r="J131" t="s">
        <v>1799</v>
      </c>
      <c r="K131" t="s">
        <v>1799</v>
      </c>
      <c r="L131" t="s">
        <v>1799</v>
      </c>
      <c r="M131" t="s">
        <v>1799</v>
      </c>
      <c r="N131" t="s">
        <v>1799</v>
      </c>
      <c r="O131" s="184" t="str">
        <f>"["&amp;$C131&amp;"]["&amp;$D131&amp;"]["&amp;$F131&amp;"]"</f>
        <v>[CountOperatorsUsingBiofuels][0][CountOperatorsUsingBiofuels]</v>
      </c>
    </row>
    <row r="132" spans="1:15" x14ac:dyDescent="0.3">
      <c r="A132" t="s">
        <v>1793</v>
      </c>
      <c r="B132" t="s">
        <v>1919</v>
      </c>
      <c r="C132" t="s">
        <v>1920</v>
      </c>
      <c r="D132">
        <v>1</v>
      </c>
      <c r="E132" t="s">
        <v>1447</v>
      </c>
      <c r="F132" t="s">
        <v>1921</v>
      </c>
      <c r="G132" t="s">
        <v>1811</v>
      </c>
      <c r="H132" t="s">
        <v>1799</v>
      </c>
      <c r="I132">
        <v>0</v>
      </c>
      <c r="J132" t="s">
        <v>1799</v>
      </c>
      <c r="K132" t="s">
        <v>1799</v>
      </c>
      <c r="L132" t="s">
        <v>1799</v>
      </c>
      <c r="M132" t="s">
        <v>1799</v>
      </c>
      <c r="N132" t="s">
        <v>1799</v>
      </c>
      <c r="O132" s="184" t="str">
        <f>"["&amp;$C132&amp;"]["&amp;$D132&amp;"]["&amp;$F132&amp;"]"</f>
        <v>[S05_SmallEmittersTool][1][CountSmallEmitters]</v>
      </c>
    </row>
    <row r="133" spans="1:15" x14ac:dyDescent="0.3">
      <c r="A133" t="s">
        <v>1793</v>
      </c>
      <c r="B133" t="s">
        <v>1919</v>
      </c>
      <c r="C133" t="s">
        <v>1920</v>
      </c>
      <c r="D133">
        <v>2</v>
      </c>
      <c r="E133" t="s">
        <v>1447</v>
      </c>
      <c r="F133" t="s">
        <v>1921</v>
      </c>
      <c r="G133" t="s">
        <v>1811</v>
      </c>
      <c r="H133" t="s">
        <v>1799</v>
      </c>
      <c r="I133">
        <v>0</v>
      </c>
      <c r="J133" t="s">
        <v>1799</v>
      </c>
      <c r="K133" t="s">
        <v>1799</v>
      </c>
      <c r="L133" t="s">
        <v>1799</v>
      </c>
      <c r="M133" t="s">
        <v>1799</v>
      </c>
      <c r="N133" t="s">
        <v>1799</v>
      </c>
      <c r="O133" s="184" t="str">
        <f>"["&amp;$C133&amp;"]["&amp;$D133&amp;"]["&amp;$F133&amp;"]"</f>
        <v>[S05_SmallEmittersTool][2][CountSmallEmitters]</v>
      </c>
    </row>
    <row r="134" spans="1:15" x14ac:dyDescent="0.3">
      <c r="A134" t="s">
        <v>1793</v>
      </c>
      <c r="B134" t="s">
        <v>1919</v>
      </c>
      <c r="C134" t="s">
        <v>1920</v>
      </c>
      <c r="D134">
        <v>3</v>
      </c>
      <c r="E134" t="s">
        <v>1447</v>
      </c>
      <c r="F134" t="s">
        <v>1921</v>
      </c>
      <c r="G134" t="s">
        <v>1811</v>
      </c>
      <c r="H134" t="s">
        <v>1799</v>
      </c>
      <c r="I134">
        <v>0</v>
      </c>
      <c r="J134" t="s">
        <v>1799</v>
      </c>
      <c r="K134" t="s">
        <v>1799</v>
      </c>
      <c r="L134" t="s">
        <v>1799</v>
      </c>
      <c r="M134" t="s">
        <v>1799</v>
      </c>
      <c r="N134" t="s">
        <v>1799</v>
      </c>
      <c r="O134" s="184" t="str">
        <f>"["&amp;$C134&amp;"]["&amp;$D134&amp;"]["&amp;$F134&amp;"]"</f>
        <v>[S05_SmallEmittersTool][3][CountSmallEmitters]</v>
      </c>
    </row>
    <row r="135" spans="1:15" x14ac:dyDescent="0.3">
      <c r="A135" t="s">
        <v>1793</v>
      </c>
      <c r="B135" t="s">
        <v>1919</v>
      </c>
      <c r="C135" t="s">
        <v>1920</v>
      </c>
      <c r="D135">
        <v>4</v>
      </c>
      <c r="E135" t="s">
        <v>1447</v>
      </c>
      <c r="F135" t="s">
        <v>1921</v>
      </c>
      <c r="G135" t="s">
        <v>1811</v>
      </c>
      <c r="H135" t="s">
        <v>1799</v>
      </c>
      <c r="I135">
        <v>0</v>
      </c>
      <c r="J135" t="s">
        <v>1799</v>
      </c>
      <c r="K135" t="s">
        <v>1799</v>
      </c>
      <c r="L135" t="s">
        <v>1799</v>
      </c>
      <c r="M135" t="s">
        <v>1799</v>
      </c>
      <c r="N135" t="s">
        <v>1799</v>
      </c>
      <c r="O135" s="184" t="str">
        <f>"["&amp;$C135&amp;"]["&amp;$D135&amp;"]["&amp;$F135&amp;"]"</f>
        <v>[S05_SmallEmittersTool][4][CountSmallEmitters]</v>
      </c>
    </row>
    <row r="136" spans="1:15" x14ac:dyDescent="0.3">
      <c r="A136" t="s">
        <v>1793</v>
      </c>
      <c r="B136" t="s">
        <v>1922</v>
      </c>
      <c r="C136" t="s">
        <v>1923</v>
      </c>
      <c r="D136">
        <v>0</v>
      </c>
      <c r="E136" t="s">
        <v>1447</v>
      </c>
      <c r="F136" t="s">
        <v>1923</v>
      </c>
      <c r="G136" t="s">
        <v>1811</v>
      </c>
      <c r="H136" t="s">
        <v>1799</v>
      </c>
      <c r="I136">
        <v>0</v>
      </c>
      <c r="J136" t="s">
        <v>1799</v>
      </c>
      <c r="K136" t="s">
        <v>1799</v>
      </c>
      <c r="L136" t="s">
        <v>1799</v>
      </c>
      <c r="M136" t="s">
        <v>1799</v>
      </c>
      <c r="N136" t="s">
        <v>1799</v>
      </c>
      <c r="O136" s="184" t="str">
        <f>"["&amp;$C136&amp;"]["&amp;$D136&amp;"]["&amp;$F136&amp;"]"</f>
        <v>[AircraftImprovementReportRequired][0][AircraftImprovementReportRequired]</v>
      </c>
    </row>
    <row r="137" spans="1:15" x14ac:dyDescent="0.3">
      <c r="A137" t="s">
        <v>1793</v>
      </c>
      <c r="B137" t="s">
        <v>1922</v>
      </c>
      <c r="C137" t="s">
        <v>1924</v>
      </c>
      <c r="D137">
        <v>0</v>
      </c>
      <c r="E137" t="s">
        <v>1447</v>
      </c>
      <c r="F137" t="s">
        <v>1924</v>
      </c>
      <c r="G137" t="s">
        <v>1811</v>
      </c>
      <c r="H137" t="s">
        <v>1799</v>
      </c>
      <c r="I137">
        <v>0</v>
      </c>
      <c r="J137" t="s">
        <v>1799</v>
      </c>
      <c r="K137" t="s">
        <v>1799</v>
      </c>
      <c r="L137" t="s">
        <v>1799</v>
      </c>
      <c r="M137" t="s">
        <v>1799</v>
      </c>
      <c r="N137" t="s">
        <v>1799</v>
      </c>
      <c r="O137" s="184" t="str">
        <f>"["&amp;$C137&amp;"]["&amp;$D137&amp;"]["&amp;$F137&amp;"]"</f>
        <v>[AircraftImprovementReportSubmitted][0][AircraftImprovementReportSubmitted]</v>
      </c>
    </row>
    <row r="138" spans="1:15" x14ac:dyDescent="0.3">
      <c r="A138" t="s">
        <v>1793</v>
      </c>
      <c r="B138" t="s">
        <v>1925</v>
      </c>
      <c r="C138" t="s">
        <v>1926</v>
      </c>
      <c r="D138">
        <v>0</v>
      </c>
      <c r="E138" t="s">
        <v>1447</v>
      </c>
      <c r="F138" t="s">
        <v>1926</v>
      </c>
      <c r="G138" t="s">
        <v>1832</v>
      </c>
      <c r="H138" t="s">
        <v>1799</v>
      </c>
      <c r="I138" t="s">
        <v>1799</v>
      </c>
      <c r="J138" t="s">
        <v>1799</v>
      </c>
      <c r="K138" t="s">
        <v>1799</v>
      </c>
      <c r="L138" t="s">
        <v>1419</v>
      </c>
      <c r="M138" t="s">
        <v>1799</v>
      </c>
      <c r="N138" t="s">
        <v>1799</v>
      </c>
      <c r="O138" s="184" t="str">
        <f>"["&amp;$C138&amp;"]["&amp;$D138&amp;"]["&amp;$F138&amp;"]"</f>
        <v>[AircraftSimplifiedMonitoringArt13][0][AircraftSimplifiedMonitoringArt13]</v>
      </c>
    </row>
    <row r="139" spans="1:15" x14ac:dyDescent="0.3">
      <c r="A139" t="s">
        <v>1793</v>
      </c>
      <c r="B139" t="s">
        <v>1925</v>
      </c>
      <c r="C139" t="s">
        <v>1927</v>
      </c>
      <c r="D139">
        <v>1</v>
      </c>
      <c r="E139" t="s">
        <v>1447</v>
      </c>
      <c r="F139" t="s">
        <v>1928</v>
      </c>
      <c r="G139" t="s">
        <v>1737</v>
      </c>
      <c r="H139" t="s">
        <v>1799</v>
      </c>
      <c r="I139" t="s">
        <v>1799</v>
      </c>
      <c r="J139" t="s">
        <v>1799</v>
      </c>
      <c r="K139" t="s">
        <v>1799</v>
      </c>
      <c r="L139" t="s">
        <v>1435</v>
      </c>
      <c r="M139" t="s">
        <v>1799</v>
      </c>
      <c r="N139" t="s">
        <v>1799</v>
      </c>
      <c r="O139" s="184" t="str">
        <f>"["&amp;$C139&amp;"]["&amp;$D139&amp;"]["&amp;$F139&amp;"]"</f>
        <v>[S05_AircraftSimplifiedMonitoringArt13Detail][1][AircraftRiskAssessmentType]</v>
      </c>
    </row>
    <row r="140" spans="1:15" x14ac:dyDescent="0.3">
      <c r="A140" t="s">
        <v>1793</v>
      </c>
      <c r="B140" t="s">
        <v>1925</v>
      </c>
      <c r="C140" t="s">
        <v>1927</v>
      </c>
      <c r="D140">
        <v>1</v>
      </c>
      <c r="E140" t="s">
        <v>1447</v>
      </c>
      <c r="F140" t="s">
        <v>1929</v>
      </c>
      <c r="G140" t="s">
        <v>1797</v>
      </c>
      <c r="H140" t="s">
        <v>1930</v>
      </c>
      <c r="I140" t="s">
        <v>1799</v>
      </c>
      <c r="J140" t="s">
        <v>1799</v>
      </c>
      <c r="K140" t="s">
        <v>1799</v>
      </c>
      <c r="L140" t="s">
        <v>1799</v>
      </c>
      <c r="M140" t="s">
        <v>1799</v>
      </c>
      <c r="N140" t="s">
        <v>1799</v>
      </c>
      <c r="O140" s="184" t="str">
        <f>"["&amp;$C140&amp;"]["&amp;$D140&amp;"]["&amp;$F140&amp;"]"</f>
        <v>[S05_AircraftSimplifiedMonitoringArt13Detail][1][AircraftGeneralRiskAssessmentPrinciples]</v>
      </c>
    </row>
    <row r="141" spans="1:15" x14ac:dyDescent="0.3">
      <c r="A141" t="s">
        <v>1793</v>
      </c>
      <c r="B141" t="s">
        <v>1931</v>
      </c>
      <c r="C141" t="s">
        <v>1932</v>
      </c>
      <c r="D141">
        <v>1</v>
      </c>
      <c r="E141" t="s">
        <v>1447</v>
      </c>
      <c r="F141" t="s">
        <v>1933</v>
      </c>
      <c r="G141" t="s">
        <v>1811</v>
      </c>
      <c r="H141" t="s">
        <v>1799</v>
      </c>
      <c r="I141">
        <v>1</v>
      </c>
      <c r="J141" t="s">
        <v>1799</v>
      </c>
      <c r="K141" t="s">
        <v>1799</v>
      </c>
      <c r="L141" t="s">
        <v>1799</v>
      </c>
      <c r="M141" t="s">
        <v>1799</v>
      </c>
      <c r="N141" t="s">
        <v>1799</v>
      </c>
      <c r="O141" s="184" t="str">
        <f>"["&amp;$C141&amp;"]["&amp;$D141&amp;"]["&amp;$F141&amp;"]"</f>
        <v>[S06_TotalVerifiers][1][CountVerifiersInstallations]</v>
      </c>
    </row>
    <row r="142" spans="1:15" x14ac:dyDescent="0.3">
      <c r="A142" t="s">
        <v>1793</v>
      </c>
      <c r="B142" t="s">
        <v>1931</v>
      </c>
      <c r="C142" t="s">
        <v>1932</v>
      </c>
      <c r="D142">
        <v>2</v>
      </c>
      <c r="E142" t="s">
        <v>1447</v>
      </c>
      <c r="F142" t="s">
        <v>1933</v>
      </c>
      <c r="G142" t="s">
        <v>1811</v>
      </c>
      <c r="H142" t="s">
        <v>1799</v>
      </c>
      <c r="I142">
        <v>1</v>
      </c>
      <c r="J142" t="s">
        <v>1799</v>
      </c>
      <c r="K142" t="s">
        <v>1799</v>
      </c>
      <c r="L142" t="s">
        <v>1799</v>
      </c>
      <c r="M142" t="s">
        <v>1799</v>
      </c>
      <c r="N142" t="s">
        <v>1799</v>
      </c>
      <c r="O142" s="184" t="str">
        <f>"["&amp;$C142&amp;"]["&amp;$D142&amp;"]["&amp;$F142&amp;"]"</f>
        <v>[S06_TotalVerifiers][2][CountVerifiersInstallations]</v>
      </c>
    </row>
    <row r="143" spans="1:15" x14ac:dyDescent="0.3">
      <c r="A143" t="s">
        <v>1793</v>
      </c>
      <c r="B143" t="s">
        <v>1931</v>
      </c>
      <c r="C143" t="s">
        <v>1932</v>
      </c>
      <c r="D143">
        <v>3</v>
      </c>
      <c r="E143" t="s">
        <v>1447</v>
      </c>
      <c r="F143" t="s">
        <v>1933</v>
      </c>
      <c r="G143" t="s">
        <v>1811</v>
      </c>
      <c r="H143" t="s">
        <v>1799</v>
      </c>
      <c r="I143">
        <v>1</v>
      </c>
      <c r="J143" t="s">
        <v>1799</v>
      </c>
      <c r="K143" t="s">
        <v>1799</v>
      </c>
      <c r="L143" t="s">
        <v>1799</v>
      </c>
      <c r="M143" t="s">
        <v>1799</v>
      </c>
      <c r="N143" t="s">
        <v>1799</v>
      </c>
      <c r="O143" s="184" t="str">
        <f>"["&amp;$C143&amp;"]["&amp;$D143&amp;"]["&amp;$F143&amp;"]"</f>
        <v>[S06_TotalVerifiers][3][CountVerifiersInstallations]</v>
      </c>
    </row>
    <row r="144" spans="1:15" x14ac:dyDescent="0.3">
      <c r="A144" t="s">
        <v>1793</v>
      </c>
      <c r="B144" t="s">
        <v>1931</v>
      </c>
      <c r="C144" t="s">
        <v>1932</v>
      </c>
      <c r="D144">
        <v>4</v>
      </c>
      <c r="E144" t="s">
        <v>1447</v>
      </c>
      <c r="F144" t="s">
        <v>1933</v>
      </c>
      <c r="G144" t="s">
        <v>1811</v>
      </c>
      <c r="H144" t="s">
        <v>1799</v>
      </c>
      <c r="I144">
        <v>1</v>
      </c>
      <c r="J144" t="s">
        <v>1799</v>
      </c>
      <c r="K144" t="s">
        <v>1799</v>
      </c>
      <c r="L144" t="s">
        <v>1799</v>
      </c>
      <c r="M144" t="s">
        <v>1799</v>
      </c>
      <c r="N144" t="s">
        <v>1799</v>
      </c>
      <c r="O144" s="184" t="str">
        <f>"["&amp;$C144&amp;"]["&amp;$D144&amp;"]["&amp;$F144&amp;"]"</f>
        <v>[S06_TotalVerifiers][4][CountVerifiersInstallations]</v>
      </c>
    </row>
    <row r="145" spans="1:15" x14ac:dyDescent="0.3">
      <c r="A145" t="s">
        <v>1793</v>
      </c>
      <c r="B145" t="s">
        <v>1934</v>
      </c>
      <c r="C145" t="s">
        <v>1935</v>
      </c>
      <c r="D145">
        <v>1</v>
      </c>
      <c r="E145" t="s">
        <v>1447</v>
      </c>
      <c r="F145" t="s">
        <v>1936</v>
      </c>
      <c r="G145" t="s">
        <v>1832</v>
      </c>
      <c r="H145" t="s">
        <v>1799</v>
      </c>
      <c r="I145" t="s">
        <v>1799</v>
      </c>
      <c r="J145" t="s">
        <v>1799</v>
      </c>
      <c r="K145" t="s">
        <v>1799</v>
      </c>
      <c r="L145" t="s">
        <v>1419</v>
      </c>
      <c r="M145" t="s">
        <v>1799</v>
      </c>
      <c r="N145" t="s">
        <v>1799</v>
      </c>
      <c r="O145" s="184" t="str">
        <f>"["&amp;$C145&amp;"]["&amp;$D145&amp;"]["&amp;$F145&amp;"]"</f>
        <v>[S06_ApplicationInformationExchangeRequirements1][1][FromOwnMS]</v>
      </c>
    </row>
    <row r="146" spans="1:15" x14ac:dyDescent="0.3">
      <c r="A146" t="s">
        <v>1793</v>
      </c>
      <c r="B146" t="s">
        <v>1934</v>
      </c>
      <c r="C146" t="s">
        <v>1935</v>
      </c>
      <c r="D146">
        <v>2</v>
      </c>
      <c r="E146" t="s">
        <v>1447</v>
      </c>
      <c r="F146" t="s">
        <v>1936</v>
      </c>
      <c r="G146" t="s">
        <v>1832</v>
      </c>
      <c r="H146" t="s">
        <v>1799</v>
      </c>
      <c r="I146" t="s">
        <v>1799</v>
      </c>
      <c r="J146" t="s">
        <v>1799</v>
      </c>
      <c r="K146" t="s">
        <v>1799</v>
      </c>
      <c r="L146" t="s">
        <v>1419</v>
      </c>
      <c r="M146" t="s">
        <v>1799</v>
      </c>
      <c r="N146" t="s">
        <v>1799</v>
      </c>
      <c r="O146" s="184" t="str">
        <f>"["&amp;$C146&amp;"]["&amp;$D146&amp;"]["&amp;$F146&amp;"]"</f>
        <v>[S06_ApplicationInformationExchangeRequirements1][2][FromOwnMS]</v>
      </c>
    </row>
    <row r="147" spans="1:15" x14ac:dyDescent="0.3">
      <c r="A147" t="s">
        <v>1793</v>
      </c>
      <c r="B147" t="s">
        <v>1934</v>
      </c>
      <c r="C147" t="s">
        <v>1935</v>
      </c>
      <c r="D147">
        <v>3</v>
      </c>
      <c r="E147" t="s">
        <v>1447</v>
      </c>
      <c r="F147" t="s">
        <v>1936</v>
      </c>
      <c r="G147" t="s">
        <v>1832</v>
      </c>
      <c r="H147" t="s">
        <v>1799</v>
      </c>
      <c r="I147" t="s">
        <v>1799</v>
      </c>
      <c r="J147" t="s">
        <v>1799</v>
      </c>
      <c r="K147" t="s">
        <v>1799</v>
      </c>
      <c r="L147" t="s">
        <v>1419</v>
      </c>
      <c r="M147" t="s">
        <v>1799</v>
      </c>
      <c r="N147" t="s">
        <v>1799</v>
      </c>
      <c r="O147" s="184" t="str">
        <f>"["&amp;$C147&amp;"]["&amp;$D147&amp;"]["&amp;$F147&amp;"]"</f>
        <v>[S06_ApplicationInformationExchangeRequirements1][3][FromOwnMS]</v>
      </c>
    </row>
    <row r="148" spans="1:15" x14ac:dyDescent="0.3">
      <c r="A148" t="s">
        <v>1793</v>
      </c>
      <c r="B148" t="s">
        <v>1934</v>
      </c>
      <c r="C148" t="s">
        <v>1937</v>
      </c>
      <c r="D148">
        <v>1</v>
      </c>
      <c r="E148" t="s">
        <v>1447</v>
      </c>
      <c r="F148" t="s">
        <v>1938</v>
      </c>
      <c r="G148" t="s">
        <v>1811</v>
      </c>
      <c r="H148" t="s">
        <v>1799</v>
      </c>
      <c r="I148">
        <v>0</v>
      </c>
      <c r="J148" t="s">
        <v>1799</v>
      </c>
      <c r="K148" t="s">
        <v>1799</v>
      </c>
      <c r="L148" t="s">
        <v>1799</v>
      </c>
      <c r="M148" t="s">
        <v>1799</v>
      </c>
      <c r="N148" t="s">
        <v>1799</v>
      </c>
      <c r="O148" s="184" t="str">
        <f>"["&amp;$C148&amp;"]["&amp;$D148&amp;"]["&amp;$F148&amp;"]"</f>
        <v>[S06_ApplicationInformationExchangeRequirements2][1][NumberImposedOnVerifiersSuspension]</v>
      </c>
    </row>
    <row r="149" spans="1:15" x14ac:dyDescent="0.3">
      <c r="A149" t="s">
        <v>1793</v>
      </c>
      <c r="B149" t="s">
        <v>1934</v>
      </c>
      <c r="C149" t="s">
        <v>1937</v>
      </c>
      <c r="D149">
        <v>2</v>
      </c>
      <c r="E149" t="s">
        <v>1447</v>
      </c>
      <c r="F149" t="s">
        <v>1938</v>
      </c>
      <c r="G149" t="s">
        <v>1811</v>
      </c>
      <c r="H149" t="s">
        <v>1799</v>
      </c>
      <c r="I149">
        <v>0</v>
      </c>
      <c r="J149" t="s">
        <v>1799</v>
      </c>
      <c r="K149" t="s">
        <v>1799</v>
      </c>
      <c r="L149" t="s">
        <v>1799</v>
      </c>
      <c r="M149" t="s">
        <v>1799</v>
      </c>
      <c r="N149" t="s">
        <v>1799</v>
      </c>
      <c r="O149" s="184" t="str">
        <f>"["&amp;$C149&amp;"]["&amp;$D149&amp;"]["&amp;$F149&amp;"]"</f>
        <v>[S06_ApplicationInformationExchangeRequirements2][2][NumberImposedOnVerifiersSuspension]</v>
      </c>
    </row>
    <row r="150" spans="1:15" x14ac:dyDescent="0.3">
      <c r="A150" t="s">
        <v>1793</v>
      </c>
      <c r="B150" t="s">
        <v>1934</v>
      </c>
      <c r="C150" t="s">
        <v>1939</v>
      </c>
      <c r="D150">
        <v>0</v>
      </c>
      <c r="E150" t="s">
        <v>1447</v>
      </c>
      <c r="F150" t="s">
        <v>1940</v>
      </c>
      <c r="G150" t="s">
        <v>1811</v>
      </c>
      <c r="H150" t="s">
        <v>1799</v>
      </c>
      <c r="I150">
        <v>0</v>
      </c>
      <c r="J150" t="s">
        <v>1799</v>
      </c>
      <c r="K150" t="s">
        <v>1799</v>
      </c>
      <c r="L150" t="s">
        <v>1799</v>
      </c>
      <c r="M150" t="s">
        <v>1799</v>
      </c>
      <c r="N150" t="s">
        <v>1799</v>
      </c>
      <c r="O150" s="184" t="str">
        <f>"["&amp;$C150&amp;"]["&amp;$D150&amp;"]["&amp;$F150&amp;"]"</f>
        <v>[S06_ApplicationInformationExchangeRequirements3][0][TimesSurveillanceRequested]</v>
      </c>
    </row>
    <row r="151" spans="1:15" x14ac:dyDescent="0.3">
      <c r="A151" t="s">
        <v>1793</v>
      </c>
      <c r="B151" t="s">
        <v>1934</v>
      </c>
      <c r="C151" t="s">
        <v>1941</v>
      </c>
      <c r="D151">
        <v>1</v>
      </c>
      <c r="E151" t="s">
        <v>1447</v>
      </c>
      <c r="F151" t="s">
        <v>1942</v>
      </c>
      <c r="G151" t="s">
        <v>1811</v>
      </c>
      <c r="H151" t="s">
        <v>1799</v>
      </c>
      <c r="I151">
        <v>0</v>
      </c>
      <c r="J151" t="s">
        <v>1799</v>
      </c>
      <c r="K151" t="s">
        <v>1799</v>
      </c>
      <c r="L151" t="s">
        <v>1799</v>
      </c>
      <c r="M151" t="s">
        <v>1799</v>
      </c>
      <c r="N151" t="s">
        <v>1799</v>
      </c>
      <c r="O151" s="184" t="str">
        <f>"["&amp;$C151&amp;"]["&amp;$D151&amp;"]["&amp;$F151&amp;"]"</f>
        <v>[S06_ApplicationInformationExchangeRequirements4][1][NumberOfIssues]</v>
      </c>
    </row>
    <row r="152" spans="1:15" x14ac:dyDescent="0.3">
      <c r="A152" t="s">
        <v>1793</v>
      </c>
      <c r="B152" t="s">
        <v>1934</v>
      </c>
      <c r="C152" t="s">
        <v>1941</v>
      </c>
      <c r="D152">
        <v>2</v>
      </c>
      <c r="E152" t="s">
        <v>1447</v>
      </c>
      <c r="F152" t="s">
        <v>1942</v>
      </c>
      <c r="G152" t="s">
        <v>1811</v>
      </c>
      <c r="H152" t="s">
        <v>1799</v>
      </c>
      <c r="I152">
        <v>0</v>
      </c>
      <c r="J152" t="s">
        <v>1799</v>
      </c>
      <c r="K152" t="s">
        <v>1799</v>
      </c>
      <c r="L152" t="s">
        <v>1799</v>
      </c>
      <c r="M152" t="s">
        <v>1799</v>
      </c>
      <c r="N152" t="s">
        <v>1799</v>
      </c>
      <c r="O152" s="184" t="str">
        <f>"["&amp;$C152&amp;"]["&amp;$D152&amp;"]["&amp;$F152&amp;"]"</f>
        <v>[S06_ApplicationInformationExchangeRequirements4][2][NumberOfIssues]</v>
      </c>
    </row>
    <row r="153" spans="1:15" x14ac:dyDescent="0.3">
      <c r="A153" t="s">
        <v>1793</v>
      </c>
      <c r="B153" t="s">
        <v>1934</v>
      </c>
      <c r="C153" t="s">
        <v>1941</v>
      </c>
      <c r="D153">
        <v>3</v>
      </c>
      <c r="E153" t="s">
        <v>1447</v>
      </c>
      <c r="F153" t="s">
        <v>1942</v>
      </c>
      <c r="G153" t="s">
        <v>1811</v>
      </c>
      <c r="H153" t="s">
        <v>1799</v>
      </c>
      <c r="I153">
        <v>0</v>
      </c>
      <c r="J153" t="s">
        <v>1799</v>
      </c>
      <c r="K153" t="s">
        <v>1799</v>
      </c>
      <c r="L153" t="s">
        <v>1799</v>
      </c>
      <c r="M153" t="s">
        <v>1799</v>
      </c>
      <c r="N153" t="s">
        <v>1799</v>
      </c>
      <c r="O153" s="184" t="str">
        <f>"["&amp;$C153&amp;"]["&amp;$D153&amp;"]["&amp;$F153&amp;"]"</f>
        <v>[S06_ApplicationInformationExchangeRequirements4][3][NumberOfIssues]</v>
      </c>
    </row>
    <row r="154" spans="1:15" x14ac:dyDescent="0.3">
      <c r="A154" t="s">
        <v>1793</v>
      </c>
      <c r="B154" t="s">
        <v>1943</v>
      </c>
      <c r="C154" t="s">
        <v>1944</v>
      </c>
      <c r="D154">
        <v>1</v>
      </c>
      <c r="E154" t="s">
        <v>1447</v>
      </c>
      <c r="F154" t="s">
        <v>1945</v>
      </c>
      <c r="G154" t="s">
        <v>1811</v>
      </c>
      <c r="H154" t="s">
        <v>1799</v>
      </c>
      <c r="I154">
        <v>0</v>
      </c>
      <c r="J154" t="s">
        <v>1799</v>
      </c>
      <c r="K154" t="s">
        <v>1799</v>
      </c>
      <c r="L154" t="s">
        <v>1799</v>
      </c>
      <c r="M154" t="s">
        <v>1799</v>
      </c>
      <c r="N154" t="s">
        <v>1799</v>
      </c>
      <c r="O154" s="184" t="str">
        <f>"["&amp;$C154&amp;"]["&amp;$D154&amp;"]["&amp;$F154&amp;"]"</f>
        <v>[S06_NegativeOpinionInstallations][1][CountNegativeOpinions]</v>
      </c>
    </row>
    <row r="155" spans="1:15" x14ac:dyDescent="0.3">
      <c r="A155" t="s">
        <v>1793</v>
      </c>
      <c r="B155" t="s">
        <v>1943</v>
      </c>
      <c r="C155" t="s">
        <v>1944</v>
      </c>
      <c r="D155">
        <v>2</v>
      </c>
      <c r="E155" t="s">
        <v>1447</v>
      </c>
      <c r="F155" t="s">
        <v>1945</v>
      </c>
      <c r="G155" t="s">
        <v>1811</v>
      </c>
      <c r="H155" t="s">
        <v>1799</v>
      </c>
      <c r="I155">
        <v>0</v>
      </c>
      <c r="J155" t="s">
        <v>1799</v>
      </c>
      <c r="K155" t="s">
        <v>1799</v>
      </c>
      <c r="L155" t="s">
        <v>1799</v>
      </c>
      <c r="M155" t="s">
        <v>1799</v>
      </c>
      <c r="N155" t="s">
        <v>1799</v>
      </c>
      <c r="O155" s="184" t="str">
        <f>"["&amp;$C155&amp;"]["&amp;$D155&amp;"]["&amp;$F155&amp;"]"</f>
        <v>[S06_NegativeOpinionInstallations][2][CountNegativeOpinions]</v>
      </c>
    </row>
    <row r="156" spans="1:15" x14ac:dyDescent="0.3">
      <c r="A156" t="s">
        <v>1793</v>
      </c>
      <c r="B156" t="s">
        <v>1943</v>
      </c>
      <c r="C156" t="s">
        <v>1944</v>
      </c>
      <c r="D156">
        <v>3</v>
      </c>
      <c r="E156" t="s">
        <v>1447</v>
      </c>
      <c r="F156" t="s">
        <v>1945</v>
      </c>
      <c r="G156" t="s">
        <v>1811</v>
      </c>
      <c r="H156" t="s">
        <v>1799</v>
      </c>
      <c r="I156">
        <v>0</v>
      </c>
      <c r="J156" t="s">
        <v>1799</v>
      </c>
      <c r="K156" t="s">
        <v>1799</v>
      </c>
      <c r="L156" t="s">
        <v>1799</v>
      </c>
      <c r="M156" t="s">
        <v>1799</v>
      </c>
      <c r="N156" t="s">
        <v>1799</v>
      </c>
      <c r="O156" s="184" t="str">
        <f>"["&amp;$C156&amp;"]["&amp;$D156&amp;"]["&amp;$F156&amp;"]"</f>
        <v>[S06_NegativeOpinionInstallations][3][CountNegativeOpinions]</v>
      </c>
    </row>
    <row r="157" spans="1:15" x14ac:dyDescent="0.3">
      <c r="A157" t="s">
        <v>1793</v>
      </c>
      <c r="B157" t="s">
        <v>1943</v>
      </c>
      <c r="C157" t="s">
        <v>1944</v>
      </c>
      <c r="D157">
        <v>4</v>
      </c>
      <c r="E157" t="s">
        <v>1447</v>
      </c>
      <c r="F157" t="s">
        <v>1945</v>
      </c>
      <c r="G157" t="s">
        <v>1811</v>
      </c>
      <c r="H157" t="s">
        <v>1799</v>
      </c>
      <c r="I157">
        <v>0</v>
      </c>
      <c r="J157" t="s">
        <v>1799</v>
      </c>
      <c r="K157" t="s">
        <v>1799</v>
      </c>
      <c r="L157" t="s">
        <v>1799</v>
      </c>
      <c r="M157" t="s">
        <v>1799</v>
      </c>
      <c r="N157" t="s">
        <v>1799</v>
      </c>
      <c r="O157" s="184" t="str">
        <f>"["&amp;$C157&amp;"]["&amp;$D157&amp;"]["&amp;$F157&amp;"]"</f>
        <v>[S06_NegativeOpinionInstallations][4][CountNegativeOpinions]</v>
      </c>
    </row>
    <row r="158" spans="1:15" x14ac:dyDescent="0.3">
      <c r="A158" t="s">
        <v>1793</v>
      </c>
      <c r="B158" t="s">
        <v>1946</v>
      </c>
      <c r="C158" t="s">
        <v>1947</v>
      </c>
      <c r="D158">
        <v>0</v>
      </c>
      <c r="E158" t="s">
        <v>1447</v>
      </c>
      <c r="F158" t="s">
        <v>1947</v>
      </c>
      <c r="G158" t="s">
        <v>1832</v>
      </c>
      <c r="H158" t="s">
        <v>1799</v>
      </c>
      <c r="I158" t="s">
        <v>1799</v>
      </c>
      <c r="J158" t="s">
        <v>1799</v>
      </c>
      <c r="K158" t="s">
        <v>1799</v>
      </c>
      <c r="L158" t="s">
        <v>1447</v>
      </c>
      <c r="M158" t="s">
        <v>1799</v>
      </c>
      <c r="N158" t="s">
        <v>1799</v>
      </c>
      <c r="O158" s="184" t="str">
        <f>"["&amp;$C158&amp;"]["&amp;$D158&amp;"]["&amp;$F158&amp;"]"</f>
        <v>[InstallationsVerificationReportIssues][0][InstallationsVerificationReportIssues]</v>
      </c>
    </row>
    <row r="159" spans="1:15" x14ac:dyDescent="0.3">
      <c r="A159" t="s">
        <v>1793</v>
      </c>
      <c r="B159" t="s">
        <v>1948</v>
      </c>
      <c r="C159" t="s">
        <v>1949</v>
      </c>
      <c r="D159">
        <v>0</v>
      </c>
      <c r="E159" t="s">
        <v>1447</v>
      </c>
      <c r="F159" t="s">
        <v>1949</v>
      </c>
      <c r="G159" t="s">
        <v>1832</v>
      </c>
      <c r="H159" t="s">
        <v>1799</v>
      </c>
      <c r="I159" t="s">
        <v>1799</v>
      </c>
      <c r="J159" t="s">
        <v>1799</v>
      </c>
      <c r="K159" t="s">
        <v>1799</v>
      </c>
      <c r="L159" t="s">
        <v>1447</v>
      </c>
      <c r="M159" t="s">
        <v>1799</v>
      </c>
      <c r="N159" t="s">
        <v>1799</v>
      </c>
      <c r="O159" s="184" t="str">
        <f>"["&amp;$C159&amp;"]["&amp;$D159&amp;"]["&amp;$F159&amp;"]"</f>
        <v>[InstallationsVerificationReportChecks][0][InstallationsVerificationReportChecks]</v>
      </c>
    </row>
    <row r="160" spans="1:15" x14ac:dyDescent="0.3">
      <c r="A160" t="s">
        <v>1793</v>
      </c>
      <c r="B160" t="s">
        <v>1950</v>
      </c>
      <c r="C160" t="s">
        <v>1951</v>
      </c>
      <c r="D160">
        <v>0</v>
      </c>
      <c r="E160" t="s">
        <v>1447</v>
      </c>
      <c r="F160" t="s">
        <v>1951</v>
      </c>
      <c r="G160" t="s">
        <v>1832</v>
      </c>
      <c r="H160" t="s">
        <v>1799</v>
      </c>
      <c r="I160" t="s">
        <v>1799</v>
      </c>
      <c r="J160" t="s">
        <v>1799</v>
      </c>
      <c r="K160" t="s">
        <v>1799</v>
      </c>
      <c r="L160" t="s">
        <v>1447</v>
      </c>
      <c r="M160" t="s">
        <v>1799</v>
      </c>
      <c r="N160" t="s">
        <v>1799</v>
      </c>
      <c r="O160" s="184" t="str">
        <f>"["&amp;$C160&amp;"]["&amp;$D160&amp;"]["&amp;$F160&amp;"]"</f>
        <v>[InstallationsVisitsWaivedLowEmitters][0][InstallationsVisitsWaivedLowEmitters]</v>
      </c>
    </row>
    <row r="161" spans="1:15" x14ac:dyDescent="0.3">
      <c r="A161" t="s">
        <v>1793</v>
      </c>
      <c r="B161" t="s">
        <v>1952</v>
      </c>
      <c r="C161" t="s">
        <v>1953</v>
      </c>
      <c r="D161">
        <v>0</v>
      </c>
      <c r="E161" t="s">
        <v>1447</v>
      </c>
      <c r="F161" t="s">
        <v>1953</v>
      </c>
      <c r="G161" t="s">
        <v>1832</v>
      </c>
      <c r="H161" t="s">
        <v>1799</v>
      </c>
      <c r="I161" t="s">
        <v>1799</v>
      </c>
      <c r="J161" t="s">
        <v>1799</v>
      </c>
      <c r="K161" t="s">
        <v>1799</v>
      </c>
      <c r="L161" t="s">
        <v>1447</v>
      </c>
      <c r="M161" t="s">
        <v>1799</v>
      </c>
      <c r="N161" t="s">
        <v>1799</v>
      </c>
      <c r="O161" s="184" t="str">
        <f>"["&amp;$C161&amp;"]["&amp;$D161&amp;"]["&amp;$F161&amp;"]"</f>
        <v>[VirtualVisitsInstallations][0][VirtualVisitsInstallations]</v>
      </c>
    </row>
    <row r="162" spans="1:15" x14ac:dyDescent="0.3">
      <c r="A162" t="s">
        <v>1793</v>
      </c>
      <c r="B162" t="s">
        <v>1954</v>
      </c>
      <c r="C162" t="s">
        <v>1955</v>
      </c>
      <c r="D162">
        <v>1</v>
      </c>
      <c r="E162" t="s">
        <v>1447</v>
      </c>
      <c r="F162" t="s">
        <v>1945</v>
      </c>
      <c r="G162" t="s">
        <v>1811</v>
      </c>
      <c r="H162" t="s">
        <v>1799</v>
      </c>
      <c r="I162">
        <v>0</v>
      </c>
      <c r="J162" t="s">
        <v>1799</v>
      </c>
      <c r="K162" t="s">
        <v>1799</v>
      </c>
      <c r="L162" t="s">
        <v>1799</v>
      </c>
      <c r="M162" t="s">
        <v>1799</v>
      </c>
      <c r="N162" t="s">
        <v>1799</v>
      </c>
      <c r="O162" s="184" t="str">
        <f>"["&amp;$C162&amp;"]["&amp;$D162&amp;"]["&amp;$F162&amp;"]"</f>
        <v>[S06_NegativeOpinionAircraft][1][CountNegativeOpinions]</v>
      </c>
    </row>
    <row r="163" spans="1:15" x14ac:dyDescent="0.3">
      <c r="A163" t="s">
        <v>1793</v>
      </c>
      <c r="B163" t="s">
        <v>1954</v>
      </c>
      <c r="C163" t="s">
        <v>1955</v>
      </c>
      <c r="D163">
        <v>2</v>
      </c>
      <c r="E163" t="s">
        <v>1447</v>
      </c>
      <c r="F163" t="s">
        <v>1945</v>
      </c>
      <c r="G163" t="s">
        <v>1811</v>
      </c>
      <c r="H163" t="s">
        <v>1799</v>
      </c>
      <c r="I163">
        <v>0</v>
      </c>
      <c r="J163" t="s">
        <v>1799</v>
      </c>
      <c r="K163" t="s">
        <v>1799</v>
      </c>
      <c r="L163" t="s">
        <v>1799</v>
      </c>
      <c r="M163" t="s">
        <v>1799</v>
      </c>
      <c r="N163" t="s">
        <v>1799</v>
      </c>
      <c r="O163" s="184" t="str">
        <f>"["&amp;$C163&amp;"]["&amp;$D163&amp;"]["&amp;$F163&amp;"]"</f>
        <v>[S06_NegativeOpinionAircraft][2][CountNegativeOpinions]</v>
      </c>
    </row>
    <row r="164" spans="1:15" x14ac:dyDescent="0.3">
      <c r="A164" t="s">
        <v>1793</v>
      </c>
      <c r="B164" t="s">
        <v>1954</v>
      </c>
      <c r="C164" t="s">
        <v>1955</v>
      </c>
      <c r="D164">
        <v>3</v>
      </c>
      <c r="E164" t="s">
        <v>1447</v>
      </c>
      <c r="F164" t="s">
        <v>1945</v>
      </c>
      <c r="G164" t="s">
        <v>1811</v>
      </c>
      <c r="H164" t="s">
        <v>1799</v>
      </c>
      <c r="I164">
        <v>0</v>
      </c>
      <c r="J164" t="s">
        <v>1799</v>
      </c>
      <c r="K164" t="s">
        <v>1799</v>
      </c>
      <c r="L164" t="s">
        <v>1799</v>
      </c>
      <c r="M164" t="s">
        <v>1799</v>
      </c>
      <c r="N164" t="s">
        <v>1799</v>
      </c>
      <c r="O164" s="184" t="str">
        <f>"["&amp;$C164&amp;"]["&amp;$D164&amp;"]["&amp;$F164&amp;"]"</f>
        <v>[S06_NegativeOpinionAircraft][3][CountNegativeOpinions]</v>
      </c>
    </row>
    <row r="165" spans="1:15" x14ac:dyDescent="0.3">
      <c r="A165" t="s">
        <v>1793</v>
      </c>
      <c r="B165" t="s">
        <v>1954</v>
      </c>
      <c r="C165" t="s">
        <v>1955</v>
      </c>
      <c r="D165">
        <v>4</v>
      </c>
      <c r="E165" t="s">
        <v>1447</v>
      </c>
      <c r="F165" t="s">
        <v>1945</v>
      </c>
      <c r="G165" t="s">
        <v>1811</v>
      </c>
      <c r="H165" t="s">
        <v>1799</v>
      </c>
      <c r="I165">
        <v>0</v>
      </c>
      <c r="J165" t="s">
        <v>1799</v>
      </c>
      <c r="K165" t="s">
        <v>1799</v>
      </c>
      <c r="L165" t="s">
        <v>1799</v>
      </c>
      <c r="M165" t="s">
        <v>1799</v>
      </c>
      <c r="N165" t="s">
        <v>1799</v>
      </c>
      <c r="O165" s="184" t="str">
        <f>"["&amp;$C165&amp;"]["&amp;$D165&amp;"]["&amp;$F165&amp;"]"</f>
        <v>[S06_NegativeOpinionAircraft][4][CountNegativeOpinions]</v>
      </c>
    </row>
    <row r="166" spans="1:15" x14ac:dyDescent="0.3">
      <c r="A166" t="s">
        <v>1793</v>
      </c>
      <c r="B166" t="s">
        <v>1956</v>
      </c>
      <c r="C166" t="s">
        <v>1957</v>
      </c>
      <c r="D166">
        <v>0</v>
      </c>
      <c r="E166" t="s">
        <v>1447</v>
      </c>
      <c r="F166" t="s">
        <v>1957</v>
      </c>
      <c r="G166" t="s">
        <v>1832</v>
      </c>
      <c r="H166" t="s">
        <v>1799</v>
      </c>
      <c r="I166" t="s">
        <v>1799</v>
      </c>
      <c r="J166" t="s">
        <v>1799</v>
      </c>
      <c r="K166" t="s">
        <v>1799</v>
      </c>
      <c r="L166" t="s">
        <v>1447</v>
      </c>
      <c r="M166" t="s">
        <v>1799</v>
      </c>
      <c r="N166" t="s">
        <v>1799</v>
      </c>
      <c r="O166" s="184" t="str">
        <f>"["&amp;$C166&amp;"]["&amp;$D166&amp;"]["&amp;$F166&amp;"]"</f>
        <v>[AircraftOperatorsVerificationReportIssues][0][AircraftOperatorsVerificationReportIssues]</v>
      </c>
    </row>
    <row r="167" spans="1:15" x14ac:dyDescent="0.3">
      <c r="A167" t="s">
        <v>1793</v>
      </c>
      <c r="B167" t="s">
        <v>1958</v>
      </c>
      <c r="C167" t="s">
        <v>1959</v>
      </c>
      <c r="D167">
        <v>0</v>
      </c>
      <c r="E167" t="s">
        <v>1447</v>
      </c>
      <c r="F167" t="s">
        <v>1959</v>
      </c>
      <c r="G167" t="s">
        <v>1832</v>
      </c>
      <c r="H167" t="s">
        <v>1799</v>
      </c>
      <c r="I167" t="s">
        <v>1799</v>
      </c>
      <c r="J167" t="s">
        <v>1799</v>
      </c>
      <c r="K167" t="s">
        <v>1799</v>
      </c>
      <c r="L167" t="s">
        <v>1447</v>
      </c>
      <c r="M167" t="s">
        <v>1799</v>
      </c>
      <c r="N167" t="s">
        <v>1799</v>
      </c>
      <c r="O167" s="184" t="str">
        <f>"["&amp;$C167&amp;"]["&amp;$D167&amp;"]["&amp;$F167&amp;"]"</f>
        <v>[AircraftOperatorsVerificationReportChecks][0][AircraftOperatorsVerificationReportChecks]</v>
      </c>
    </row>
    <row r="168" spans="1:15" x14ac:dyDescent="0.3">
      <c r="A168" t="s">
        <v>1793</v>
      </c>
      <c r="B168" t="s">
        <v>1960</v>
      </c>
      <c r="C168" t="s">
        <v>1961</v>
      </c>
      <c r="D168">
        <v>0</v>
      </c>
      <c r="E168" t="s">
        <v>1447</v>
      </c>
      <c r="F168" t="s">
        <v>1961</v>
      </c>
      <c r="G168" t="s">
        <v>1811</v>
      </c>
      <c r="H168" t="s">
        <v>1799</v>
      </c>
      <c r="I168">
        <v>0</v>
      </c>
      <c r="J168" t="s">
        <v>1799</v>
      </c>
      <c r="K168" t="s">
        <v>1799</v>
      </c>
      <c r="L168" t="s">
        <v>1799</v>
      </c>
      <c r="M168" t="s">
        <v>1799</v>
      </c>
      <c r="N168" t="s">
        <v>1799</v>
      </c>
      <c r="O168" s="184" t="str">
        <f>"["&amp;$C168&amp;"]["&amp;$D168&amp;"]["&amp;$F168&amp;"]"</f>
        <v>[AircraftOperatorsMandateArt15UseNumber][0][AircraftOperatorsMandateArt15UseNumber]</v>
      </c>
    </row>
    <row r="169" spans="1:15" x14ac:dyDescent="0.3">
      <c r="A169" t="s">
        <v>1793</v>
      </c>
      <c r="B169" t="s">
        <v>1962</v>
      </c>
      <c r="C169" t="s">
        <v>1963</v>
      </c>
      <c r="D169">
        <v>0</v>
      </c>
      <c r="E169" t="s">
        <v>1447</v>
      </c>
      <c r="F169" t="s">
        <v>1963</v>
      </c>
      <c r="G169" t="s">
        <v>1832</v>
      </c>
      <c r="H169" t="s">
        <v>1799</v>
      </c>
      <c r="I169" t="s">
        <v>1799</v>
      </c>
      <c r="J169" t="s">
        <v>1799</v>
      </c>
      <c r="K169" t="s">
        <v>1799</v>
      </c>
      <c r="L169" t="s">
        <v>1447</v>
      </c>
      <c r="M169" t="s">
        <v>1799</v>
      </c>
      <c r="N169" t="s">
        <v>1799</v>
      </c>
      <c r="O169" s="184" t="str">
        <f>"["&amp;$C169&amp;"]["&amp;$D169&amp;"]["&amp;$F169&amp;"]"</f>
        <v>[CommissionTemplatesAllocation][0][CommissionTemplatesAllocation]</v>
      </c>
    </row>
    <row r="170" spans="1:15" x14ac:dyDescent="0.3">
      <c r="A170" t="s">
        <v>1793</v>
      </c>
      <c r="B170" t="s">
        <v>1964</v>
      </c>
      <c r="C170" t="s">
        <v>1965</v>
      </c>
      <c r="D170">
        <v>0</v>
      </c>
      <c r="E170" t="s">
        <v>1447</v>
      </c>
      <c r="F170" t="s">
        <v>1965</v>
      </c>
      <c r="G170" t="s">
        <v>1832</v>
      </c>
      <c r="H170" t="s">
        <v>1799</v>
      </c>
      <c r="I170" t="s">
        <v>1799</v>
      </c>
      <c r="J170" t="s">
        <v>1799</v>
      </c>
      <c r="K170" t="s">
        <v>1799</v>
      </c>
      <c r="L170" t="s">
        <v>1447</v>
      </c>
      <c r="M170" t="s">
        <v>1799</v>
      </c>
      <c r="N170" t="s">
        <v>1799</v>
      </c>
      <c r="O170" s="184" t="str">
        <f>"["&amp;$C170&amp;"]["&amp;$D170&amp;"]["&amp;$F170&amp;"]"</f>
        <v>[FeesAllocation][0][FeesAllocation]</v>
      </c>
    </row>
    <row r="171" spans="1:15" x14ac:dyDescent="0.3">
      <c r="A171" t="s">
        <v>1793</v>
      </c>
      <c r="B171" t="s">
        <v>1966</v>
      </c>
      <c r="C171" t="s">
        <v>1967</v>
      </c>
      <c r="D171">
        <v>0</v>
      </c>
      <c r="E171" t="s">
        <v>1447</v>
      </c>
      <c r="F171" t="s">
        <v>1967</v>
      </c>
      <c r="G171" t="s">
        <v>1832</v>
      </c>
      <c r="H171" t="s">
        <v>1799</v>
      </c>
      <c r="I171" t="s">
        <v>1799</v>
      </c>
      <c r="J171" t="s">
        <v>1799</v>
      </c>
      <c r="K171" t="s">
        <v>1799</v>
      </c>
      <c r="L171" t="s">
        <v>1447</v>
      </c>
      <c r="M171" t="s">
        <v>1799</v>
      </c>
      <c r="N171" t="s">
        <v>1799</v>
      </c>
      <c r="O171" s="184" t="str">
        <f>"["&amp;$C171&amp;"]["&amp;$D171&amp;"]["&amp;$F171&amp;"]"</f>
        <v>[ITforAllocationData][0][ITforAllocationData]</v>
      </c>
    </row>
    <row r="172" spans="1:15" x14ac:dyDescent="0.3">
      <c r="A172" t="s">
        <v>1793</v>
      </c>
      <c r="B172" t="s">
        <v>1968</v>
      </c>
      <c r="C172" t="s">
        <v>1969</v>
      </c>
      <c r="D172">
        <v>1</v>
      </c>
      <c r="E172" t="s">
        <v>1447</v>
      </c>
      <c r="F172" t="s">
        <v>1852</v>
      </c>
      <c r="G172" t="s">
        <v>1811</v>
      </c>
      <c r="H172" t="s">
        <v>1799</v>
      </c>
      <c r="I172">
        <v>0</v>
      </c>
      <c r="J172" t="s">
        <v>1799</v>
      </c>
      <c r="K172" t="s">
        <v>1799</v>
      </c>
      <c r="L172" t="s">
        <v>1799</v>
      </c>
      <c r="M172" t="s">
        <v>1799</v>
      </c>
      <c r="N172" t="s">
        <v>1799</v>
      </c>
      <c r="O172" s="184" t="str">
        <f>"["&amp;$C172&amp;"]["&amp;$D172&amp;"]["&amp;$F172&amp;"]"</f>
        <v>[S08_RenunciationSuspensionAllowances][1][NumberOfInstallations]</v>
      </c>
    </row>
    <row r="173" spans="1:15" x14ac:dyDescent="0.3">
      <c r="A173" t="s">
        <v>1793</v>
      </c>
      <c r="B173" t="s">
        <v>1968</v>
      </c>
      <c r="C173" t="s">
        <v>1969</v>
      </c>
      <c r="D173">
        <v>2</v>
      </c>
      <c r="E173" t="s">
        <v>1447</v>
      </c>
      <c r="F173" t="s">
        <v>1852</v>
      </c>
      <c r="G173" t="s">
        <v>1811</v>
      </c>
      <c r="H173" t="s">
        <v>1799</v>
      </c>
      <c r="I173">
        <v>0</v>
      </c>
      <c r="J173" t="s">
        <v>1799</v>
      </c>
      <c r="K173" t="s">
        <v>1799</v>
      </c>
      <c r="L173" t="s">
        <v>1799</v>
      </c>
      <c r="M173" t="s">
        <v>1799</v>
      </c>
      <c r="N173" t="s">
        <v>1799</v>
      </c>
      <c r="O173" s="184" t="str">
        <f>"["&amp;$C173&amp;"]["&amp;$D173&amp;"]["&amp;$F173&amp;"]"</f>
        <v>[S08_RenunciationSuspensionAllowances][2][NumberOfInstallations]</v>
      </c>
    </row>
    <row r="174" spans="1:15" x14ac:dyDescent="0.3">
      <c r="A174" t="s">
        <v>1793</v>
      </c>
      <c r="B174" t="s">
        <v>1968</v>
      </c>
      <c r="C174" t="s">
        <v>1969</v>
      </c>
      <c r="D174">
        <v>3</v>
      </c>
      <c r="E174" t="s">
        <v>1447</v>
      </c>
      <c r="F174" t="s">
        <v>1852</v>
      </c>
      <c r="G174" t="s">
        <v>1811</v>
      </c>
      <c r="H174" t="s">
        <v>1799</v>
      </c>
      <c r="I174">
        <v>0</v>
      </c>
      <c r="J174" t="s">
        <v>1799</v>
      </c>
      <c r="K174" t="s">
        <v>1799</v>
      </c>
      <c r="L174" t="s">
        <v>1799</v>
      </c>
      <c r="M174" t="s">
        <v>1799</v>
      </c>
      <c r="N174" t="s">
        <v>1799</v>
      </c>
      <c r="O174" s="184" t="str">
        <f>"["&amp;$C174&amp;"]["&amp;$D174&amp;"]["&amp;$F174&amp;"]"</f>
        <v>[S08_RenunciationSuspensionAllowances][3][NumberOfInstallations]</v>
      </c>
    </row>
    <row r="175" spans="1:15" x14ac:dyDescent="0.3">
      <c r="A175" t="s">
        <v>1793</v>
      </c>
      <c r="B175" t="s">
        <v>1970</v>
      </c>
      <c r="C175" t="s">
        <v>1971</v>
      </c>
      <c r="D175">
        <v>0</v>
      </c>
      <c r="E175" t="s">
        <v>1447</v>
      </c>
      <c r="F175" t="s">
        <v>1971</v>
      </c>
      <c r="G175" t="s">
        <v>1832</v>
      </c>
      <c r="H175" t="s">
        <v>1799</v>
      </c>
      <c r="I175" t="s">
        <v>1799</v>
      </c>
      <c r="J175" t="s">
        <v>1799</v>
      </c>
      <c r="K175" t="s">
        <v>1799</v>
      </c>
      <c r="L175" t="s">
        <v>1447</v>
      </c>
      <c r="M175" t="s">
        <v>1799</v>
      </c>
      <c r="N175" t="s">
        <v>1799</v>
      </c>
      <c r="O175" s="184" t="str">
        <f>"["&amp;$C175&amp;"]["&amp;$D175&amp;"]["&amp;$F175&amp;"]"</f>
        <v>[SubInstallationBenchmark61][0][SubInstallationBenchmark61]</v>
      </c>
    </row>
    <row r="176" spans="1:15" x14ac:dyDescent="0.3">
      <c r="A176" t="s">
        <v>1793</v>
      </c>
      <c r="B176" t="s">
        <v>1970</v>
      </c>
      <c r="C176" t="s">
        <v>1972</v>
      </c>
      <c r="D176">
        <v>0</v>
      </c>
      <c r="E176" t="s">
        <v>1447</v>
      </c>
      <c r="F176" t="s">
        <v>1972</v>
      </c>
      <c r="G176" t="s">
        <v>1832</v>
      </c>
      <c r="H176" t="s">
        <v>1799</v>
      </c>
      <c r="I176" t="s">
        <v>1799</v>
      </c>
      <c r="J176" t="s">
        <v>1799</v>
      </c>
      <c r="K176" t="s">
        <v>1799</v>
      </c>
      <c r="L176" t="s">
        <v>1447</v>
      </c>
      <c r="M176" t="s">
        <v>1799</v>
      </c>
      <c r="N176" t="s">
        <v>1799</v>
      </c>
      <c r="O176" s="184" t="str">
        <f>"["&amp;$C176&amp;"]["&amp;$D176&amp;"]["&amp;$F176&amp;"]"</f>
        <v>[SubInstallationBenchmark62][0][SubInstallationBenchmark62]</v>
      </c>
    </row>
    <row r="177" spans="1:15" x14ac:dyDescent="0.3">
      <c r="A177" t="s">
        <v>1793</v>
      </c>
      <c r="B177" t="s">
        <v>1973</v>
      </c>
      <c r="C177" t="s">
        <v>1974</v>
      </c>
      <c r="D177">
        <v>1</v>
      </c>
      <c r="E177" t="s">
        <v>1447</v>
      </c>
      <c r="F177" t="s">
        <v>1852</v>
      </c>
      <c r="G177" t="s">
        <v>1811</v>
      </c>
      <c r="H177" t="s">
        <v>1799</v>
      </c>
      <c r="I177">
        <v>2</v>
      </c>
      <c r="J177" t="s">
        <v>1799</v>
      </c>
      <c r="K177" t="s">
        <v>1799</v>
      </c>
      <c r="L177" t="s">
        <v>1799</v>
      </c>
      <c r="M177" t="s">
        <v>1799</v>
      </c>
      <c r="N177" t="s">
        <v>1799</v>
      </c>
      <c r="O177" s="184" t="str">
        <f>"["&amp;$C177&amp;"]["&amp;$D177&amp;"]["&amp;$F177&amp;"]"</f>
        <v>[S08_ScopeExclusion][1][NumberOfInstallations]</v>
      </c>
    </row>
    <row r="178" spans="1:15" x14ac:dyDescent="0.3">
      <c r="A178" t="s">
        <v>1793</v>
      </c>
      <c r="B178" t="s">
        <v>1973</v>
      </c>
      <c r="C178" t="s">
        <v>1974</v>
      </c>
      <c r="D178">
        <v>2</v>
      </c>
      <c r="E178" t="s">
        <v>1447</v>
      </c>
      <c r="F178" t="s">
        <v>1852</v>
      </c>
      <c r="G178" t="s">
        <v>1811</v>
      </c>
      <c r="H178" t="s">
        <v>1799</v>
      </c>
      <c r="I178">
        <v>0</v>
      </c>
      <c r="J178" t="s">
        <v>1799</v>
      </c>
      <c r="K178" t="s">
        <v>1799</v>
      </c>
      <c r="L178" t="s">
        <v>1799</v>
      </c>
      <c r="M178" t="s">
        <v>1799</v>
      </c>
      <c r="N178" t="s">
        <v>1799</v>
      </c>
      <c r="O178" s="184" t="str">
        <f>"["&amp;$C178&amp;"]["&amp;$D178&amp;"]["&amp;$F178&amp;"]"</f>
        <v>[S08_ScopeExclusion][2][NumberOfInstallations]</v>
      </c>
    </row>
    <row r="179" spans="1:15" x14ac:dyDescent="0.3">
      <c r="A179" t="s">
        <v>1793</v>
      </c>
      <c r="B179" t="s">
        <v>1973</v>
      </c>
      <c r="C179" t="s">
        <v>1974</v>
      </c>
      <c r="D179">
        <v>3</v>
      </c>
      <c r="E179" t="s">
        <v>1447</v>
      </c>
      <c r="F179" t="s">
        <v>1852</v>
      </c>
      <c r="G179" t="s">
        <v>1811</v>
      </c>
      <c r="H179" t="s">
        <v>1799</v>
      </c>
      <c r="I179">
        <v>0</v>
      </c>
      <c r="J179" t="s">
        <v>1799</v>
      </c>
      <c r="K179" t="s">
        <v>1799</v>
      </c>
      <c r="L179" t="s">
        <v>1799</v>
      </c>
      <c r="M179" t="s">
        <v>1799</v>
      </c>
      <c r="N179" t="s">
        <v>1799</v>
      </c>
      <c r="O179" s="184" t="str">
        <f>"["&amp;$C179&amp;"]["&amp;$D179&amp;"]["&amp;$F179&amp;"]"</f>
        <v>[S08_ScopeExclusion][3][NumberOfInstallations]</v>
      </c>
    </row>
    <row r="180" spans="1:15" x14ac:dyDescent="0.3">
      <c r="A180" t="s">
        <v>1793</v>
      </c>
      <c r="B180" t="s">
        <v>1973</v>
      </c>
      <c r="C180" t="s">
        <v>1974</v>
      </c>
      <c r="D180">
        <v>4</v>
      </c>
      <c r="E180" t="s">
        <v>1447</v>
      </c>
      <c r="F180" t="s">
        <v>1852</v>
      </c>
      <c r="G180" t="s">
        <v>1811</v>
      </c>
      <c r="H180" t="s">
        <v>1799</v>
      </c>
      <c r="I180">
        <v>0</v>
      </c>
      <c r="J180" t="s">
        <v>1799</v>
      </c>
      <c r="K180" t="s">
        <v>1799</v>
      </c>
      <c r="L180" t="s">
        <v>1799</v>
      </c>
      <c r="M180" t="s">
        <v>1799</v>
      </c>
      <c r="N180" t="s">
        <v>1799</v>
      </c>
      <c r="O180" s="184" t="str">
        <f>"["&amp;$C180&amp;"]["&amp;$D180&amp;"]["&amp;$F180&amp;"]"</f>
        <v>[S08_ScopeExclusion][4][NumberOfInstallations]</v>
      </c>
    </row>
    <row r="181" spans="1:15" x14ac:dyDescent="0.3">
      <c r="A181" t="s">
        <v>1793</v>
      </c>
      <c r="B181" t="s">
        <v>1973</v>
      </c>
      <c r="C181" t="s">
        <v>1974</v>
      </c>
      <c r="D181">
        <v>5</v>
      </c>
      <c r="E181" t="s">
        <v>1447</v>
      </c>
      <c r="F181" t="s">
        <v>1852</v>
      </c>
      <c r="G181" t="s">
        <v>1811</v>
      </c>
      <c r="H181" t="s">
        <v>1799</v>
      </c>
      <c r="I181">
        <v>0</v>
      </c>
      <c r="J181" t="s">
        <v>1799</v>
      </c>
      <c r="K181" t="s">
        <v>1799</v>
      </c>
      <c r="L181" t="s">
        <v>1799</v>
      </c>
      <c r="M181" t="s">
        <v>1799</v>
      </c>
      <c r="N181" t="s">
        <v>1799</v>
      </c>
      <c r="O181" s="184" t="str">
        <f>"["&amp;$C181&amp;"]["&amp;$D181&amp;"]["&amp;$F181&amp;"]"</f>
        <v>[S08_ScopeExclusion][5][NumberOfInstallations]</v>
      </c>
    </row>
    <row r="182" spans="1:15" x14ac:dyDescent="0.3">
      <c r="A182" t="s">
        <v>1793</v>
      </c>
      <c r="B182" t="s">
        <v>1973</v>
      </c>
      <c r="C182" t="s">
        <v>1974</v>
      </c>
      <c r="D182">
        <v>6</v>
      </c>
      <c r="E182" t="s">
        <v>1419</v>
      </c>
      <c r="F182" t="s">
        <v>1852</v>
      </c>
      <c r="G182" t="s">
        <v>1811</v>
      </c>
      <c r="H182" t="s">
        <v>1799</v>
      </c>
      <c r="I182">
        <v>0</v>
      </c>
      <c r="J182" t="s">
        <v>1799</v>
      </c>
      <c r="K182" t="s">
        <v>1799</v>
      </c>
      <c r="L182" t="s">
        <v>1799</v>
      </c>
      <c r="M182" t="s">
        <v>1799</v>
      </c>
      <c r="N182" t="s">
        <v>1799</v>
      </c>
      <c r="O182" s="184" t="str">
        <f>"["&amp;$C182&amp;"]["&amp;$D182&amp;"]["&amp;$F182&amp;"]"</f>
        <v>[S08_ScopeExclusion][6][NumberOfInstallations]</v>
      </c>
    </row>
    <row r="183" spans="1:15" x14ac:dyDescent="0.3">
      <c r="A183" t="s">
        <v>1793</v>
      </c>
      <c r="B183" t="s">
        <v>1975</v>
      </c>
      <c r="C183" t="s">
        <v>1976</v>
      </c>
      <c r="D183">
        <v>0</v>
      </c>
      <c r="E183" t="s">
        <v>1447</v>
      </c>
      <c r="F183" t="s">
        <v>1976</v>
      </c>
      <c r="G183" t="s">
        <v>1832</v>
      </c>
      <c r="H183" t="s">
        <v>1799</v>
      </c>
      <c r="I183" t="s">
        <v>1799</v>
      </c>
      <c r="J183" t="s">
        <v>1799</v>
      </c>
      <c r="K183" t="s">
        <v>1799</v>
      </c>
      <c r="L183" t="s">
        <v>1447</v>
      </c>
      <c r="M183" t="s">
        <v>1799</v>
      </c>
      <c r="N183" t="s">
        <v>1799</v>
      </c>
      <c r="O183" s="184" t="str">
        <f>"["&amp;$C183&amp;"]["&amp;$D183&amp;"]["&amp;$F183&amp;"]"</f>
        <v>[Article10cApplied][0][Article10cApplied]</v>
      </c>
    </row>
    <row r="184" spans="1:15" x14ac:dyDescent="0.3">
      <c r="A184" t="s">
        <v>1793</v>
      </c>
      <c r="B184" t="s">
        <v>1975</v>
      </c>
      <c r="C184" t="s">
        <v>1977</v>
      </c>
      <c r="D184">
        <v>1</v>
      </c>
      <c r="E184" t="s">
        <v>1447</v>
      </c>
      <c r="F184" t="s">
        <v>1978</v>
      </c>
      <c r="G184" t="s">
        <v>1811</v>
      </c>
      <c r="H184" t="s">
        <v>1799</v>
      </c>
      <c r="I184">
        <v>0</v>
      </c>
      <c r="J184" t="s">
        <v>1799</v>
      </c>
      <c r="K184" t="s">
        <v>1799</v>
      </c>
      <c r="L184" t="s">
        <v>1799</v>
      </c>
      <c r="M184" t="s">
        <v>1799</v>
      </c>
      <c r="N184" t="s">
        <v>1799</v>
      </c>
      <c r="O184" s="184" t="str">
        <f>"["&amp;$C184&amp;"]["&amp;$D184&amp;"]["&amp;$F184&amp;"]"</f>
        <v>[S08_Article10cAppliedDetail][1][NumberOfAllowances]</v>
      </c>
    </row>
    <row r="185" spans="1:15" x14ac:dyDescent="0.3">
      <c r="A185" t="s">
        <v>1793</v>
      </c>
      <c r="B185" t="s">
        <v>1975</v>
      </c>
      <c r="C185" t="s">
        <v>1977</v>
      </c>
      <c r="D185">
        <v>2</v>
      </c>
      <c r="E185" t="s">
        <v>1447</v>
      </c>
      <c r="F185" t="s">
        <v>1978</v>
      </c>
      <c r="G185" t="s">
        <v>1811</v>
      </c>
      <c r="H185" t="s">
        <v>1799</v>
      </c>
      <c r="I185">
        <v>0</v>
      </c>
      <c r="J185" t="s">
        <v>1799</v>
      </c>
      <c r="K185" t="s">
        <v>1799</v>
      </c>
      <c r="L185" t="s">
        <v>1799</v>
      </c>
      <c r="M185" t="s">
        <v>1799</v>
      </c>
      <c r="N185" t="s">
        <v>1799</v>
      </c>
      <c r="O185" s="184" t="str">
        <f>"["&amp;$C185&amp;"]["&amp;$D185&amp;"]["&amp;$F185&amp;"]"</f>
        <v>[S08_Article10cAppliedDetail][2][NumberOfAllowances]</v>
      </c>
    </row>
    <row r="186" spans="1:15" x14ac:dyDescent="0.3">
      <c r="A186" t="s">
        <v>1793</v>
      </c>
      <c r="B186" t="s">
        <v>1979</v>
      </c>
      <c r="C186" t="s">
        <v>1980</v>
      </c>
      <c r="D186">
        <v>1</v>
      </c>
      <c r="E186" t="s">
        <v>1447</v>
      </c>
      <c r="F186" t="s">
        <v>1852</v>
      </c>
      <c r="G186" t="s">
        <v>1811</v>
      </c>
      <c r="H186" t="s">
        <v>1799</v>
      </c>
      <c r="I186">
        <v>0</v>
      </c>
      <c r="J186" t="s">
        <v>1799</v>
      </c>
      <c r="K186" t="s">
        <v>1799</v>
      </c>
      <c r="L186" t="s">
        <v>1799</v>
      </c>
      <c r="M186" t="s">
        <v>1799</v>
      </c>
      <c r="N186" t="s">
        <v>1799</v>
      </c>
      <c r="O186" s="184" t="str">
        <f>"["&amp;$C186&amp;"]["&amp;$D186&amp;"]["&amp;$F186&amp;"]"</f>
        <v>[S08_NegativeOpinionBaselineData][1][NumberOfInstallations]</v>
      </c>
    </row>
    <row r="187" spans="1:15" x14ac:dyDescent="0.3">
      <c r="A187" t="s">
        <v>1793</v>
      </c>
      <c r="B187" t="s">
        <v>1979</v>
      </c>
      <c r="C187" t="s">
        <v>1980</v>
      </c>
      <c r="D187">
        <v>2</v>
      </c>
      <c r="E187" t="s">
        <v>1447</v>
      </c>
      <c r="F187" t="s">
        <v>1852</v>
      </c>
      <c r="G187" t="s">
        <v>1811</v>
      </c>
      <c r="H187" t="s">
        <v>1799</v>
      </c>
      <c r="I187">
        <v>0</v>
      </c>
      <c r="J187" t="s">
        <v>1799</v>
      </c>
      <c r="K187" t="s">
        <v>1799</v>
      </c>
      <c r="L187" t="s">
        <v>1799</v>
      </c>
      <c r="M187" t="s">
        <v>1799</v>
      </c>
      <c r="N187" t="s">
        <v>1799</v>
      </c>
      <c r="O187" s="184" t="str">
        <f>"["&amp;$C187&amp;"]["&amp;$D187&amp;"]["&amp;$F187&amp;"]"</f>
        <v>[S08_NegativeOpinionBaselineData][2][NumberOfInstallations]</v>
      </c>
    </row>
    <row r="188" spans="1:15" x14ac:dyDescent="0.3">
      <c r="A188" t="s">
        <v>1793</v>
      </c>
      <c r="B188" t="s">
        <v>1979</v>
      </c>
      <c r="C188" t="s">
        <v>1980</v>
      </c>
      <c r="D188">
        <v>3</v>
      </c>
      <c r="E188" t="s">
        <v>1447</v>
      </c>
      <c r="F188" t="s">
        <v>1852</v>
      </c>
      <c r="G188" t="s">
        <v>1811</v>
      </c>
      <c r="H188" t="s">
        <v>1799</v>
      </c>
      <c r="I188">
        <v>0</v>
      </c>
      <c r="J188" t="s">
        <v>1799</v>
      </c>
      <c r="K188" t="s">
        <v>1799</v>
      </c>
      <c r="L188" t="s">
        <v>1799</v>
      </c>
      <c r="M188" t="s">
        <v>1799</v>
      </c>
      <c r="N188" t="s">
        <v>1799</v>
      </c>
      <c r="O188" s="184" t="str">
        <f>"["&amp;$C188&amp;"]["&amp;$D188&amp;"]["&amp;$F188&amp;"]"</f>
        <v>[S08_NegativeOpinionBaselineData][3][NumberOfInstallations]</v>
      </c>
    </row>
    <row r="189" spans="1:15" x14ac:dyDescent="0.3">
      <c r="A189" t="s">
        <v>1793</v>
      </c>
      <c r="B189" t="s">
        <v>1981</v>
      </c>
      <c r="C189" t="s">
        <v>1982</v>
      </c>
      <c r="D189">
        <v>0</v>
      </c>
      <c r="E189" t="s">
        <v>1447</v>
      </c>
      <c r="F189" t="s">
        <v>1982</v>
      </c>
      <c r="G189" t="s">
        <v>1832</v>
      </c>
      <c r="H189" t="s">
        <v>1799</v>
      </c>
      <c r="I189" t="s">
        <v>1799</v>
      </c>
      <c r="J189" t="s">
        <v>1799</v>
      </c>
      <c r="K189" t="s">
        <v>1799</v>
      </c>
      <c r="L189" t="s">
        <v>1447</v>
      </c>
      <c r="M189" t="s">
        <v>1799</v>
      </c>
      <c r="N189" t="s">
        <v>1799</v>
      </c>
      <c r="O189" s="184" t="str">
        <f>"["&amp;$C189&amp;"]["&amp;$D189&amp;"]["&amp;$F189&amp;"]"</f>
        <v>[BaselineDataIssues][0][BaselineDataIssues]</v>
      </c>
    </row>
    <row r="190" spans="1:15" x14ac:dyDescent="0.3">
      <c r="A190" t="s">
        <v>1793</v>
      </c>
      <c r="B190" t="s">
        <v>1983</v>
      </c>
      <c r="C190" t="s">
        <v>1984</v>
      </c>
      <c r="D190">
        <v>0</v>
      </c>
      <c r="E190" t="s">
        <v>1447</v>
      </c>
      <c r="F190" t="s">
        <v>1984</v>
      </c>
      <c r="G190" t="s">
        <v>1832</v>
      </c>
      <c r="H190" t="s">
        <v>1799</v>
      </c>
      <c r="I190" t="s">
        <v>1799</v>
      </c>
      <c r="J190" t="s">
        <v>1799</v>
      </c>
      <c r="K190" t="s">
        <v>1799</v>
      </c>
      <c r="L190" t="s">
        <v>1447</v>
      </c>
      <c r="M190" t="s">
        <v>1799</v>
      </c>
      <c r="N190" t="s">
        <v>1799</v>
      </c>
      <c r="O190" s="184" t="str">
        <f>"["&amp;$C190&amp;"]["&amp;$D190&amp;"]["&amp;$F190&amp;"]"</f>
        <v>[AdditionalParametersRequired][0][AdditionalParametersRequired]</v>
      </c>
    </row>
    <row r="191" spans="1:15" x14ac:dyDescent="0.3">
      <c r="A191" t="s">
        <v>1793</v>
      </c>
      <c r="B191" t="s">
        <v>1985</v>
      </c>
      <c r="C191" t="s">
        <v>1986</v>
      </c>
      <c r="D191">
        <v>0</v>
      </c>
      <c r="E191" t="s">
        <v>1447</v>
      </c>
      <c r="F191" t="s">
        <v>1986</v>
      </c>
      <c r="G191" t="s">
        <v>1832</v>
      </c>
      <c r="H191" t="s">
        <v>1799</v>
      </c>
      <c r="I191" t="s">
        <v>1799</v>
      </c>
      <c r="J191" t="s">
        <v>1799</v>
      </c>
      <c r="K191" t="s">
        <v>1799</v>
      </c>
      <c r="L191" t="s">
        <v>1447</v>
      </c>
      <c r="M191" t="s">
        <v>1799</v>
      </c>
      <c r="N191" t="s">
        <v>1799</v>
      </c>
      <c r="O191" s="184" t="str">
        <f>"["&amp;$C191&amp;"]["&amp;$D191&amp;"]["&amp;$F191&amp;"]"</f>
        <v>[PreliminaryActivityRequired][0][PreliminaryActivityRequired]</v>
      </c>
    </row>
    <row r="192" spans="1:15" x14ac:dyDescent="0.3">
      <c r="A192" t="s">
        <v>1793</v>
      </c>
      <c r="B192" t="s">
        <v>1987</v>
      </c>
      <c r="C192" t="s">
        <v>1988</v>
      </c>
      <c r="D192">
        <v>1</v>
      </c>
      <c r="E192" t="s">
        <v>1447</v>
      </c>
      <c r="F192" t="s">
        <v>1852</v>
      </c>
      <c r="G192" t="s">
        <v>1811</v>
      </c>
      <c r="H192" t="s">
        <v>1799</v>
      </c>
      <c r="I192">
        <v>0</v>
      </c>
      <c r="J192" t="s">
        <v>1799</v>
      </c>
      <c r="K192" t="s">
        <v>1799</v>
      </c>
      <c r="L192" t="s">
        <v>1799</v>
      </c>
      <c r="M192" t="s">
        <v>1799</v>
      </c>
      <c r="N192" t="s">
        <v>1799</v>
      </c>
      <c r="O192" s="184" t="str">
        <f>"["&amp;$C192&amp;"]["&amp;$D192&amp;"]["&amp;$F192&amp;"]"</f>
        <v>[S08_NegativeOpinionActivityData][1][NumberOfInstallations]</v>
      </c>
    </row>
    <row r="193" spans="1:15" x14ac:dyDescent="0.3">
      <c r="A193" t="s">
        <v>1793</v>
      </c>
      <c r="B193" t="s">
        <v>1987</v>
      </c>
      <c r="C193" t="s">
        <v>1988</v>
      </c>
      <c r="D193">
        <v>2</v>
      </c>
      <c r="E193" t="s">
        <v>1447</v>
      </c>
      <c r="F193" t="s">
        <v>1852</v>
      </c>
      <c r="G193" t="s">
        <v>1811</v>
      </c>
      <c r="H193" t="s">
        <v>1799</v>
      </c>
      <c r="I193">
        <v>0</v>
      </c>
      <c r="J193" t="s">
        <v>1799</v>
      </c>
      <c r="K193" t="s">
        <v>1799</v>
      </c>
      <c r="L193" t="s">
        <v>1799</v>
      </c>
      <c r="M193" t="s">
        <v>1799</v>
      </c>
      <c r="N193" t="s">
        <v>1799</v>
      </c>
      <c r="O193" s="184" t="str">
        <f>"["&amp;$C193&amp;"]["&amp;$D193&amp;"]["&amp;$F193&amp;"]"</f>
        <v>[S08_NegativeOpinionActivityData][2][NumberOfInstallations]</v>
      </c>
    </row>
    <row r="194" spans="1:15" x14ac:dyDescent="0.3">
      <c r="A194" t="s">
        <v>1793</v>
      </c>
      <c r="B194" t="s">
        <v>1987</v>
      </c>
      <c r="C194" t="s">
        <v>1988</v>
      </c>
      <c r="D194">
        <v>3</v>
      </c>
      <c r="E194" t="s">
        <v>1447</v>
      </c>
      <c r="F194" t="s">
        <v>1852</v>
      </c>
      <c r="G194" t="s">
        <v>1811</v>
      </c>
      <c r="H194" t="s">
        <v>1799</v>
      </c>
      <c r="I194">
        <v>0</v>
      </c>
      <c r="J194" t="s">
        <v>1799</v>
      </c>
      <c r="K194" t="s">
        <v>1799</v>
      </c>
      <c r="L194" t="s">
        <v>1799</v>
      </c>
      <c r="M194" t="s">
        <v>1799</v>
      </c>
      <c r="N194" t="s">
        <v>1799</v>
      </c>
      <c r="O194" s="184" t="str">
        <f>"["&amp;$C194&amp;"]["&amp;$D194&amp;"]["&amp;$F194&amp;"]"</f>
        <v>[S08_NegativeOpinionActivityData][3][NumberOfInstallations]</v>
      </c>
    </row>
    <row r="195" spans="1:15" x14ac:dyDescent="0.3">
      <c r="A195" t="s">
        <v>1793</v>
      </c>
      <c r="B195" t="s">
        <v>1987</v>
      </c>
      <c r="C195" t="s">
        <v>1988</v>
      </c>
      <c r="D195">
        <v>4</v>
      </c>
      <c r="E195" t="s">
        <v>1447</v>
      </c>
      <c r="F195" t="s">
        <v>1852</v>
      </c>
      <c r="G195" t="s">
        <v>1811</v>
      </c>
      <c r="H195" t="s">
        <v>1799</v>
      </c>
      <c r="I195">
        <v>0</v>
      </c>
      <c r="J195" t="s">
        <v>1799</v>
      </c>
      <c r="K195" t="s">
        <v>1799</v>
      </c>
      <c r="L195" t="s">
        <v>1799</v>
      </c>
      <c r="M195" t="s">
        <v>1799</v>
      </c>
      <c r="N195" t="s">
        <v>1799</v>
      </c>
      <c r="O195" s="184" t="str">
        <f>"["&amp;$C195&amp;"]["&amp;$D195&amp;"]["&amp;$F195&amp;"]"</f>
        <v>[S08_NegativeOpinionActivityData][4][NumberOfInstallations]</v>
      </c>
    </row>
    <row r="196" spans="1:15" x14ac:dyDescent="0.3">
      <c r="A196" t="s">
        <v>1793</v>
      </c>
      <c r="B196" t="s">
        <v>1987</v>
      </c>
      <c r="C196" t="s">
        <v>1989</v>
      </c>
      <c r="D196">
        <v>0</v>
      </c>
      <c r="E196" t="s">
        <v>1447</v>
      </c>
      <c r="F196" t="s">
        <v>1989</v>
      </c>
      <c r="G196" t="s">
        <v>1832</v>
      </c>
      <c r="H196" t="s">
        <v>1799</v>
      </c>
      <c r="I196" t="s">
        <v>1799</v>
      </c>
      <c r="J196" t="s">
        <v>1799</v>
      </c>
      <c r="K196" t="s">
        <v>1799</v>
      </c>
      <c r="L196" t="s">
        <v>1447</v>
      </c>
      <c r="M196" t="s">
        <v>1799</v>
      </c>
      <c r="N196" t="s">
        <v>1799</v>
      </c>
      <c r="O196" s="184" t="str">
        <f>"["&amp;$C196&amp;"]["&amp;$D196&amp;"]["&amp;$F196&amp;"]"</f>
        <v>[ActivityDataIssues][0][ActivityDataIssues]</v>
      </c>
    </row>
    <row r="197" spans="1:15" x14ac:dyDescent="0.3">
      <c r="A197" t="s">
        <v>1793</v>
      </c>
      <c r="B197" t="s">
        <v>1990</v>
      </c>
      <c r="C197" t="s">
        <v>1991</v>
      </c>
      <c r="D197">
        <v>0</v>
      </c>
      <c r="E197" t="s">
        <v>1447</v>
      </c>
      <c r="F197" t="s">
        <v>1991</v>
      </c>
      <c r="G197" t="s">
        <v>1832</v>
      </c>
      <c r="H197" t="s">
        <v>1799</v>
      </c>
      <c r="I197" t="s">
        <v>1799</v>
      </c>
      <c r="J197" t="s">
        <v>1799</v>
      </c>
      <c r="K197" t="s">
        <v>1799</v>
      </c>
      <c r="L197" t="s">
        <v>1447</v>
      </c>
      <c r="M197" t="s">
        <v>1799</v>
      </c>
      <c r="N197" t="s">
        <v>1799</v>
      </c>
      <c r="O197" s="184" t="str">
        <f>"["&amp;$C197&amp;"]["&amp;$D197&amp;"]["&amp;$F197&amp;"]"</f>
        <v>[ActivityReportRejected][0][ActivityReportRejected]</v>
      </c>
    </row>
    <row r="198" spans="1:15" x14ac:dyDescent="0.3">
      <c r="A198" t="s">
        <v>1793</v>
      </c>
      <c r="B198" t="s">
        <v>1992</v>
      </c>
      <c r="C198" t="s">
        <v>1993</v>
      </c>
      <c r="D198">
        <v>0</v>
      </c>
      <c r="E198" t="s">
        <v>1447</v>
      </c>
      <c r="F198" t="s">
        <v>1993</v>
      </c>
      <c r="G198" t="s">
        <v>1832</v>
      </c>
      <c r="H198" t="s">
        <v>1799</v>
      </c>
      <c r="I198" t="s">
        <v>1799</v>
      </c>
      <c r="J198" t="s">
        <v>1799</v>
      </c>
      <c r="K198" t="s">
        <v>1799</v>
      </c>
      <c r="L198" t="s">
        <v>1447</v>
      </c>
      <c r="M198" t="s">
        <v>1799</v>
      </c>
      <c r="N198" t="s">
        <v>1799</v>
      </c>
      <c r="O198" s="184" t="str">
        <f>"["&amp;$C198&amp;"]["&amp;$D198&amp;"]["&amp;$F198&amp;"]"</f>
        <v>[ActivityLevelVisitsWaived][0][ActivityLevelVisitsWaived]</v>
      </c>
    </row>
    <row r="199" spans="1:15" x14ac:dyDescent="0.3">
      <c r="A199" t="s">
        <v>1793</v>
      </c>
      <c r="B199" t="s">
        <v>1994</v>
      </c>
      <c r="C199" t="s">
        <v>1995</v>
      </c>
      <c r="D199">
        <v>0</v>
      </c>
      <c r="E199" t="s">
        <v>1447</v>
      </c>
      <c r="F199" t="s">
        <v>1995</v>
      </c>
      <c r="G199" t="s">
        <v>1832</v>
      </c>
      <c r="H199" t="s">
        <v>1799</v>
      </c>
      <c r="I199" t="s">
        <v>1799</v>
      </c>
      <c r="J199" t="s">
        <v>1799</v>
      </c>
      <c r="K199" t="s">
        <v>1799</v>
      </c>
      <c r="L199" t="s">
        <v>1447</v>
      </c>
      <c r="M199" t="s">
        <v>1799</v>
      </c>
      <c r="N199" t="s">
        <v>1799</v>
      </c>
      <c r="O199" s="184" t="str">
        <f>"["&amp;$C199&amp;"]["&amp;$D199&amp;"]["&amp;$F199&amp;"]"</f>
        <v>[VirtualVisitsActivityLevel][0][VirtualVisitsActivityLevel]</v>
      </c>
    </row>
    <row r="200" spans="1:15" x14ac:dyDescent="0.3">
      <c r="A200" t="s">
        <v>1793</v>
      </c>
      <c r="B200" t="s">
        <v>1996</v>
      </c>
      <c r="C200" t="s">
        <v>1997</v>
      </c>
      <c r="D200">
        <v>0</v>
      </c>
      <c r="E200" t="s">
        <v>1447</v>
      </c>
      <c r="F200" t="s">
        <v>1997</v>
      </c>
      <c r="G200" t="s">
        <v>1832</v>
      </c>
      <c r="H200" t="s">
        <v>1799</v>
      </c>
      <c r="I200" t="s">
        <v>1799</v>
      </c>
      <c r="J200" t="s">
        <v>1799</v>
      </c>
      <c r="K200" t="s">
        <v>1799</v>
      </c>
      <c r="L200" t="s">
        <v>1447</v>
      </c>
      <c r="M200" t="s">
        <v>1799</v>
      </c>
      <c r="N200" t="s">
        <v>1799</v>
      </c>
      <c r="O200" s="184" t="str">
        <f>"["&amp;$C200&amp;"]["&amp;$D200&amp;"]["&amp;$F200&amp;"]"</f>
        <v>[PriorPenaltiesEnforced][0][PriorPenaltiesEnforced]</v>
      </c>
    </row>
    <row r="201" spans="1:15" x14ac:dyDescent="0.3">
      <c r="A201" t="s">
        <v>1793</v>
      </c>
      <c r="B201" t="s">
        <v>1998</v>
      </c>
      <c r="C201" t="s">
        <v>1999</v>
      </c>
      <c r="D201">
        <v>0</v>
      </c>
      <c r="E201" t="s">
        <v>1447</v>
      </c>
      <c r="F201" t="s">
        <v>1999</v>
      </c>
      <c r="G201" t="s">
        <v>1832</v>
      </c>
      <c r="H201" t="s">
        <v>1799</v>
      </c>
      <c r="I201" t="s">
        <v>1799</v>
      </c>
      <c r="J201" t="s">
        <v>1799</v>
      </c>
      <c r="K201" t="s">
        <v>1799</v>
      </c>
      <c r="L201" t="s">
        <v>1447</v>
      </c>
      <c r="M201" t="s">
        <v>1799</v>
      </c>
      <c r="N201" t="s">
        <v>1799</v>
      </c>
      <c r="O201" s="184" t="str">
        <f>"["&amp;$C201&amp;"]["&amp;$D201&amp;"]["&amp;$F201&amp;"]"</f>
        <v>[InstallationOperatorFees][0][InstallationOperatorFees]</v>
      </c>
    </row>
    <row r="202" spans="1:15" x14ac:dyDescent="0.3">
      <c r="A202" t="s">
        <v>1793</v>
      </c>
      <c r="B202" t="s">
        <v>2000</v>
      </c>
      <c r="C202" t="s">
        <v>2001</v>
      </c>
      <c r="D202">
        <v>0</v>
      </c>
      <c r="E202" t="s">
        <v>1447</v>
      </c>
      <c r="F202" t="s">
        <v>2001</v>
      </c>
      <c r="G202" t="s">
        <v>1832</v>
      </c>
      <c r="H202" t="s">
        <v>1799</v>
      </c>
      <c r="I202" t="s">
        <v>1799</v>
      </c>
      <c r="J202" t="s">
        <v>1799</v>
      </c>
      <c r="K202" t="s">
        <v>1799</v>
      </c>
      <c r="L202" t="s">
        <v>1447</v>
      </c>
      <c r="M202" t="s">
        <v>1799</v>
      </c>
      <c r="N202" t="s">
        <v>1799</v>
      </c>
      <c r="O202" s="184" t="str">
        <f>"["&amp;$C202&amp;"]["&amp;$D202&amp;"]["&amp;$F202&amp;"]"</f>
        <v>[AircraftOperatorFees][0][AircraftOperatorFees]</v>
      </c>
    </row>
    <row r="203" spans="1:15" x14ac:dyDescent="0.3">
      <c r="A203" t="s">
        <v>1793</v>
      </c>
      <c r="B203" t="s">
        <v>2002</v>
      </c>
      <c r="C203" t="s">
        <v>2003</v>
      </c>
      <c r="D203">
        <v>1</v>
      </c>
      <c r="E203" t="s">
        <v>1447</v>
      </c>
      <c r="F203" t="s">
        <v>2004</v>
      </c>
      <c r="G203" t="s">
        <v>1832</v>
      </c>
      <c r="H203" t="s">
        <v>1799</v>
      </c>
      <c r="I203" t="s">
        <v>1799</v>
      </c>
      <c r="J203" t="s">
        <v>1799</v>
      </c>
      <c r="K203" t="s">
        <v>1799</v>
      </c>
      <c r="L203" t="s">
        <v>1419</v>
      </c>
      <c r="M203" t="s">
        <v>1799</v>
      </c>
      <c r="N203" t="s">
        <v>1799</v>
      </c>
      <c r="O203" s="184" t="str">
        <f>"["&amp;$C203&amp;"]["&amp;$D203&amp;"]["&amp;$F203&amp;"]"</f>
        <v>[S10_InstallationsComplianceMeasures][1][ComplianceMeasuresYesNo]</v>
      </c>
    </row>
    <row r="204" spans="1:15" x14ac:dyDescent="0.3">
      <c r="A204" t="s">
        <v>1793</v>
      </c>
      <c r="B204" t="s">
        <v>2002</v>
      </c>
      <c r="C204" t="s">
        <v>2003</v>
      </c>
      <c r="D204">
        <v>2</v>
      </c>
      <c r="E204" t="s">
        <v>1447</v>
      </c>
      <c r="F204" t="s">
        <v>2004</v>
      </c>
      <c r="G204" t="s">
        <v>1832</v>
      </c>
      <c r="H204" t="s">
        <v>1799</v>
      </c>
      <c r="I204" t="s">
        <v>1799</v>
      </c>
      <c r="J204" t="s">
        <v>1799</v>
      </c>
      <c r="K204" t="s">
        <v>1799</v>
      </c>
      <c r="L204" t="s">
        <v>1419</v>
      </c>
      <c r="M204" t="s">
        <v>1799</v>
      </c>
      <c r="N204" t="s">
        <v>1799</v>
      </c>
      <c r="O204" s="184" t="str">
        <f>"["&amp;$C204&amp;"]["&amp;$D204&amp;"]["&amp;$F204&amp;"]"</f>
        <v>[S10_InstallationsComplianceMeasures][2][ComplianceMeasuresYesNo]</v>
      </c>
    </row>
    <row r="205" spans="1:15" x14ac:dyDescent="0.3">
      <c r="A205" t="s">
        <v>1793</v>
      </c>
      <c r="B205" t="s">
        <v>2002</v>
      </c>
      <c r="C205" t="s">
        <v>2003</v>
      </c>
      <c r="D205">
        <v>3</v>
      </c>
      <c r="E205" t="s">
        <v>1447</v>
      </c>
      <c r="F205" t="s">
        <v>2004</v>
      </c>
      <c r="G205" t="s">
        <v>1832</v>
      </c>
      <c r="H205" t="s">
        <v>1799</v>
      </c>
      <c r="I205" t="s">
        <v>1799</v>
      </c>
      <c r="J205" t="s">
        <v>1799</v>
      </c>
      <c r="K205" t="s">
        <v>1799</v>
      </c>
      <c r="L205" t="s">
        <v>1419</v>
      </c>
      <c r="M205" t="s">
        <v>1799</v>
      </c>
      <c r="N205" t="s">
        <v>1799</v>
      </c>
      <c r="O205" s="184" t="str">
        <f>"["&amp;$C205&amp;"]["&amp;$D205&amp;"]["&amp;$F205&amp;"]"</f>
        <v>[S10_InstallationsComplianceMeasures][3][ComplianceMeasuresYesNo]</v>
      </c>
    </row>
    <row r="206" spans="1:15" x14ac:dyDescent="0.3">
      <c r="A206" t="s">
        <v>1793</v>
      </c>
      <c r="B206" t="s">
        <v>2002</v>
      </c>
      <c r="C206" t="s">
        <v>2003</v>
      </c>
      <c r="D206">
        <v>4</v>
      </c>
      <c r="E206" t="s">
        <v>1447</v>
      </c>
      <c r="F206" t="s">
        <v>2004</v>
      </c>
      <c r="G206" t="s">
        <v>1832</v>
      </c>
      <c r="H206" t="s">
        <v>1799</v>
      </c>
      <c r="I206" t="s">
        <v>1799</v>
      </c>
      <c r="J206" t="s">
        <v>1799</v>
      </c>
      <c r="K206" t="s">
        <v>1799</v>
      </c>
      <c r="L206" t="s">
        <v>1419</v>
      </c>
      <c r="M206" t="s">
        <v>1799</v>
      </c>
      <c r="N206" t="s">
        <v>1799</v>
      </c>
      <c r="O206" s="184" t="str">
        <f>"["&amp;$C206&amp;"]["&amp;$D206&amp;"]["&amp;$F206&amp;"]"</f>
        <v>[S10_InstallationsComplianceMeasures][4][ComplianceMeasuresYesNo]</v>
      </c>
    </row>
    <row r="207" spans="1:15" x14ac:dyDescent="0.3">
      <c r="A207" t="s">
        <v>1793</v>
      </c>
      <c r="B207" t="s">
        <v>2002</v>
      </c>
      <c r="C207" t="s">
        <v>2003</v>
      </c>
      <c r="D207">
        <v>1</v>
      </c>
      <c r="E207" t="s">
        <v>1447</v>
      </c>
      <c r="F207" t="s">
        <v>2005</v>
      </c>
      <c r="G207" t="s">
        <v>2006</v>
      </c>
      <c r="H207" t="s">
        <v>1799</v>
      </c>
      <c r="I207" t="s">
        <v>1799</v>
      </c>
      <c r="J207" t="s">
        <v>1799</v>
      </c>
      <c r="K207" t="s">
        <v>1756</v>
      </c>
      <c r="L207" t="s">
        <v>1799</v>
      </c>
      <c r="M207" t="s">
        <v>1799</v>
      </c>
      <c r="N207" t="s">
        <v>1799</v>
      </c>
      <c r="O207" s="184" t="str">
        <f>"["&amp;$C207&amp;"]["&amp;$D207&amp;"]["&amp;$F207&amp;"]"</f>
        <v>[S10_InstallationsComplianceMeasures][1][ComplianceMeasuresComment]</v>
      </c>
    </row>
    <row r="208" spans="1:15" x14ac:dyDescent="0.3">
      <c r="A208" t="s">
        <v>1793</v>
      </c>
      <c r="B208" t="s">
        <v>2007</v>
      </c>
      <c r="C208" t="s">
        <v>2008</v>
      </c>
      <c r="D208">
        <v>1</v>
      </c>
      <c r="E208" t="s">
        <v>1447</v>
      </c>
      <c r="F208" t="s">
        <v>2009</v>
      </c>
      <c r="G208" t="s">
        <v>1891</v>
      </c>
      <c r="H208" t="s">
        <v>1799</v>
      </c>
      <c r="I208" t="s">
        <v>1799</v>
      </c>
      <c r="J208">
        <v>12300</v>
      </c>
      <c r="K208" t="s">
        <v>1799</v>
      </c>
      <c r="L208" t="s">
        <v>1799</v>
      </c>
      <c r="M208" t="s">
        <v>1799</v>
      </c>
      <c r="N208" t="s">
        <v>1799</v>
      </c>
      <c r="O208" s="184" t="str">
        <f>"["&amp;$C208&amp;"]["&amp;$D208&amp;"]["&amp;$F208&amp;"]"</f>
        <v>[S10_InstallationsInfringementPenalties][1][MinFine]</v>
      </c>
    </row>
    <row r="209" spans="1:15" x14ac:dyDescent="0.3">
      <c r="A209" t="s">
        <v>1793</v>
      </c>
      <c r="B209" t="s">
        <v>2007</v>
      </c>
      <c r="C209" t="s">
        <v>2008</v>
      </c>
      <c r="D209">
        <v>2</v>
      </c>
      <c r="E209" t="s">
        <v>1447</v>
      </c>
      <c r="F209" t="s">
        <v>2009</v>
      </c>
      <c r="G209" t="s">
        <v>1891</v>
      </c>
      <c r="H209" t="s">
        <v>1799</v>
      </c>
      <c r="I209" t="s">
        <v>1799</v>
      </c>
      <c r="J209">
        <v>12300</v>
      </c>
      <c r="K209" t="s">
        <v>1799</v>
      </c>
      <c r="L209" t="s">
        <v>1799</v>
      </c>
      <c r="M209" t="s">
        <v>1799</v>
      </c>
      <c r="N209" t="s">
        <v>1799</v>
      </c>
      <c r="O209" s="184" t="str">
        <f>"["&amp;$C209&amp;"]["&amp;$D209&amp;"]["&amp;$F209&amp;"]"</f>
        <v>[S10_InstallationsInfringementPenalties][2][MinFine]</v>
      </c>
    </row>
    <row r="210" spans="1:15" x14ac:dyDescent="0.3">
      <c r="A210" t="s">
        <v>1793</v>
      </c>
      <c r="B210" t="s">
        <v>2007</v>
      </c>
      <c r="C210" t="s">
        <v>2008</v>
      </c>
      <c r="D210">
        <v>3</v>
      </c>
      <c r="E210" t="s">
        <v>1447</v>
      </c>
      <c r="F210" t="s">
        <v>2009</v>
      </c>
      <c r="G210" t="s">
        <v>1891</v>
      </c>
      <c r="H210" t="s">
        <v>1799</v>
      </c>
      <c r="I210" t="s">
        <v>1799</v>
      </c>
      <c r="J210">
        <v>12300</v>
      </c>
      <c r="K210" t="s">
        <v>1799</v>
      </c>
      <c r="L210" t="s">
        <v>1799</v>
      </c>
      <c r="M210" t="s">
        <v>1799</v>
      </c>
      <c r="N210" t="s">
        <v>1799</v>
      </c>
      <c r="O210" s="184" t="str">
        <f>"["&amp;$C210&amp;"]["&amp;$D210&amp;"]["&amp;$F210&amp;"]"</f>
        <v>[S10_InstallationsInfringementPenalties][3][MinFine]</v>
      </c>
    </row>
    <row r="211" spans="1:15" x14ac:dyDescent="0.3">
      <c r="A211" t="s">
        <v>1793</v>
      </c>
      <c r="B211" t="s">
        <v>2007</v>
      </c>
      <c r="C211" t="s">
        <v>2008</v>
      </c>
      <c r="D211">
        <v>4</v>
      </c>
      <c r="E211" t="s">
        <v>1447</v>
      </c>
      <c r="F211" t="s">
        <v>2009</v>
      </c>
      <c r="G211" t="s">
        <v>1891</v>
      </c>
      <c r="H211" t="s">
        <v>1799</v>
      </c>
      <c r="I211" t="s">
        <v>1799</v>
      </c>
      <c r="J211">
        <v>12300</v>
      </c>
      <c r="K211" t="s">
        <v>1799</v>
      </c>
      <c r="L211" t="s">
        <v>1799</v>
      </c>
      <c r="M211" t="s">
        <v>1799</v>
      </c>
      <c r="N211" t="s">
        <v>1799</v>
      </c>
      <c r="O211" s="184" t="str">
        <f>"["&amp;$C211&amp;"]["&amp;$D211&amp;"]["&amp;$F211&amp;"]"</f>
        <v>[S10_InstallationsInfringementPenalties][4][MinFine]</v>
      </c>
    </row>
    <row r="212" spans="1:15" x14ac:dyDescent="0.3">
      <c r="A212" t="s">
        <v>1793</v>
      </c>
      <c r="B212" t="s">
        <v>2007</v>
      </c>
      <c r="C212" t="s">
        <v>2008</v>
      </c>
      <c r="D212">
        <v>5</v>
      </c>
      <c r="E212" t="s">
        <v>1447</v>
      </c>
      <c r="F212" t="s">
        <v>2009</v>
      </c>
      <c r="G212" t="s">
        <v>1891</v>
      </c>
      <c r="H212" t="s">
        <v>1799</v>
      </c>
      <c r="I212" t="s">
        <v>1799</v>
      </c>
      <c r="J212">
        <v>12300</v>
      </c>
      <c r="K212" t="s">
        <v>1799</v>
      </c>
      <c r="L212" t="s">
        <v>1799</v>
      </c>
      <c r="M212" t="s">
        <v>1799</v>
      </c>
      <c r="N212" t="s">
        <v>1799</v>
      </c>
      <c r="O212" s="184" t="str">
        <f>"["&amp;$C212&amp;"]["&amp;$D212&amp;"]["&amp;$F212&amp;"]"</f>
        <v>[S10_InstallationsInfringementPenalties][5][MinFine]</v>
      </c>
    </row>
    <row r="213" spans="1:15" x14ac:dyDescent="0.3">
      <c r="A213" t="s">
        <v>1793</v>
      </c>
      <c r="B213" t="s">
        <v>2007</v>
      </c>
      <c r="C213" t="s">
        <v>2008</v>
      </c>
      <c r="D213">
        <v>6</v>
      </c>
      <c r="E213" t="s">
        <v>1447</v>
      </c>
      <c r="F213" t="s">
        <v>2009</v>
      </c>
      <c r="G213" t="s">
        <v>1891</v>
      </c>
      <c r="H213" t="s">
        <v>1799</v>
      </c>
      <c r="I213" t="s">
        <v>1799</v>
      </c>
      <c r="J213">
        <v>12300</v>
      </c>
      <c r="K213" t="s">
        <v>1799</v>
      </c>
      <c r="L213" t="s">
        <v>1799</v>
      </c>
      <c r="M213" t="s">
        <v>1799</v>
      </c>
      <c r="N213" t="s">
        <v>1799</v>
      </c>
      <c r="O213" s="184" t="str">
        <f>"["&amp;$C213&amp;"]["&amp;$D213&amp;"]["&amp;$F213&amp;"]"</f>
        <v>[S10_InstallationsInfringementPenalties][6][MinFine]</v>
      </c>
    </row>
    <row r="214" spans="1:15" x14ac:dyDescent="0.3">
      <c r="A214" t="s">
        <v>1793</v>
      </c>
      <c r="B214" t="s">
        <v>2007</v>
      </c>
      <c r="C214" t="s">
        <v>2008</v>
      </c>
      <c r="D214">
        <v>7</v>
      </c>
      <c r="E214" t="s">
        <v>1447</v>
      </c>
      <c r="F214" t="s">
        <v>2009</v>
      </c>
      <c r="G214" t="s">
        <v>1891</v>
      </c>
      <c r="H214" t="s">
        <v>1799</v>
      </c>
      <c r="I214" t="s">
        <v>1799</v>
      </c>
      <c r="J214">
        <v>12300</v>
      </c>
      <c r="K214" t="s">
        <v>1799</v>
      </c>
      <c r="L214" t="s">
        <v>1799</v>
      </c>
      <c r="M214" t="s">
        <v>1799</v>
      </c>
      <c r="N214" t="s">
        <v>1799</v>
      </c>
      <c r="O214" s="184" t="str">
        <f>"["&amp;$C214&amp;"]["&amp;$D214&amp;"]["&amp;$F214&amp;"]"</f>
        <v>[S10_InstallationsInfringementPenalties][7][MinFine]</v>
      </c>
    </row>
    <row r="215" spans="1:15" x14ac:dyDescent="0.3">
      <c r="A215" t="s">
        <v>1793</v>
      </c>
      <c r="B215" t="s">
        <v>2007</v>
      </c>
      <c r="C215" t="s">
        <v>2008</v>
      </c>
      <c r="D215">
        <v>8</v>
      </c>
      <c r="E215" t="s">
        <v>1447</v>
      </c>
      <c r="F215" t="s">
        <v>2009</v>
      </c>
      <c r="G215" t="s">
        <v>1891</v>
      </c>
      <c r="H215" t="s">
        <v>1799</v>
      </c>
      <c r="I215" t="s">
        <v>1799</v>
      </c>
      <c r="J215">
        <v>102</v>
      </c>
      <c r="K215" t="s">
        <v>1799</v>
      </c>
      <c r="L215" t="s">
        <v>1799</v>
      </c>
      <c r="M215" t="s">
        <v>1799</v>
      </c>
      <c r="N215" t="s">
        <v>1799</v>
      </c>
      <c r="O215" s="184" t="str">
        <f>"["&amp;$C215&amp;"]["&amp;$D215&amp;"]["&amp;$F215&amp;"]"</f>
        <v>[S10_InstallationsInfringementPenalties][8][MinFine]</v>
      </c>
    </row>
    <row r="216" spans="1:15" x14ac:dyDescent="0.3">
      <c r="A216" t="s">
        <v>1793</v>
      </c>
      <c r="B216" t="s">
        <v>2007</v>
      </c>
      <c r="C216" t="s">
        <v>2008</v>
      </c>
      <c r="D216">
        <v>9</v>
      </c>
      <c r="E216" t="s">
        <v>1447</v>
      </c>
      <c r="F216" t="s">
        <v>2009</v>
      </c>
      <c r="G216" t="s">
        <v>1891</v>
      </c>
      <c r="H216" t="s">
        <v>1799</v>
      </c>
      <c r="I216" t="s">
        <v>1799</v>
      </c>
      <c r="J216">
        <v>12300</v>
      </c>
      <c r="K216" t="s">
        <v>1799</v>
      </c>
      <c r="L216" t="s">
        <v>1799</v>
      </c>
      <c r="M216" t="s">
        <v>1799</v>
      </c>
      <c r="N216" t="s">
        <v>1799</v>
      </c>
      <c r="O216" s="184" t="str">
        <f>"["&amp;$C216&amp;"]["&amp;$D216&amp;"]["&amp;$F216&amp;"]"</f>
        <v>[S10_InstallationsInfringementPenalties][9][MinFine]</v>
      </c>
    </row>
    <row r="217" spans="1:15" x14ac:dyDescent="0.3">
      <c r="A217" t="s">
        <v>1793</v>
      </c>
      <c r="B217" t="s">
        <v>2007</v>
      </c>
      <c r="C217" t="s">
        <v>2008</v>
      </c>
      <c r="D217">
        <v>10</v>
      </c>
      <c r="E217" t="s">
        <v>1447</v>
      </c>
      <c r="F217" t="s">
        <v>2009</v>
      </c>
      <c r="G217" t="s">
        <v>1891</v>
      </c>
      <c r="H217" t="s">
        <v>1799</v>
      </c>
      <c r="I217" t="s">
        <v>1799</v>
      </c>
      <c r="J217">
        <v>12300</v>
      </c>
      <c r="K217" t="s">
        <v>1799</v>
      </c>
      <c r="L217" t="s">
        <v>1799</v>
      </c>
      <c r="M217" t="s">
        <v>1799</v>
      </c>
      <c r="N217" t="s">
        <v>1799</v>
      </c>
      <c r="O217" s="184" t="str">
        <f>"["&amp;$C217&amp;"]["&amp;$D217&amp;"]["&amp;$F217&amp;"]"</f>
        <v>[S10_InstallationsInfringementPenalties][10][MinFine]</v>
      </c>
    </row>
    <row r="218" spans="1:15" x14ac:dyDescent="0.3">
      <c r="A218" t="s">
        <v>1793</v>
      </c>
      <c r="B218" t="s">
        <v>2007</v>
      </c>
      <c r="C218" t="s">
        <v>2008</v>
      </c>
      <c r="D218">
        <v>11</v>
      </c>
      <c r="E218" t="s">
        <v>1447</v>
      </c>
      <c r="F218" t="s">
        <v>2009</v>
      </c>
      <c r="G218" t="s">
        <v>1891</v>
      </c>
      <c r="H218" t="s">
        <v>1799</v>
      </c>
      <c r="I218" t="s">
        <v>1799</v>
      </c>
      <c r="J218">
        <v>12300</v>
      </c>
      <c r="K218" t="s">
        <v>1799</v>
      </c>
      <c r="L218" t="s">
        <v>1799</v>
      </c>
      <c r="M218" t="s">
        <v>1799</v>
      </c>
      <c r="N218" t="s">
        <v>1799</v>
      </c>
      <c r="O218" s="184" t="str">
        <f>"["&amp;$C218&amp;"]["&amp;$D218&amp;"]["&amp;$F218&amp;"]"</f>
        <v>[S10_InstallationsInfringementPenalties][11][MinFine]</v>
      </c>
    </row>
    <row r="219" spans="1:15" x14ac:dyDescent="0.3">
      <c r="A219" t="s">
        <v>1793</v>
      </c>
      <c r="B219" t="s">
        <v>2007</v>
      </c>
      <c r="C219" t="s">
        <v>2008</v>
      </c>
      <c r="D219">
        <v>1</v>
      </c>
      <c r="E219" t="s">
        <v>1447</v>
      </c>
      <c r="F219" t="s">
        <v>2010</v>
      </c>
      <c r="G219" t="s">
        <v>1891</v>
      </c>
      <c r="H219" t="s">
        <v>1799</v>
      </c>
      <c r="I219" t="s">
        <v>1799</v>
      </c>
      <c r="J219">
        <v>2415</v>
      </c>
      <c r="K219" t="s">
        <v>1799</v>
      </c>
      <c r="L219" t="s">
        <v>1799</v>
      </c>
      <c r="M219" t="s">
        <v>1799</v>
      </c>
      <c r="N219" t="s">
        <v>1799</v>
      </c>
      <c r="O219" s="184" t="str">
        <f>"["&amp;$C219&amp;"]["&amp;$D219&amp;"]["&amp;$F219&amp;"]"</f>
        <v>[S10_InstallationsInfringementPenalties][1][MaxFine]</v>
      </c>
    </row>
    <row r="220" spans="1:15" x14ac:dyDescent="0.3">
      <c r="A220" t="s">
        <v>1793</v>
      </c>
      <c r="B220" t="s">
        <v>2007</v>
      </c>
      <c r="C220" t="s">
        <v>2008</v>
      </c>
      <c r="D220">
        <v>2</v>
      </c>
      <c r="E220" t="s">
        <v>1447</v>
      </c>
      <c r="F220" t="s">
        <v>2010</v>
      </c>
      <c r="G220" t="s">
        <v>1891</v>
      </c>
      <c r="H220" t="s">
        <v>1799</v>
      </c>
      <c r="I220" t="s">
        <v>1799</v>
      </c>
      <c r="J220">
        <v>2415</v>
      </c>
      <c r="K220" t="s">
        <v>1799</v>
      </c>
      <c r="L220" t="s">
        <v>1799</v>
      </c>
      <c r="M220" t="s">
        <v>1799</v>
      </c>
      <c r="N220" t="s">
        <v>1799</v>
      </c>
      <c r="O220" s="184" t="str">
        <f>"["&amp;$C220&amp;"]["&amp;$D220&amp;"]["&amp;$F220&amp;"]"</f>
        <v>[S10_InstallationsInfringementPenalties][2][MaxFine]</v>
      </c>
    </row>
    <row r="221" spans="1:15" x14ac:dyDescent="0.3">
      <c r="A221" t="s">
        <v>1793</v>
      </c>
      <c r="B221" t="s">
        <v>2007</v>
      </c>
      <c r="C221" t="s">
        <v>2008</v>
      </c>
      <c r="D221">
        <v>3</v>
      </c>
      <c r="E221" t="s">
        <v>1447</v>
      </c>
      <c r="F221" t="s">
        <v>2010</v>
      </c>
      <c r="G221" t="s">
        <v>1891</v>
      </c>
      <c r="H221" t="s">
        <v>1799</v>
      </c>
      <c r="I221" t="s">
        <v>1799</v>
      </c>
      <c r="J221">
        <v>2415</v>
      </c>
      <c r="K221" t="s">
        <v>1799</v>
      </c>
      <c r="L221" t="s">
        <v>1799</v>
      </c>
      <c r="M221" t="s">
        <v>1799</v>
      </c>
      <c r="N221" t="s">
        <v>1799</v>
      </c>
      <c r="O221" s="184" t="str">
        <f>"["&amp;$C221&amp;"]["&amp;$D221&amp;"]["&amp;$F221&amp;"]"</f>
        <v>[S10_InstallationsInfringementPenalties][3][MaxFine]</v>
      </c>
    </row>
    <row r="222" spans="1:15" x14ac:dyDescent="0.3">
      <c r="A222" t="s">
        <v>1793</v>
      </c>
      <c r="B222" t="s">
        <v>2007</v>
      </c>
      <c r="C222" t="s">
        <v>2008</v>
      </c>
      <c r="D222">
        <v>4</v>
      </c>
      <c r="E222" t="s">
        <v>1447</v>
      </c>
      <c r="F222" t="s">
        <v>2010</v>
      </c>
      <c r="G222" t="s">
        <v>1891</v>
      </c>
      <c r="H222" t="s">
        <v>1799</v>
      </c>
      <c r="I222" t="s">
        <v>1799</v>
      </c>
      <c r="J222">
        <v>2415</v>
      </c>
      <c r="K222" t="s">
        <v>1799</v>
      </c>
      <c r="L222" t="s">
        <v>1799</v>
      </c>
      <c r="M222" t="s">
        <v>1799</v>
      </c>
      <c r="N222" t="s">
        <v>1799</v>
      </c>
      <c r="O222" s="184" t="str">
        <f>"["&amp;$C222&amp;"]["&amp;$D222&amp;"]["&amp;$F222&amp;"]"</f>
        <v>[S10_InstallationsInfringementPenalties][4][MaxFine]</v>
      </c>
    </row>
    <row r="223" spans="1:15" x14ac:dyDescent="0.3">
      <c r="A223" t="s">
        <v>1793</v>
      </c>
      <c r="B223" t="s">
        <v>2007</v>
      </c>
      <c r="C223" t="s">
        <v>2008</v>
      </c>
      <c r="D223">
        <v>5</v>
      </c>
      <c r="E223" t="s">
        <v>1447</v>
      </c>
      <c r="F223" t="s">
        <v>2010</v>
      </c>
      <c r="G223" t="s">
        <v>1891</v>
      </c>
      <c r="H223" t="s">
        <v>1799</v>
      </c>
      <c r="I223" t="s">
        <v>1799</v>
      </c>
      <c r="J223">
        <v>2415</v>
      </c>
      <c r="K223" t="s">
        <v>1799</v>
      </c>
      <c r="L223" t="s">
        <v>1799</v>
      </c>
      <c r="M223" t="s">
        <v>1799</v>
      </c>
      <c r="N223" t="s">
        <v>1799</v>
      </c>
      <c r="O223" s="184" t="str">
        <f>"["&amp;$C223&amp;"]["&amp;$D223&amp;"]["&amp;$F223&amp;"]"</f>
        <v>[S10_InstallationsInfringementPenalties][5][MaxFine]</v>
      </c>
    </row>
    <row r="224" spans="1:15" x14ac:dyDescent="0.3">
      <c r="A224" t="s">
        <v>1793</v>
      </c>
      <c r="B224" t="s">
        <v>2007</v>
      </c>
      <c r="C224" t="s">
        <v>2008</v>
      </c>
      <c r="D224">
        <v>6</v>
      </c>
      <c r="E224" t="s">
        <v>1447</v>
      </c>
      <c r="F224" t="s">
        <v>2010</v>
      </c>
      <c r="G224" t="s">
        <v>1891</v>
      </c>
      <c r="H224" t="s">
        <v>1799</v>
      </c>
      <c r="I224" t="s">
        <v>1799</v>
      </c>
      <c r="J224">
        <v>2415</v>
      </c>
      <c r="K224" t="s">
        <v>1799</v>
      </c>
      <c r="L224" t="s">
        <v>1799</v>
      </c>
      <c r="M224" t="s">
        <v>1799</v>
      </c>
      <c r="N224" t="s">
        <v>1799</v>
      </c>
      <c r="O224" s="184" t="str">
        <f>"["&amp;$C224&amp;"]["&amp;$D224&amp;"]["&amp;$F224&amp;"]"</f>
        <v>[S10_InstallationsInfringementPenalties][6][MaxFine]</v>
      </c>
    </row>
    <row r="225" spans="1:15" x14ac:dyDescent="0.3">
      <c r="A225" t="s">
        <v>1793</v>
      </c>
      <c r="B225" t="s">
        <v>2007</v>
      </c>
      <c r="C225" t="s">
        <v>2008</v>
      </c>
      <c r="D225">
        <v>7</v>
      </c>
      <c r="E225" t="s">
        <v>1447</v>
      </c>
      <c r="F225" t="s">
        <v>2010</v>
      </c>
      <c r="G225" t="s">
        <v>1891</v>
      </c>
      <c r="H225" t="s">
        <v>1799</v>
      </c>
      <c r="I225" t="s">
        <v>1799</v>
      </c>
      <c r="J225">
        <v>2415</v>
      </c>
      <c r="K225" t="s">
        <v>1799</v>
      </c>
      <c r="L225" t="s">
        <v>1799</v>
      </c>
      <c r="M225" t="s">
        <v>1799</v>
      </c>
      <c r="N225" t="s">
        <v>1799</v>
      </c>
      <c r="O225" s="184" t="str">
        <f>"["&amp;$C225&amp;"]["&amp;$D225&amp;"]["&amp;$F225&amp;"]"</f>
        <v>[S10_InstallationsInfringementPenalties][7][MaxFine]</v>
      </c>
    </row>
    <row r="226" spans="1:15" x14ac:dyDescent="0.3">
      <c r="A226" t="s">
        <v>1793</v>
      </c>
      <c r="B226" t="s">
        <v>2007</v>
      </c>
      <c r="C226" t="s">
        <v>2008</v>
      </c>
      <c r="D226">
        <v>8</v>
      </c>
      <c r="E226" t="s">
        <v>1447</v>
      </c>
      <c r="F226" t="s">
        <v>2010</v>
      </c>
      <c r="G226" t="s">
        <v>1891</v>
      </c>
      <c r="H226" t="s">
        <v>1799</v>
      </c>
      <c r="I226" t="s">
        <v>1799</v>
      </c>
      <c r="J226">
        <v>102</v>
      </c>
      <c r="K226" t="s">
        <v>1799</v>
      </c>
      <c r="L226" t="s">
        <v>1799</v>
      </c>
      <c r="M226" t="s">
        <v>1799</v>
      </c>
      <c r="N226" t="s">
        <v>1799</v>
      </c>
      <c r="O226" s="184" t="str">
        <f>"["&amp;$C226&amp;"]["&amp;$D226&amp;"]["&amp;$F226&amp;"]"</f>
        <v>[S10_InstallationsInfringementPenalties][8][MaxFine]</v>
      </c>
    </row>
    <row r="227" spans="1:15" x14ac:dyDescent="0.3">
      <c r="A227" t="s">
        <v>1793</v>
      </c>
      <c r="B227" t="s">
        <v>2007</v>
      </c>
      <c r="C227" t="s">
        <v>2008</v>
      </c>
      <c r="D227">
        <v>9</v>
      </c>
      <c r="E227" t="s">
        <v>1447</v>
      </c>
      <c r="F227" t="s">
        <v>2010</v>
      </c>
      <c r="G227" t="s">
        <v>1891</v>
      </c>
      <c r="H227" t="s">
        <v>1799</v>
      </c>
      <c r="I227" t="s">
        <v>1799</v>
      </c>
      <c r="J227">
        <v>2415</v>
      </c>
      <c r="K227" t="s">
        <v>1799</v>
      </c>
      <c r="L227" t="s">
        <v>1799</v>
      </c>
      <c r="M227" t="s">
        <v>1799</v>
      </c>
      <c r="N227" t="s">
        <v>1799</v>
      </c>
      <c r="O227" s="184" t="str">
        <f>"["&amp;$C227&amp;"]["&amp;$D227&amp;"]["&amp;$F227&amp;"]"</f>
        <v>[S10_InstallationsInfringementPenalties][9][MaxFine]</v>
      </c>
    </row>
    <row r="228" spans="1:15" x14ac:dyDescent="0.3">
      <c r="A228" t="s">
        <v>1793</v>
      </c>
      <c r="B228" t="s">
        <v>2007</v>
      </c>
      <c r="C228" t="s">
        <v>2008</v>
      </c>
      <c r="D228">
        <v>10</v>
      </c>
      <c r="E228" t="s">
        <v>1447</v>
      </c>
      <c r="F228" t="s">
        <v>2010</v>
      </c>
      <c r="G228" t="s">
        <v>1891</v>
      </c>
      <c r="H228" t="s">
        <v>1799</v>
      </c>
      <c r="I228" t="s">
        <v>1799</v>
      </c>
      <c r="J228">
        <v>2415</v>
      </c>
      <c r="K228" t="s">
        <v>1799</v>
      </c>
      <c r="L228" t="s">
        <v>1799</v>
      </c>
      <c r="M228" t="s">
        <v>1799</v>
      </c>
      <c r="N228" t="s">
        <v>1799</v>
      </c>
      <c r="O228" s="184" t="str">
        <f>"["&amp;$C228&amp;"]["&amp;$D228&amp;"]["&amp;$F228&amp;"]"</f>
        <v>[S10_InstallationsInfringementPenalties][10][MaxFine]</v>
      </c>
    </row>
    <row r="229" spans="1:15" x14ac:dyDescent="0.3">
      <c r="A229" t="s">
        <v>1793</v>
      </c>
      <c r="B229" t="s">
        <v>2007</v>
      </c>
      <c r="C229" t="s">
        <v>2008</v>
      </c>
      <c r="D229">
        <v>11</v>
      </c>
      <c r="E229" t="s">
        <v>1447</v>
      </c>
      <c r="F229" t="s">
        <v>2010</v>
      </c>
      <c r="G229" t="s">
        <v>1891</v>
      </c>
      <c r="H229" t="s">
        <v>1799</v>
      </c>
      <c r="I229" t="s">
        <v>1799</v>
      </c>
      <c r="J229">
        <v>2415</v>
      </c>
      <c r="K229" t="s">
        <v>1799</v>
      </c>
      <c r="L229" t="s">
        <v>1799</v>
      </c>
      <c r="M229" t="s">
        <v>1799</v>
      </c>
      <c r="N229" t="s">
        <v>1799</v>
      </c>
      <c r="O229" s="184" t="str">
        <f>"["&amp;$C229&amp;"]["&amp;$D229&amp;"]["&amp;$F229&amp;"]"</f>
        <v>[S10_InstallationsInfringementPenalties][11][MaxFine]</v>
      </c>
    </row>
    <row r="230" spans="1:15" x14ac:dyDescent="0.3">
      <c r="A230" t="s">
        <v>1793</v>
      </c>
      <c r="B230" t="s">
        <v>2007</v>
      </c>
      <c r="C230" t="s">
        <v>2008</v>
      </c>
      <c r="D230">
        <v>1</v>
      </c>
      <c r="E230" t="s">
        <v>1447</v>
      </c>
      <c r="F230" t="s">
        <v>2011</v>
      </c>
      <c r="G230" t="s">
        <v>2006</v>
      </c>
      <c r="H230" t="s">
        <v>1799</v>
      </c>
      <c r="I230" t="s">
        <v>1799</v>
      </c>
      <c r="J230" t="s">
        <v>1799</v>
      </c>
      <c r="K230" t="s">
        <v>2012</v>
      </c>
      <c r="L230" t="s">
        <v>1799</v>
      </c>
      <c r="M230" t="s">
        <v>1799</v>
      </c>
      <c r="N230" t="s">
        <v>1799</v>
      </c>
      <c r="O230" s="184" t="str">
        <f>"["&amp;$C230&amp;"]["&amp;$D230&amp;"]["&amp;$F230&amp;"]"</f>
        <v>[S10_InstallationsInfringementPenalties][1][OtherPenalty]</v>
      </c>
    </row>
    <row r="231" spans="1:15" x14ac:dyDescent="0.3">
      <c r="A231" t="s">
        <v>1793</v>
      </c>
      <c r="B231" t="s">
        <v>2007</v>
      </c>
      <c r="C231" t="s">
        <v>2013</v>
      </c>
      <c r="D231">
        <v>0</v>
      </c>
      <c r="E231" t="s">
        <v>1447</v>
      </c>
      <c r="F231" t="s">
        <v>2013</v>
      </c>
      <c r="G231" t="s">
        <v>1797</v>
      </c>
      <c r="H231" t="s">
        <v>2014</v>
      </c>
      <c r="I231" t="s">
        <v>1799</v>
      </c>
      <c r="J231" t="s">
        <v>1799</v>
      </c>
      <c r="K231" t="s">
        <v>1799</v>
      </c>
      <c r="L231" t="s">
        <v>1799</v>
      </c>
      <c r="M231" t="s">
        <v>1799</v>
      </c>
      <c r="N231" t="s">
        <v>1799</v>
      </c>
      <c r="O231" s="184" t="str">
        <f>"["&amp;$C231&amp;"]["&amp;$D231&amp;"]["&amp;$F231&amp;"]"</f>
        <v>[InstallationsNationalLaw][0][InstallationsNationalLaw]</v>
      </c>
    </row>
    <row r="232" spans="1:15" x14ac:dyDescent="0.3">
      <c r="A232" t="s">
        <v>1793</v>
      </c>
      <c r="B232" t="s">
        <v>2015</v>
      </c>
      <c r="C232" t="s">
        <v>2016</v>
      </c>
      <c r="D232">
        <v>0</v>
      </c>
      <c r="E232" t="s">
        <v>1447</v>
      </c>
      <c r="F232" t="s">
        <v>2016</v>
      </c>
      <c r="G232" t="s">
        <v>1832</v>
      </c>
      <c r="H232" t="s">
        <v>1799</v>
      </c>
      <c r="I232" t="s">
        <v>1799</v>
      </c>
      <c r="J232" t="s">
        <v>1799</v>
      </c>
      <c r="K232" t="s">
        <v>1799</v>
      </c>
      <c r="L232" t="s">
        <v>1447</v>
      </c>
      <c r="M232" t="s">
        <v>1799</v>
      </c>
      <c r="N232" t="s">
        <v>1799</v>
      </c>
      <c r="O232" s="184" t="str">
        <f>"["&amp;$C232&amp;"]["&amp;$D232&amp;"]["&amp;$F232&amp;"]"</f>
        <v>[InstallationsPriorPenaltiesEnforced][0][InstallationsPriorPenaltiesEnforced]</v>
      </c>
    </row>
    <row r="233" spans="1:15" x14ac:dyDescent="0.3">
      <c r="A233" t="s">
        <v>1793</v>
      </c>
      <c r="B233" t="s">
        <v>2017</v>
      </c>
      <c r="C233" t="s">
        <v>2018</v>
      </c>
      <c r="D233">
        <v>0</v>
      </c>
      <c r="E233" t="s">
        <v>1447</v>
      </c>
      <c r="F233" t="s">
        <v>2018</v>
      </c>
      <c r="G233" t="s">
        <v>1797</v>
      </c>
      <c r="H233" t="s">
        <v>2019</v>
      </c>
      <c r="I233" t="s">
        <v>1799</v>
      </c>
      <c r="J233" t="s">
        <v>1799</v>
      </c>
      <c r="K233" t="s">
        <v>1799</v>
      </c>
      <c r="L233" t="s">
        <v>1799</v>
      </c>
      <c r="M233" t="s">
        <v>1799</v>
      </c>
      <c r="N233" t="s">
        <v>1799</v>
      </c>
      <c r="O233" s="184" t="str">
        <f>"["&amp;$C233&amp;"]["&amp;$D233&amp;"]["&amp;$F233&amp;"]"</f>
        <v>[LegalNatureOfEmissionAllowance][0][LegalNatureOfEmissionAllowance]</v>
      </c>
    </row>
    <row r="234" spans="1:15" x14ac:dyDescent="0.3">
      <c r="A234" t="s">
        <v>1793</v>
      </c>
      <c r="B234" t="s">
        <v>2020</v>
      </c>
      <c r="C234" t="s">
        <v>2021</v>
      </c>
      <c r="D234">
        <v>0</v>
      </c>
      <c r="E234" t="s">
        <v>1447</v>
      </c>
      <c r="F234" t="s">
        <v>2021</v>
      </c>
      <c r="G234" t="s">
        <v>1832</v>
      </c>
      <c r="H234" t="s">
        <v>1799</v>
      </c>
      <c r="I234" t="s">
        <v>1799</v>
      </c>
      <c r="J234" t="s">
        <v>1799</v>
      </c>
      <c r="K234" t="s">
        <v>1799</v>
      </c>
      <c r="L234" t="s">
        <v>1447</v>
      </c>
      <c r="M234" t="s">
        <v>1799</v>
      </c>
      <c r="N234" t="s">
        <v>1799</v>
      </c>
      <c r="O234" s="184" t="str">
        <f>"["&amp;$C234&amp;"]["&amp;$D234&amp;"]["&amp;$F234&amp;"]"</f>
        <v>[VATdueEmissionAllowancesIssuance][0][VATdueEmissionAllowancesIssuance]</v>
      </c>
    </row>
    <row r="235" spans="1:15" x14ac:dyDescent="0.3">
      <c r="A235" t="s">
        <v>1793</v>
      </c>
      <c r="B235" t="s">
        <v>2022</v>
      </c>
      <c r="C235" t="s">
        <v>2023</v>
      </c>
      <c r="D235">
        <v>0</v>
      </c>
      <c r="E235" t="s">
        <v>1447</v>
      </c>
      <c r="F235" t="s">
        <v>2023</v>
      </c>
      <c r="G235" t="s">
        <v>1832</v>
      </c>
      <c r="H235" t="s">
        <v>1799</v>
      </c>
      <c r="I235" t="s">
        <v>1799</v>
      </c>
      <c r="J235" t="s">
        <v>1799</v>
      </c>
      <c r="K235" t="s">
        <v>1799</v>
      </c>
      <c r="L235" t="s">
        <v>1447</v>
      </c>
      <c r="M235" t="s">
        <v>1799</v>
      </c>
      <c r="N235" t="s">
        <v>1799</v>
      </c>
      <c r="O235" s="184" t="str">
        <f>"["&amp;$C235&amp;"]["&amp;$D235&amp;"]["&amp;$F235&amp;"]"</f>
        <v>[EmissionAllowancesTaxed][0][EmissionAllowancesTaxed]</v>
      </c>
    </row>
    <row r="236" spans="1:15" x14ac:dyDescent="0.3">
      <c r="A236" t="s">
        <v>1793</v>
      </c>
      <c r="B236" t="s">
        <v>2024</v>
      </c>
      <c r="C236" t="s">
        <v>2025</v>
      </c>
      <c r="D236">
        <v>1</v>
      </c>
      <c r="E236" t="s">
        <v>1447</v>
      </c>
      <c r="F236" t="s">
        <v>2026</v>
      </c>
      <c r="G236" t="s">
        <v>1797</v>
      </c>
      <c r="H236" t="s">
        <v>2027</v>
      </c>
      <c r="I236" t="s">
        <v>1799</v>
      </c>
      <c r="J236" t="s">
        <v>1799</v>
      </c>
      <c r="K236" t="s">
        <v>1799</v>
      </c>
      <c r="L236" t="s">
        <v>1799</v>
      </c>
      <c r="M236" t="s">
        <v>1799</v>
      </c>
      <c r="N236" t="s">
        <v>1799</v>
      </c>
      <c r="O236" s="184" t="str">
        <f>"["&amp;$C236&amp;"]["&amp;$D236&amp;"]["&amp;$F236&amp;"]"</f>
        <v>[S12_FraudFreeAllocationOfAllowances][1][DetailsOfProceduresInNationalLaw]</v>
      </c>
    </row>
    <row r="237" spans="1:15" x14ac:dyDescent="0.3">
      <c r="A237" t="s">
        <v>1793</v>
      </c>
      <c r="B237" t="s">
        <v>2024</v>
      </c>
      <c r="C237" t="s">
        <v>2025</v>
      </c>
      <c r="D237">
        <v>2</v>
      </c>
      <c r="E237" t="s">
        <v>1447</v>
      </c>
      <c r="F237" t="s">
        <v>2026</v>
      </c>
      <c r="G237" t="s">
        <v>1797</v>
      </c>
      <c r="H237" t="s">
        <v>2028</v>
      </c>
      <c r="I237" t="s">
        <v>1799</v>
      </c>
      <c r="J237" t="s">
        <v>1799</v>
      </c>
      <c r="K237" t="s">
        <v>1799</v>
      </c>
      <c r="L237" t="s">
        <v>1799</v>
      </c>
      <c r="M237" t="s">
        <v>1799</v>
      </c>
      <c r="N237" t="s">
        <v>1799</v>
      </c>
      <c r="O237" s="184" t="str">
        <f>"["&amp;$C237&amp;"]["&amp;$D237&amp;"]["&amp;$F237&amp;"]"</f>
        <v>[S12_FraudFreeAllocationOfAllowances][2][DetailsOfProceduresInNationalLaw]</v>
      </c>
    </row>
    <row r="238" spans="1:15" x14ac:dyDescent="0.3">
      <c r="A238" t="s">
        <v>1793</v>
      </c>
      <c r="B238" t="s">
        <v>2024</v>
      </c>
      <c r="C238" t="s">
        <v>2025</v>
      </c>
      <c r="D238">
        <v>3</v>
      </c>
      <c r="E238" t="s">
        <v>1447</v>
      </c>
      <c r="F238" t="s">
        <v>2026</v>
      </c>
      <c r="G238" t="s">
        <v>1797</v>
      </c>
      <c r="H238" t="s">
        <v>2029</v>
      </c>
      <c r="I238" t="s">
        <v>1799</v>
      </c>
      <c r="J238" t="s">
        <v>1799</v>
      </c>
      <c r="K238" t="s">
        <v>1799</v>
      </c>
      <c r="L238" t="s">
        <v>1799</v>
      </c>
      <c r="M238" t="s">
        <v>1799</v>
      </c>
      <c r="N238" t="s">
        <v>1799</v>
      </c>
      <c r="O238" s="184" t="str">
        <f>"["&amp;$C238&amp;"]["&amp;$D238&amp;"]["&amp;$F238&amp;"]"</f>
        <v>[S12_FraudFreeAllocationOfAllowances][3][DetailsOfProceduresInNationalLaw]</v>
      </c>
    </row>
    <row r="239" spans="1:15" x14ac:dyDescent="0.3">
      <c r="A239" t="s">
        <v>1793</v>
      </c>
      <c r="B239" t="s">
        <v>2024</v>
      </c>
      <c r="C239" t="s">
        <v>2025</v>
      </c>
      <c r="D239">
        <v>4</v>
      </c>
      <c r="E239" t="s">
        <v>1447</v>
      </c>
      <c r="F239" t="s">
        <v>2026</v>
      </c>
      <c r="G239" t="s">
        <v>1797</v>
      </c>
      <c r="H239" t="s">
        <v>1419</v>
      </c>
      <c r="I239" t="s">
        <v>1799</v>
      </c>
      <c r="J239" t="s">
        <v>1799</v>
      </c>
      <c r="K239" t="s">
        <v>1799</v>
      </c>
      <c r="L239" t="s">
        <v>1799</v>
      </c>
      <c r="M239" t="s">
        <v>1799</v>
      </c>
      <c r="N239" t="s">
        <v>1799</v>
      </c>
      <c r="O239" s="184" t="str">
        <f>"["&amp;$C239&amp;"]["&amp;$D239&amp;"]["&amp;$F239&amp;"]"</f>
        <v>[S12_FraudFreeAllocationOfAllowances][4][DetailsOfProceduresInNationalLaw]</v>
      </c>
    </row>
    <row r="240" spans="1:15" x14ac:dyDescent="0.3">
      <c r="A240" t="s">
        <v>1793</v>
      </c>
      <c r="B240" t="s">
        <v>2024</v>
      </c>
      <c r="C240" t="s">
        <v>2025</v>
      </c>
      <c r="D240">
        <v>5</v>
      </c>
      <c r="E240" t="s">
        <v>1447</v>
      </c>
      <c r="F240" t="s">
        <v>2026</v>
      </c>
      <c r="G240" t="s">
        <v>1797</v>
      </c>
      <c r="H240" t="s">
        <v>1419</v>
      </c>
      <c r="I240" t="s">
        <v>1799</v>
      </c>
      <c r="J240" t="s">
        <v>1799</v>
      </c>
      <c r="K240" t="s">
        <v>1799</v>
      </c>
      <c r="L240" t="s">
        <v>1799</v>
      </c>
      <c r="M240" t="s">
        <v>1799</v>
      </c>
      <c r="N240" t="s">
        <v>1799</v>
      </c>
      <c r="O240" s="184" t="str">
        <f>"["&amp;$C240&amp;"]["&amp;$D240&amp;"]["&amp;$F240&amp;"]"</f>
        <v>[S12_FraudFreeAllocationOfAllowances][5][DetailsOfProceduresInNationalLaw]</v>
      </c>
    </row>
    <row r="241" spans="1:15" x14ac:dyDescent="0.3">
      <c r="A241" t="s">
        <v>1793</v>
      </c>
      <c r="B241" t="s">
        <v>2024</v>
      </c>
      <c r="C241" t="s">
        <v>2025</v>
      </c>
      <c r="D241">
        <v>6</v>
      </c>
      <c r="E241" t="s">
        <v>1447</v>
      </c>
      <c r="F241" t="s">
        <v>2026</v>
      </c>
      <c r="G241" t="s">
        <v>1797</v>
      </c>
      <c r="H241" t="s">
        <v>2028</v>
      </c>
      <c r="I241" t="s">
        <v>1799</v>
      </c>
      <c r="J241" t="s">
        <v>1799</v>
      </c>
      <c r="K241" t="s">
        <v>1799</v>
      </c>
      <c r="L241" t="s">
        <v>1799</v>
      </c>
      <c r="M241" t="s">
        <v>1799</v>
      </c>
      <c r="N241" t="s">
        <v>1799</v>
      </c>
      <c r="O241" s="184" t="str">
        <f>"["&amp;$C241&amp;"]["&amp;$D241&amp;"]["&amp;$F241&amp;"]"</f>
        <v>[S12_FraudFreeAllocationOfAllowances][6][DetailsOfProceduresInNationalLaw]</v>
      </c>
    </row>
    <row r="242" spans="1:15" x14ac:dyDescent="0.3">
      <c r="A242" t="s">
        <v>1793</v>
      </c>
      <c r="B242" t="s">
        <v>2030</v>
      </c>
      <c r="C242" t="s">
        <v>2031</v>
      </c>
      <c r="D242">
        <v>1</v>
      </c>
      <c r="E242" t="s">
        <v>1447</v>
      </c>
      <c r="F242" t="s">
        <v>2032</v>
      </c>
      <c r="G242" t="s">
        <v>1797</v>
      </c>
      <c r="H242" t="s">
        <v>2033</v>
      </c>
      <c r="I242" t="s">
        <v>1799</v>
      </c>
      <c r="J242" t="s">
        <v>1799</v>
      </c>
      <c r="K242" t="s">
        <v>1799</v>
      </c>
      <c r="L242" t="s">
        <v>1799</v>
      </c>
      <c r="M242" t="s">
        <v>1799</v>
      </c>
      <c r="N242" t="s">
        <v>1799</v>
      </c>
      <c r="O242" s="184" t="str">
        <f>"["&amp;$C242&amp;"]["&amp;$D242&amp;"]["&amp;$F242&amp;"]"</f>
        <v>[S12_CompetentAuthoritiesAwareOfFraud][1][DetailsOfArrangementsAndProcedures]</v>
      </c>
    </row>
    <row r="243" spans="1:15" x14ac:dyDescent="0.3">
      <c r="A243" t="s">
        <v>1793</v>
      </c>
      <c r="B243" t="s">
        <v>2030</v>
      </c>
      <c r="C243" t="s">
        <v>2031</v>
      </c>
      <c r="D243">
        <v>2</v>
      </c>
      <c r="E243" t="s">
        <v>1447</v>
      </c>
      <c r="F243" t="s">
        <v>2032</v>
      </c>
      <c r="G243" t="s">
        <v>1797</v>
      </c>
      <c r="H243" t="s">
        <v>2033</v>
      </c>
      <c r="I243" t="s">
        <v>1799</v>
      </c>
      <c r="J243" t="s">
        <v>1799</v>
      </c>
      <c r="K243" t="s">
        <v>1799</v>
      </c>
      <c r="L243" t="s">
        <v>1799</v>
      </c>
      <c r="M243" t="s">
        <v>1799</v>
      </c>
      <c r="N243" t="s">
        <v>1799</v>
      </c>
      <c r="O243" s="184" t="str">
        <f>"["&amp;$C243&amp;"]["&amp;$D243&amp;"]["&amp;$F243&amp;"]"</f>
        <v>[S12_CompetentAuthoritiesAwareOfFraud][2][DetailsOfArrangementsAndProcedures]</v>
      </c>
    </row>
    <row r="244" spans="1:15" x14ac:dyDescent="0.3">
      <c r="A244" t="s">
        <v>1793</v>
      </c>
      <c r="B244" t="s">
        <v>2030</v>
      </c>
      <c r="C244" t="s">
        <v>2031</v>
      </c>
      <c r="D244">
        <v>3</v>
      </c>
      <c r="E244" t="s">
        <v>1447</v>
      </c>
      <c r="F244" t="s">
        <v>2032</v>
      </c>
      <c r="G244" t="s">
        <v>1797</v>
      </c>
      <c r="H244" t="s">
        <v>2033</v>
      </c>
      <c r="I244" t="s">
        <v>1799</v>
      </c>
      <c r="J244" t="s">
        <v>1799</v>
      </c>
      <c r="K244" t="s">
        <v>1799</v>
      </c>
      <c r="L244" t="s">
        <v>1799</v>
      </c>
      <c r="M244" t="s">
        <v>1799</v>
      </c>
      <c r="N244" t="s">
        <v>1799</v>
      </c>
      <c r="O244" s="184" t="str">
        <f>"["&amp;$C244&amp;"]["&amp;$D244&amp;"]["&amp;$F244&amp;"]"</f>
        <v>[S12_CompetentAuthoritiesAwareOfFraud][3][DetailsOfArrangementsAndProcedures]</v>
      </c>
    </row>
    <row r="245" spans="1:15" x14ac:dyDescent="0.3">
      <c r="A245" t="s">
        <v>1793</v>
      </c>
      <c r="B245" t="s">
        <v>2030</v>
      </c>
      <c r="C245" t="s">
        <v>2031</v>
      </c>
      <c r="D245">
        <v>4</v>
      </c>
      <c r="E245" t="s">
        <v>1447</v>
      </c>
      <c r="F245" t="s">
        <v>2032</v>
      </c>
      <c r="G245" t="s">
        <v>1797</v>
      </c>
      <c r="H245" t="s">
        <v>2033</v>
      </c>
      <c r="I245" t="s">
        <v>1799</v>
      </c>
      <c r="J245" t="s">
        <v>1799</v>
      </c>
      <c r="K245" t="s">
        <v>1799</v>
      </c>
      <c r="L245" t="s">
        <v>1799</v>
      </c>
      <c r="M245" t="s">
        <v>1799</v>
      </c>
      <c r="N245" t="s">
        <v>1799</v>
      </c>
      <c r="O245" s="184" t="str">
        <f>"["&amp;$C245&amp;"]["&amp;$D245&amp;"]["&amp;$F245&amp;"]"</f>
        <v>[S12_CompetentAuthoritiesAwareOfFraud][4][DetailsOfArrangementsAndProcedures]</v>
      </c>
    </row>
    <row r="246" spans="1:15" x14ac:dyDescent="0.3">
      <c r="A246" t="s">
        <v>1793</v>
      </c>
      <c r="B246" t="s">
        <v>2034</v>
      </c>
      <c r="C246" t="s">
        <v>2035</v>
      </c>
      <c r="D246">
        <v>1</v>
      </c>
      <c r="E246" t="s">
        <v>1447</v>
      </c>
      <c r="F246" t="s">
        <v>2036</v>
      </c>
      <c r="G246" t="s">
        <v>1811</v>
      </c>
      <c r="H246" t="s">
        <v>1799</v>
      </c>
      <c r="I246">
        <v>0</v>
      </c>
      <c r="J246" t="s">
        <v>1799</v>
      </c>
      <c r="K246" t="s">
        <v>1799</v>
      </c>
      <c r="L246" t="s">
        <v>1799</v>
      </c>
      <c r="M246" t="s">
        <v>1799</v>
      </c>
      <c r="N246" t="s">
        <v>1799</v>
      </c>
      <c r="O246" s="184" t="str">
        <f>"["&amp;$C246&amp;"]["&amp;$D246&amp;"]["&amp;$F246&amp;"]"</f>
        <v>[S12_InformationOnFraudActivities][1][NumberOfActivities]</v>
      </c>
    </row>
    <row r="247" spans="1:15" x14ac:dyDescent="0.3">
      <c r="A247" t="s">
        <v>1793</v>
      </c>
      <c r="B247" t="s">
        <v>2034</v>
      </c>
      <c r="C247" t="s">
        <v>2035</v>
      </c>
      <c r="D247">
        <v>2</v>
      </c>
      <c r="E247" t="s">
        <v>1447</v>
      </c>
      <c r="F247" t="s">
        <v>2036</v>
      </c>
      <c r="G247" t="s">
        <v>1811</v>
      </c>
      <c r="H247" t="s">
        <v>1799</v>
      </c>
      <c r="I247">
        <v>0</v>
      </c>
      <c r="J247" t="s">
        <v>1799</v>
      </c>
      <c r="K247" t="s">
        <v>1799</v>
      </c>
      <c r="L247" t="s">
        <v>1799</v>
      </c>
      <c r="M247" t="s">
        <v>1799</v>
      </c>
      <c r="N247" t="s">
        <v>1799</v>
      </c>
      <c r="O247" s="184" t="str">
        <f>"["&amp;$C247&amp;"]["&amp;$D247&amp;"]["&amp;$F247&amp;"]"</f>
        <v>[S12_InformationOnFraudActivities][2][NumberOfActivities]</v>
      </c>
    </row>
    <row r="248" spans="1:15" x14ac:dyDescent="0.3">
      <c r="A248" t="s">
        <v>1793</v>
      </c>
      <c r="B248" t="s">
        <v>2034</v>
      </c>
      <c r="C248" t="s">
        <v>2035</v>
      </c>
      <c r="D248">
        <v>3</v>
      </c>
      <c r="E248" t="s">
        <v>1447</v>
      </c>
      <c r="F248" t="s">
        <v>2036</v>
      </c>
      <c r="G248" t="s">
        <v>1811</v>
      </c>
      <c r="H248" t="s">
        <v>1799</v>
      </c>
      <c r="I248">
        <v>0</v>
      </c>
      <c r="J248" t="s">
        <v>1799</v>
      </c>
      <c r="K248" t="s">
        <v>1799</v>
      </c>
      <c r="L248" t="s">
        <v>1799</v>
      </c>
      <c r="M248" t="s">
        <v>1799</v>
      </c>
      <c r="N248" t="s">
        <v>1799</v>
      </c>
      <c r="O248" s="184" t="str">
        <f>"["&amp;$C248&amp;"]["&amp;$D248&amp;"]["&amp;$F248&amp;"]"</f>
        <v>[S12_InformationOnFraudActivities][3][NumberOfActivities]</v>
      </c>
    </row>
    <row r="249" spans="1:15" x14ac:dyDescent="0.3">
      <c r="A249" t="s">
        <v>1793</v>
      </c>
      <c r="B249" t="s">
        <v>2034</v>
      </c>
      <c r="C249" t="s">
        <v>2035</v>
      </c>
      <c r="D249">
        <v>4</v>
      </c>
      <c r="E249" t="s">
        <v>1447</v>
      </c>
      <c r="F249" t="s">
        <v>2036</v>
      </c>
      <c r="G249" t="s">
        <v>1811</v>
      </c>
      <c r="H249" t="s">
        <v>1799</v>
      </c>
      <c r="I249">
        <v>0</v>
      </c>
      <c r="J249" t="s">
        <v>1799</v>
      </c>
      <c r="K249" t="s">
        <v>1799</v>
      </c>
      <c r="L249" t="s">
        <v>1799</v>
      </c>
      <c r="M249" t="s">
        <v>1799</v>
      </c>
      <c r="N249" t="s">
        <v>1799</v>
      </c>
      <c r="O249" s="184" t="str">
        <f>"["&amp;$C249&amp;"]["&amp;$D249&amp;"]["&amp;$F249&amp;"]"</f>
        <v>[S12_InformationOnFraudActivities][4][NumberOfActivities]</v>
      </c>
    </row>
    <row r="250" spans="1:15" x14ac:dyDescent="0.3">
      <c r="A250" t="s">
        <v>1793</v>
      </c>
      <c r="B250" t="s">
        <v>2037</v>
      </c>
      <c r="C250" t="s">
        <v>2038</v>
      </c>
      <c r="D250">
        <v>0</v>
      </c>
      <c r="E250" t="s">
        <v>1447</v>
      </c>
      <c r="F250" t="s">
        <v>2038</v>
      </c>
      <c r="G250" t="s">
        <v>1832</v>
      </c>
      <c r="H250" t="s">
        <v>1799</v>
      </c>
      <c r="I250" t="s">
        <v>1799</v>
      </c>
      <c r="J250" t="s">
        <v>1799</v>
      </c>
      <c r="K250" t="s">
        <v>1799</v>
      </c>
      <c r="L250" t="s">
        <v>1419</v>
      </c>
      <c r="M250" t="s">
        <v>1799</v>
      </c>
      <c r="N250" t="s">
        <v>1799</v>
      </c>
      <c r="O250" s="184" t="str">
        <f>"["&amp;$C250&amp;"]["&amp;$D250&amp;"]["&amp;$F250&amp;"]"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No</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0</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2</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0</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0</v>
      </c>
      <c r="H68" s="470"/>
      <c r="I68" s="471"/>
    </row>
    <row r="69" spans="1:9" x14ac:dyDescent="0.3">
      <c r="C69" s="287" t="s">
        <v>1743</v>
      </c>
      <c r="D69" s="288"/>
      <c r="E69" s="288"/>
      <c r="F69" s="289"/>
      <c r="G69" s="469" t="str">
        <f>_xlfn.CONCAT(_xlfn.XLOOKUP("[S08_Article10cAppliedDetail][2][NumberOfAllowances]",Submission!$O:$O,Submission!$H:$N,""))</f>
        <v>0</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0</v>
      </c>
      <c r="I75" s="356"/>
    </row>
    <row r="76" spans="1:9" ht="19.95" customHeight="1" x14ac:dyDescent="0.3">
      <c r="C76" s="246" t="s">
        <v>1185</v>
      </c>
      <c r="D76" s="263"/>
      <c r="E76" s="263"/>
      <c r="F76" s="263"/>
      <c r="G76" s="264"/>
      <c r="H76" s="341" t="str">
        <f>_xlfn.CONCAT(_xlfn.XLOOKUP("[S08_NegativeOpinionBaselineData][2][NumberOfInstallations]",Submission!$O:$O,Submission!$H:$N,""))</f>
        <v>0</v>
      </c>
      <c r="I76" s="356"/>
    </row>
    <row r="77" spans="1:9" ht="19.95" customHeight="1" x14ac:dyDescent="0.3">
      <c r="C77" s="246" t="s">
        <v>1186</v>
      </c>
      <c r="D77" s="263"/>
      <c r="E77" s="263"/>
      <c r="F77" s="263"/>
      <c r="G77" s="264"/>
      <c r="H77" s="341" t="str">
        <f>_xlfn.CONCAT(_xlfn.XLOOKUP("[S08_NegativeOpinionBaselineData][3][NumberOfInstallations]",Submission!$O:$O,Submission!$H:$N,""))</f>
        <v>0</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No</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No</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No</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
      </c>
      <c r="H9" s="509"/>
      <c r="I9" s="453"/>
    </row>
    <row r="10" spans="1:9" x14ac:dyDescent="0.3">
      <c r="C10" s="461" t="s">
        <v>1253</v>
      </c>
      <c r="D10" s="462"/>
      <c r="E10" s="462"/>
      <c r="F10" s="463"/>
      <c r="G10" s="452" t="str">
        <f>_xlfn.CONCAT(_xlfn.XLOOKUP("[S09_InstallationOperatorFeesPermits][2][FeesAmount]",Submission!$O:$O,Submission!$H:$N,""))</f>
        <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No</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
      </c>
      <c r="H34" s="509"/>
      <c r="I34" s="453"/>
    </row>
    <row r="35" spans="2:9" x14ac:dyDescent="0.3">
      <c r="C35" s="461" t="s">
        <v>1266</v>
      </c>
      <c r="D35" s="462"/>
      <c r="E35" s="462"/>
      <c r="F35" s="463"/>
      <c r="G35" s="452" t="str">
        <f>_xlfn.CONCAT(_xlfn.XLOOKUP("[S09_AircraftOperatorFeesMonitoringPlans][2][FeesAmount]",Submission!$O:$O,Submission!$H:$N,""))</f>
        <v/>
      </c>
      <c r="H35" s="509"/>
      <c r="I35" s="453"/>
    </row>
    <row r="36" spans="2:9" x14ac:dyDescent="0.3">
      <c r="C36" s="461" t="s">
        <v>1267</v>
      </c>
      <c r="D36" s="462"/>
      <c r="E36" s="462"/>
      <c r="F36" s="463"/>
      <c r="G36" s="452" t="str">
        <f>_xlfn.CONCAT(_xlfn.XLOOKUP("[S09_AircraftOperatorFeesMonitoringPlans][3][FeesAmount]",Submission!$O:$O,Submission!$H:$N,""))</f>
        <v/>
      </c>
      <c r="H36" s="509"/>
      <c r="I36" s="453"/>
    </row>
    <row r="37" spans="2:9" x14ac:dyDescent="0.3">
      <c r="C37" s="461" t="s">
        <v>1268</v>
      </c>
      <c r="D37" s="462"/>
      <c r="E37" s="462"/>
      <c r="F37" s="463"/>
      <c r="G37" s="452" t="str">
        <f>_xlfn.CONCAT(_xlfn.XLOOKUP("[S09_AircraftOperatorFeesMonitoringPlans][4][FeesAmount]",Submission!$O:$O,Submission!$H:$N,""))</f>
        <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
      </c>
      <c r="D60" s="468"/>
      <c r="E60" s="468"/>
      <c r="F60" s="252"/>
      <c r="G60" s="452" t="str">
        <f>_xlfn.CONCAT(_xlfn.XLOOKUP("[S09_RegistryAccountOneOffFees][1][OneOffFeeAmount]",Submission!$O:$O,Submission!$H:$N,""))</f>
        <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
      </c>
      <c r="D74" s="468"/>
      <c r="E74" s="468"/>
      <c r="F74" s="252"/>
      <c r="G74" s="452" t="str">
        <f>_xlfn.CONCAT(_xlfn.XLOOKUP("[S09_RegistryAccountAnnualFees][1][AnnualFeeAmount]",Submission!$O:$O,Submission!$H:$N,""))</f>
        <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Not applicable</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Yes</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Yes</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12300</v>
      </c>
      <c r="F21" s="105" t="str">
        <f>_xlfn.CONCAT(_xlfn.XLOOKUP("[S10_InstallationsInfringementPenalties]["&amp;ROW(B21)-ROW($B$20)&amp;"][MaxFine]",Submission!$O:$O,Submission!$H:$N,""))</f>
        <v>2415</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Gemäss EHG, LGBL 346, 15.11.2012</v>
      </c>
    </row>
    <row r="22" spans="1:9" ht="33" customHeight="1" x14ac:dyDescent="0.3">
      <c r="A22" s="13"/>
      <c r="C22" s="246" t="s">
        <v>1288</v>
      </c>
      <c r="D22" s="239"/>
      <c r="E22" s="105" t="str">
        <f>_xlfn.CONCAT(_xlfn.XLOOKUP("[S10_InstallationsInfringementPenalties]["&amp;ROW(B22)-ROW($B$20)&amp;"][MinFine]",Submission!$O:$O,Submission!$H:$N,""))</f>
        <v>12300</v>
      </c>
      <c r="F22" s="105" t="str">
        <f>_xlfn.CONCAT(_xlfn.XLOOKUP("[S10_InstallationsInfringementPenalties]["&amp;ROW(B22)-ROW($B$20)&amp;"][MaxFine]",Submission!$O:$O,Submission!$H:$N,""))</f>
        <v>2415</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12300</v>
      </c>
      <c r="F23" s="105" t="str">
        <f>_xlfn.CONCAT(_xlfn.XLOOKUP("[S10_InstallationsInfringementPenalties]["&amp;ROW(B23)-ROW($B$20)&amp;"][MaxFine]",Submission!$O:$O,Submission!$H:$N,""))</f>
        <v>2415</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12300</v>
      </c>
      <c r="F24" s="105" t="str">
        <f>_xlfn.CONCAT(_xlfn.XLOOKUP("[S10_InstallationsInfringementPenalties]["&amp;ROW(B24)-ROW($B$20)&amp;"][MaxFine]",Submission!$O:$O,Submission!$H:$N,""))</f>
        <v>2415</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12300</v>
      </c>
      <c r="F25" s="105" t="str">
        <f>_xlfn.CONCAT(_xlfn.XLOOKUP("[S10_InstallationsInfringementPenalties]["&amp;ROW(B25)-ROW($B$20)&amp;"][MaxFine]",Submission!$O:$O,Submission!$H:$N,""))</f>
        <v>2415</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12300</v>
      </c>
      <c r="F26" s="105" t="str">
        <f>_xlfn.CONCAT(_xlfn.XLOOKUP("[S10_InstallationsInfringementPenalties]["&amp;ROW(B26)-ROW($B$20)&amp;"][MaxFine]",Submission!$O:$O,Submission!$H:$N,""))</f>
        <v>2415</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12300</v>
      </c>
      <c r="F27" s="105" t="str">
        <f>_xlfn.CONCAT(_xlfn.XLOOKUP("[S10_InstallationsInfringementPenalties]["&amp;ROW(B27)-ROW($B$20)&amp;"][MaxFine]",Submission!$O:$O,Submission!$H:$N,""))</f>
        <v>2415</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102</v>
      </c>
      <c r="F28" s="105" t="str">
        <f>_xlfn.CONCAT(_xlfn.XLOOKUP("[S10_InstallationsInfringementPenalties]["&amp;ROW(B28)-ROW($B$20)&amp;"][MaxFine]",Submission!$O:$O,Submission!$H:$N,""))</f>
        <v>102</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12300</v>
      </c>
      <c r="F29" s="105" t="str">
        <f>_xlfn.CONCAT(_xlfn.XLOOKUP("[S10_InstallationsInfringementPenalties]["&amp;ROW(B29)-ROW($B$20)&amp;"][MaxFine]",Submission!$O:$O,Submission!$H:$N,""))</f>
        <v>2415</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12300</v>
      </c>
      <c r="F30" s="105" t="str">
        <f>_xlfn.CONCAT(_xlfn.XLOOKUP("[S10_InstallationsInfringementPenalties]["&amp;ROW(B30)-ROW($B$20)&amp;"][MaxFine]",Submission!$O:$O,Submission!$H:$N,""))</f>
        <v>2415</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12300</v>
      </c>
      <c r="F31" s="105" t="str">
        <f>_xlfn.CONCAT(_xlfn.XLOOKUP("[S10_InstallationsInfringementPenalties]["&amp;ROW(B31)-ROW($B$20)&amp;"][MaxFine]",Submission!$O:$O,Submission!$H:$N,""))</f>
        <v>2415</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 xml:space="preserve">	 EHG, LGBL 346, 15.11.2012</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
      </c>
      <c r="F147" s="105" t="str">
        <f>_xlfn.CONCAT(_xlfn.XLOOKUP("[S10_AircraftInfringementPenalties][1][MaxFine]",Submission!$O:$O,Submission!$H:$N,""))</f>
        <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
      </c>
      <c r="F150" s="105" t="str">
        <f>_xlfn.CONCAT(_xlfn.XLOOKUP("[S10_AircraftInfringementPenalties][4][MaxFine]",Submission!$O:$O,Submission!$H:$N,""))</f>
        <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
      </c>
      <c r="F152" s="105" t="str">
        <f>_xlfn.CONCAT(_xlfn.XLOOKUP("[S10_AircraftInfringementPenalties][6][MaxFine]",Submission!$O:$O,Submission!$H:$N,""))</f>
        <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Nicht gesetzlich geregelt</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Gemmäss Strafgesetzbuch. AU informiert bei Verdacht auf betrügerische Aktiviäten.</v>
      </c>
      <c r="H7" s="348"/>
      <c r="I7" s="285"/>
    </row>
    <row r="8" spans="1:9" ht="45" customHeight="1" x14ac:dyDescent="0.3">
      <c r="C8" s="246" t="s">
        <v>1337</v>
      </c>
      <c r="D8" s="283"/>
      <c r="E8" s="283"/>
      <c r="F8" s="239"/>
      <c r="G8" s="284" t="str">
        <f>_xlfn.CONCAT(_xlfn.XLOOKUP("[S12_FraudFreeAllocationOfAllowances][2][DetailsOfProceduresInNationalLaw]",Submission!$O:$O,Submission!$H:$N,""))</f>
        <v>Gemäss Strafgesetzbuch</v>
      </c>
      <c r="H8" s="348"/>
      <c r="I8" s="285"/>
    </row>
    <row r="9" spans="1:9" ht="45" customHeight="1" x14ac:dyDescent="0.3">
      <c r="C9" s="246" t="s">
        <v>1338</v>
      </c>
      <c r="D9" s="283"/>
      <c r="E9" s="283"/>
      <c r="F9" s="239"/>
      <c r="G9" s="284" t="str">
        <f>_xlfn.CONCAT(_xlfn.XLOOKUP("[S12_FraudFreeAllocationOfAllowances][3][DetailsOfProceduresInNationalLaw]",Submission!$O:$O,Submission!$H:$N,""))</f>
        <v>Amt für Umwelt informiert bei Auffälligkeiten die Geldwäschereibehörde.</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Yes</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Gemäss Strafgesetzbuch</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Yes, Liechtenstein collaborates closly by phone or e-mail between FIU and EU authority</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Yes, Liechtenstein collaborates closly by phone or e-mail between FIU and EU authority</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Yes, Liechtenstein collaborates closly by phone or e-mail between FIU and EU authority</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Yes, Liechtenstein collaborates closly by phone or e-mail between FIU and EU authority</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
      </c>
      <c r="E18" s="348" t="str">
        <f>_xlfn.CONCAT(_xlfn.XLOOKUP("[S13_AnyOtherIssues][12][OtherInformationOrIssues]",Submission!$O:$O,Submission!$H:$N,""))</f>
        <v/>
      </c>
      <c r="F18" s="348"/>
      <c r="G18" s="348"/>
      <c r="H18" s="348"/>
      <c r="I18" s="285"/>
      <c r="K18" s="186"/>
    </row>
    <row r="19" spans="3:11" ht="27" customHeight="1" x14ac:dyDescent="0.3">
      <c r="C19" s="558"/>
      <c r="D19" s="161" t="str">
        <f>_xlfn.CONCAT(_xlfn.XLOOKUP("[S13_AnyOtherIssues][13][QuestionnaireSubQuestion]",Submission!$O:$O,Submission!$H:$N,""))</f>
        <v/>
      </c>
      <c r="E19" s="348" t="str">
        <f>_xlfn.CONCAT(_xlfn.XLOOKUP("[S13_AnyOtherIssues][13][OtherInformationOrIssues]",Submission!$O:$O,Submission!$H:$N,""))</f>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
      </c>
      <c r="E56" s="348" t="str">
        <f>_xlfn.CONCAT(_xlfn.XLOOKUP("[S13_AnyOtherIssues][50][OtherInformationOrIssues]",Submission!$O:$O,Submission!$H:$N,""))</f>
        <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AU</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Amt für Umwelt, Internationales und Klima</v>
      </c>
      <c r="F5" s="241"/>
      <c r="G5" s="241"/>
      <c r="H5" s="241"/>
      <c r="I5" s="242"/>
    </row>
    <row r="6" spans="1:9" s="69" customFormat="1" ht="14.4" x14ac:dyDescent="0.3">
      <c r="A6" s="68"/>
      <c r="C6" s="238" t="s">
        <v>654</v>
      </c>
      <c r="D6" s="239"/>
      <c r="E6" s="240" t="str">
        <f>_xlfn.CONCAT(_xlfn.XLOOKUP("[S01_InstitutionDetails][0][ContactPersonName]",Submission!$O:$O,Submission!$H:$N,""))</f>
        <v>Karin Jehle</v>
      </c>
      <c r="F6" s="241"/>
      <c r="G6" s="241"/>
      <c r="H6" s="241"/>
      <c r="I6" s="242"/>
    </row>
    <row r="7" spans="1:9" s="69" customFormat="1" ht="14.4" x14ac:dyDescent="0.3">
      <c r="A7" s="68"/>
      <c r="C7" s="238" t="s">
        <v>655</v>
      </c>
      <c r="D7" s="239"/>
      <c r="E7" s="240" t="str">
        <f>_xlfn.CONCAT(_xlfn.XLOOKUP("[S01_InstitutionDetails][0][ContactPersonJobTitle]",Submission!$O:$O,Submission!$H:$N,""))</f>
        <v>Internationales und Klima</v>
      </c>
      <c r="F7" s="241"/>
      <c r="G7" s="241"/>
      <c r="H7" s="241"/>
      <c r="I7" s="242"/>
    </row>
    <row r="8" spans="1:9" s="69" customFormat="1" ht="14.4" x14ac:dyDescent="0.3">
      <c r="A8" s="68"/>
      <c r="C8" s="238" t="s">
        <v>656</v>
      </c>
      <c r="D8" s="239"/>
      <c r="E8" s="240" t="str">
        <f>_xlfn.CONCAT(_xlfn.XLOOKUP("[S01_InstitutionDetails][0][Address]",Submission!$O:$O,Submission!$H:$N,""))</f>
        <v>Gerberweg 5, 9490 Vaduz</v>
      </c>
      <c r="F8" s="241"/>
      <c r="G8" s="241"/>
      <c r="H8" s="241"/>
      <c r="I8" s="242"/>
    </row>
    <row r="9" spans="1:9" s="69" customFormat="1" ht="14.4" x14ac:dyDescent="0.3">
      <c r="A9" s="68"/>
      <c r="C9" s="238" t="s">
        <v>657</v>
      </c>
      <c r="D9" s="239"/>
      <c r="E9" s="243" t="str">
        <f>_xlfn.CONCAT(_xlfn.XLOOKUP("[S01_InstitutionDetails][0][InternationalTelephoneNumber]",Submission!$O:$O,Submission!$H:$N,""))</f>
        <v>4232366196</v>
      </c>
      <c r="F9" s="244"/>
      <c r="G9" s="244"/>
      <c r="H9" s="244"/>
      <c r="I9" s="245"/>
    </row>
    <row r="10" spans="1:9" s="69" customFormat="1" ht="14.4" x14ac:dyDescent="0.3">
      <c r="A10" s="68"/>
      <c r="C10" s="238" t="s">
        <v>658</v>
      </c>
      <c r="D10" s="239"/>
      <c r="E10" s="247" t="str">
        <f>_xlfn.CONCAT(_xlfn.XLOOKUP("[S01_InstitutionDetails][0][EMail]",Submission!$O:$O,Submission!$H:$N,""))</f>
        <v>karin.jehle@llv.li</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Amt für Umwelt</v>
      </c>
      <c r="D7" s="72" t="str">
        <f>_xlfn.CONCAT(_xlfn.XLOOKUP("[S02_CompetentAuthority][1][CAAbbreviation]",Submission!$O:$O,Submission!$H:$N,""))</f>
        <v>AU</v>
      </c>
      <c r="E7" s="72" t="str">
        <f>_xlfn.CONCAT(_xlfn.XLOOKUP("[S02_CompetentAuthority][1][CAType]",Submission!$O:$O,Submission!$H:$N,""))</f>
        <v>Central competent authority</v>
      </c>
      <c r="F7" s="105" t="str">
        <f>_xlfn.CONCAT(_xlfn.XLOOKUP("[S02_CompetentAuthority][1][CANumber]",Submission!$O:$O,Submission!$H:$N,""))</f>
        <v>1</v>
      </c>
      <c r="G7" s="172" t="str">
        <f>_xlfn.CONCAT(_xlfn.XLOOKUP("[S02_CompetentAuthority][1][CATelephone]",Submission!$O:$O,Submission!$H:$N,""))</f>
        <v>4232366196</v>
      </c>
      <c r="H7" s="83" t="str">
        <f>_xlfn.CONCAT(_xlfn.XLOOKUP("[S02_CompetentAuthority][1][CAEmail]",Submission!$O:$O,Submission!$H:$N,""))</f>
        <v>4232366196</v>
      </c>
      <c r="I7" s="72" t="str">
        <f>_xlfn.CONCAT(_xlfn.XLOOKUP("[S02_CompetentAuthority][1][CAWebsite]",Submission!$O:$O,Submission!$H:$N,""))</f>
        <v>au.llv.li</v>
      </c>
      <c r="J7" s="79"/>
    </row>
    <row r="8" spans="1:11" s="58" customFormat="1" ht="15.9" customHeight="1" x14ac:dyDescent="0.3">
      <c r="B8" s="79"/>
      <c r="C8" s="71" t="str">
        <f>_xlfn.CONCAT(_xlfn.XLOOKUP("[S02_CompetentAuthority][2][CAName]",Submission!$O:$O,Submission!$H:$N,""))</f>
        <v/>
      </c>
      <c r="D8" s="72" t="str">
        <f>_xlfn.CONCAT(_xlfn.XLOOKUP("[S02_CompetentAuthority][2][CAAbbreviation]",Submission!$O:$O,Submission!$H:$N,""))</f>
        <v/>
      </c>
      <c r="E8" s="72" t="str">
        <f>_xlfn.CONCAT(_xlfn.XLOOKUP("[S02_CompetentAuthority][2][CAType]",Submission!$O:$O,Submission!$H:$N,""))</f>
        <v/>
      </c>
      <c r="F8" s="105" t="str">
        <f>_xlfn.CONCAT(_xlfn.XLOOKUP("[S02_CompetentAuthority][2][CANumber]",Submission!$O:$O,Submission!$H:$N,""))</f>
        <v/>
      </c>
      <c r="G8" s="172"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Amt für Umwelt, Tätigeiten ausgelagert an UBA Österreich</v>
      </c>
      <c r="D39" s="268"/>
      <c r="E39" s="72" t="str">
        <f>_xlfn.CONCAT(_xlfn.XLOOKUP("[S02_AccreditationBody][1][AccBodyAbbreviation]",Submission!$O:$O,Submission!$H:$N,""))</f>
        <v>AU</v>
      </c>
      <c r="F39" s="172" t="str">
        <f>_xlfn.CONCAT(_xlfn.XLOOKUP("[S02_AccreditationBody][1][AccBodyTelephone]",Submission!$O:$O,Submission!$H:$N,""))</f>
        <v>4232366196</v>
      </c>
      <c r="G39" s="77" t="str">
        <f>_xlfn.CONCAT(_xlfn.XLOOKUP("[S02_AccreditationBody][1][AccBodyEmail]",Submission!$O:$O,Submission!$H:$N,""))</f>
        <v>4232366196</v>
      </c>
      <c r="H39" s="255" t="str">
        <f>_xlfn.CONCAT(_xlfn.XLOOKUP("[S02_AccreditationBody][1][AccBodyWebsite]",Submission!$O:$O,Submission!$H:$N,""))</f>
        <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Amt für Umwelt, Karin Jehle</v>
      </c>
      <c r="D49" s="268"/>
      <c r="E49" s="72" t="str">
        <f>_xlfn.CONCAT(_xlfn.XLOOKUP("[S02_RegistryAdministrator][1][RegAdminAbbreviation]",Submission!$O:$O,Submission!$H:$N,""))</f>
        <v>AU</v>
      </c>
      <c r="F49" s="172" t="str">
        <f>_xlfn.CONCAT(_xlfn.XLOOKUP("[S02_RegistryAdministrator][1][RegAdminTelephone]",Submission!$O:$O,Submission!$H:$N,""))</f>
        <v>4232366196</v>
      </c>
      <c r="G49" s="77" t="str">
        <f>_xlfn.CONCAT(_xlfn.XLOOKUP("[S02_RegistryAdministrator][1][RegAdminEmail]",Submission!$O:$O,Submission!$H:$N,""))</f>
        <v>karin.jehle@llv.li</v>
      </c>
      <c r="H49" s="255" t="str">
        <f>_xlfn.CONCAT(_xlfn.XLOOKUP("[S02_RegistryAdministrator][1][RegAdminWebsite]",Submission!$O:$O,Submission!$H:$N,""))</f>
        <v>http:llv.li</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AU</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AU</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AU</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AU</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
      </c>
      <c r="I58" s="252"/>
    </row>
    <row r="59" spans="1:9" s="79" customFormat="1" ht="28.95" customHeight="1" x14ac:dyDescent="0.3">
      <c r="A59" s="78"/>
      <c r="C59" s="238" t="s">
        <v>691</v>
      </c>
      <c r="D59" s="263"/>
      <c r="E59" s="264"/>
      <c r="F59" s="251" t="str">
        <f>_xlfn.CONCAT(_xlfn.XLOOKUP("[S02_CompetentAuthorityRoles][6][CAForInstallationTask]",Submission!$O:$O,Submission!$H:$N,""))</f>
        <v>AU</v>
      </c>
      <c r="G59" s="252"/>
      <c r="H59" s="251" t="str">
        <f>_xlfn.CONCAT(_xlfn.XLOOKUP("[S02_CompetentAuthorityRoles][6][CAForAviationTask]",Submission!$O:$O,Submission!$H:$N,""))</f>
        <v/>
      </c>
      <c r="I59" s="252"/>
    </row>
    <row r="60" spans="1:9" s="79" customFormat="1" ht="28.95" customHeight="1" x14ac:dyDescent="0.3">
      <c r="A60" s="78"/>
      <c r="C60" s="238" t="s">
        <v>42</v>
      </c>
      <c r="D60" s="263"/>
      <c r="E60" s="264"/>
      <c r="F60" s="251" t="str">
        <f>_xlfn.CONCAT(_xlfn.XLOOKUP("[S02_CompetentAuthorityRoles][7][CAForInstallationTask]",Submission!$O:$O,Submission!$H:$N,""))</f>
        <v>AU</v>
      </c>
      <c r="G60" s="252"/>
      <c r="H60" s="251" t="str">
        <f>_xlfn.CONCAT(_xlfn.XLOOKUP("[S02_CompetentAuthorityRoles][7][CAForAviationTask]",Submission!$O:$O,Submission!$H:$N,""))</f>
        <v/>
      </c>
      <c r="I60" s="252"/>
    </row>
    <row r="61" spans="1:9" s="79" customFormat="1" ht="28.95" customHeight="1" x14ac:dyDescent="0.3">
      <c r="A61" s="78"/>
      <c r="C61" s="238" t="s">
        <v>692</v>
      </c>
      <c r="D61" s="263"/>
      <c r="E61" s="264"/>
      <c r="F61" s="251" t="str">
        <f>_xlfn.CONCAT(_xlfn.XLOOKUP("[S02_CompetentAuthorityRoles][8][CAForInstallationTask]",Submission!$O:$O,Submission!$H:$N,""))</f>
        <v>AU</v>
      </c>
      <c r="G61" s="252"/>
      <c r="H61" s="251" t="str">
        <f>_xlfn.CONCAT(_xlfn.XLOOKUP("[S02_CompetentAuthorityRoles][8][CAForAviationTask]",Submission!$O:$O,Submission!$H:$N,""))</f>
        <v/>
      </c>
      <c r="I61" s="252"/>
    </row>
    <row r="62" spans="1:9" s="79" customFormat="1" ht="28.95" customHeight="1" x14ac:dyDescent="0.3">
      <c r="A62" s="78"/>
      <c r="C62" s="238" t="s">
        <v>693</v>
      </c>
      <c r="D62" s="263"/>
      <c r="E62" s="264"/>
      <c r="F62" s="251" t="str">
        <f>_xlfn.CONCAT(_xlfn.XLOOKUP("[S02_CompetentAuthorityRoles][9][CAForInstallationTask]",Submission!$O:$O,Submission!$H:$N,""))</f>
        <v>AU</v>
      </c>
      <c r="G62" s="252"/>
      <c r="H62" s="251" t="str">
        <f>_xlfn.CONCAT(_xlfn.XLOOKUP("[S02_CompetentAuthorityRoles][9][CAForAviationTask]",Submission!$O:$O,Submission!$H:$N,""))</f>
        <v/>
      </c>
      <c r="I62" s="252"/>
    </row>
    <row r="63" spans="1:9" s="79" customFormat="1" ht="28.95" customHeight="1" x14ac:dyDescent="0.3">
      <c r="A63" s="78"/>
      <c r="C63" s="238" t="s">
        <v>694</v>
      </c>
      <c r="D63" s="263"/>
      <c r="E63" s="264"/>
      <c r="F63" s="251" t="str">
        <f>_xlfn.CONCAT(_xlfn.XLOOKUP("[S02_CompetentAuthorityRoles][10][CAForInstallationTask]",Submission!$O:$O,Submission!$H:$N,""))</f>
        <v>AU</v>
      </c>
      <c r="G63" s="252"/>
      <c r="H63" s="251" t="str">
        <f>_xlfn.CONCAT(_xlfn.XLOOKUP("[S02_CompetentAuthorityRoles][10][CAForAviationTask]",Submission!$O:$O,Submission!$H:$N,""))</f>
        <v/>
      </c>
      <c r="I63" s="252"/>
    </row>
    <row r="64" spans="1:9" s="79" customFormat="1" ht="28.95" customHeight="1" x14ac:dyDescent="0.3">
      <c r="A64" s="78"/>
      <c r="C64" s="238" t="s">
        <v>46</v>
      </c>
      <c r="D64" s="263"/>
      <c r="E64" s="264"/>
      <c r="F64" s="251" t="str">
        <f>_xlfn.CONCAT(_xlfn.XLOOKUP("[S02_CompetentAuthorityRoles][11][CAForInstallationTask]",Submission!$O:$O,Submission!$H:$N,""))</f>
        <v>AU</v>
      </c>
      <c r="G64" s="252"/>
      <c r="H64" s="251" t="str">
        <f>_xlfn.CONCAT(_xlfn.XLOOKUP("[S02_CompetentAuthorityRoles][11][CAForAviationTask]",Submission!$O:$O,Submission!$H:$N,""))</f>
        <v/>
      </c>
      <c r="I64" s="252"/>
    </row>
    <row r="65" spans="1:9" s="79" customFormat="1" ht="28.95" customHeight="1" x14ac:dyDescent="0.3">
      <c r="A65" s="78"/>
      <c r="C65" s="238" t="s">
        <v>695</v>
      </c>
      <c r="D65" s="263"/>
      <c r="E65" s="264"/>
      <c r="F65" s="251" t="str">
        <f>_xlfn.CONCAT(_xlfn.XLOOKUP("[S02_CompetentAuthorityRoles][12][CAForInstallationTask]",Submission!$O:$O,Submission!$H:$N,""))</f>
        <v>AU</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AU</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No</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0</v>
      </c>
      <c r="H7" s="334"/>
      <c r="I7" s="335"/>
    </row>
    <row r="8" spans="1:9" s="7" customFormat="1" ht="15" customHeight="1" x14ac:dyDescent="0.3">
      <c r="A8" s="8"/>
      <c r="C8" s="320" t="s">
        <v>727</v>
      </c>
      <c r="D8" s="331"/>
      <c r="E8" s="331"/>
      <c r="F8" s="332"/>
      <c r="G8" s="333" t="str">
        <f>_xlfn.CONCAT(_xlfn.XLOOKUP("[S03_EmittingInstallations][2][NumberOfInstallations]",Submission!$O:$O,Submission!$H:$N,""))</f>
        <v>0</v>
      </c>
      <c r="H8" s="334"/>
      <c r="I8" s="335"/>
    </row>
    <row r="9" spans="1:9" s="7" customFormat="1" ht="15" customHeight="1" x14ac:dyDescent="0.3">
      <c r="A9" s="8"/>
      <c r="C9" s="320" t="s">
        <v>728</v>
      </c>
      <c r="D9" s="331"/>
      <c r="E9" s="331"/>
      <c r="F9" s="332"/>
      <c r="G9" s="333" t="str">
        <f>_xlfn.CONCAT(_xlfn.XLOOKUP("[S03_EmittingInstallations][3][NumberOfInstallations]",Submission!$O:$O,Submission!$H:$N,""))</f>
        <v>0</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0</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0</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No</v>
      </c>
      <c r="I15" s="297"/>
    </row>
    <row r="16" spans="1:9" s="11" customFormat="1" ht="14.4" x14ac:dyDescent="0.3">
      <c r="C16" s="300" t="s">
        <v>734</v>
      </c>
      <c r="D16" s="301"/>
      <c r="E16" s="301"/>
      <c r="F16" s="301"/>
      <c r="G16" s="302"/>
      <c r="H16" s="296" t="str">
        <f>_xlfn.CONCAT(_xlfn.XLOOKUP("[S03_ActivityPermits][2][ActivityPermitsIssued]",Submission!$O:$O,Submission!$H:$N,""))</f>
        <v>No</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No</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No</v>
      </c>
      <c r="I24" s="297"/>
    </row>
    <row r="25" spans="3:9" s="11" customFormat="1" ht="14.4" x14ac:dyDescent="0.3">
      <c r="C25" s="300" t="s">
        <v>743</v>
      </c>
      <c r="D25" s="301"/>
      <c r="E25" s="301"/>
      <c r="F25" s="301"/>
      <c r="G25" s="302"/>
      <c r="H25" s="296" t="str">
        <f>_xlfn.CONCAT(_xlfn.XLOOKUP("[S03_ActivityPermits][11][ActivityPermitsIssued]",Submission!$O:$O,Submission!$H:$N,""))</f>
        <v>No</v>
      </c>
      <c r="I25" s="297"/>
    </row>
    <row r="26" spans="3:9" s="11" customFormat="1" ht="14.4" x14ac:dyDescent="0.3">
      <c r="C26" s="300" t="s">
        <v>744</v>
      </c>
      <c r="D26" s="301"/>
      <c r="E26" s="301"/>
      <c r="F26" s="301"/>
      <c r="G26" s="302"/>
      <c r="H26" s="296" t="str">
        <f>_xlfn.CONCAT(_xlfn.XLOOKUP("[S03_ActivityPermits][12][ActivityPermitsIssued]",Submission!$O:$O,Submission!$H:$N,""))</f>
        <v>No</v>
      </c>
      <c r="I26" s="297"/>
    </row>
    <row r="27" spans="3:9" s="11" customFormat="1" ht="14.4" x14ac:dyDescent="0.3">
      <c r="C27" s="300" t="s">
        <v>745</v>
      </c>
      <c r="D27" s="301"/>
      <c r="E27" s="301"/>
      <c r="F27" s="301"/>
      <c r="G27" s="302"/>
      <c r="H27" s="296" t="str">
        <f>_xlfn.CONCAT(_xlfn.XLOOKUP("[S03_ActivityPermits][13][ActivityPermitsIssued]",Submission!$O:$O,Submission!$H:$N,""))</f>
        <v>No</v>
      </c>
      <c r="I27" s="297"/>
    </row>
    <row r="28" spans="3:9" s="11" customFormat="1" ht="14.4" x14ac:dyDescent="0.3">
      <c r="C28" s="300" t="s">
        <v>746</v>
      </c>
      <c r="D28" s="301"/>
      <c r="E28" s="301"/>
      <c r="F28" s="301"/>
      <c r="G28" s="302"/>
      <c r="H28" s="296" t="str">
        <f>_xlfn.CONCAT(_xlfn.XLOOKUP("[S03_ActivityPermits][14][ActivityPermitsIssued]",Submission!$O:$O,Submission!$H:$N,""))</f>
        <v>No</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
      </c>
      <c r="I30" s="297"/>
    </row>
    <row r="31" spans="3:9" s="11" customFormat="1" ht="14.4" x14ac:dyDescent="0.3">
      <c r="C31" s="300" t="s">
        <v>749</v>
      </c>
      <c r="D31" s="301"/>
      <c r="E31" s="301"/>
      <c r="F31" s="301"/>
      <c r="G31" s="302"/>
      <c r="H31" s="296" t="str">
        <f>_xlfn.CONCAT(_xlfn.XLOOKUP("[S03_ActivityPermits][17][ActivityPermitsIssued]",Submission!$O:$O,Submission!$H:$N,""))</f>
        <v>No</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2</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2</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0</v>
      </c>
      <c r="H64" s="132" t="str">
        <f>_xlfn.CONCAT(_xlfn.XLOOKUP("[S03_AircraftAnnex1Activities][1][NumberNonCommercialOperators]",Submission!$O:$O,Submission!$H:$N,""))</f>
        <v/>
      </c>
      <c r="I64" s="132" t="str">
        <f>_xlfn.CONCAT(_xlfn.XLOOKUP("[S03_AircraftAnnex1Activities][1][NumberTotalOperators]",Submission!$O:$O,Submission!$H:$N,""))</f>
        <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
      </c>
      <c r="I65" s="132" t="str">
        <f>_xlfn.CONCAT(_xlfn.XLOOKUP("[S03_AircraftAnnex1Activities][2][NumberTotalOperators]",Submission!$O:$O,Submission!$H:$N,""))</f>
        <v/>
      </c>
    </row>
    <row r="66" spans="3:9" ht="15.9" customHeight="1" x14ac:dyDescent="0.3">
      <c r="C66" s="311" t="s">
        <v>780</v>
      </c>
      <c r="D66" s="312"/>
      <c r="E66" s="312"/>
      <c r="F66" s="313"/>
      <c r="G66" s="132" t="str">
        <f>_xlfn.CONCAT(_xlfn.XLOOKUP("[S03_AircraftAnnex1Activities][3][NumberCommercialOperators]",Submission!$O:$O,Submission!$H:$N,""))</f>
        <v>0</v>
      </c>
      <c r="H66" s="132" t="str">
        <f>_xlfn.CONCAT(_xlfn.XLOOKUP("[S03_AircraftAnnex1Activities][3][NumberNonCommercialOperators]",Submission!$O:$O,Submission!$H:$N,""))</f>
        <v/>
      </c>
      <c r="I66" s="132" t="str">
        <f>_xlfn.CONCAT(_xlfn.XLOOKUP("[S03_AircraftAnnex1Activities][3][NumberTotalOperators]",Submission!$O:$O,Submission!$H:$N,""))</f>
        <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Yes</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Yes</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Yes</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No</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EHG Art. 7 mit anderen Gesetzen (Allg. Verwaltungsrecht)</v>
      </c>
      <c r="H19" s="345"/>
      <c r="I19" s="346"/>
    </row>
    <row r="20" spans="1:9" ht="15.9" customHeight="1" x14ac:dyDescent="0.3">
      <c r="C20" s="320" t="s">
        <v>797</v>
      </c>
      <c r="D20" s="321"/>
      <c r="E20" s="321"/>
      <c r="F20" s="343"/>
      <c r="G20" s="344" t="str">
        <f>_xlfn.CONCAT(_xlfn.XLOOKUP("[S04_NationalLawPermitUpdate][2][PermitUpdateNationalLawDetail]",Submission!$O:$O,Submission!$H:$N,""))</f>
        <v>Nein, EHG Art 7 (2)</v>
      </c>
      <c r="H20" s="345"/>
      <c r="I20" s="346"/>
    </row>
    <row r="21" spans="1:9" ht="15.9" customHeight="1" x14ac:dyDescent="0.3">
      <c r="C21" s="320" t="s">
        <v>134</v>
      </c>
      <c r="D21" s="321"/>
      <c r="E21" s="321"/>
      <c r="F21" s="343"/>
      <c r="G21" s="344" t="str">
        <f>_xlfn.CONCAT(_xlfn.XLOOKUP("[S04_NationalLawPermitUpdate][3][PermitUpdateNationalLawDetail]",Submission!$O:$O,Submission!$H:$N,""))</f>
        <v>EHG Art 8 (2)</v>
      </c>
      <c r="H21" s="345"/>
      <c r="I21" s="346"/>
    </row>
    <row r="22" spans="1:9" ht="15.9" customHeight="1" x14ac:dyDescent="0.3">
      <c r="C22" s="320" t="s">
        <v>136</v>
      </c>
      <c r="D22" s="321"/>
      <c r="E22" s="321"/>
      <c r="F22" s="343"/>
      <c r="G22" s="344" t="str">
        <f>_xlfn.CONCAT(_xlfn.XLOOKUP("[S04_NationalLawPermitUpdate][4][PermitUpdateNationalLawDetail]",Submission!$O:$O,Submission!$H:$N,""))</f>
        <v>EHG Art. 8 (2)</v>
      </c>
      <c r="H22" s="345"/>
      <c r="I22" s="346"/>
    </row>
    <row r="23" spans="1:9" ht="15.9" customHeight="1" x14ac:dyDescent="0.3">
      <c r="C23" s="320" t="s">
        <v>138</v>
      </c>
      <c r="D23" s="321"/>
      <c r="E23" s="321"/>
      <c r="F23" s="343"/>
      <c r="G23" s="344" t="str">
        <f>_xlfn.CONCAT(_xlfn.XLOOKUP("[S04_NationalLawPermitUpdate][5][PermitUpdateNationalLawDetail]",Submission!$O:$O,Submission!$H:$N,""))</f>
        <v>Bei grundlegenden Änderungen</v>
      </c>
      <c r="H23" s="345"/>
      <c r="I23" s="346"/>
    </row>
    <row r="24" spans="1:9" ht="15.9" customHeight="1" x14ac:dyDescent="0.3">
      <c r="C24" s="320" t="s">
        <v>798</v>
      </c>
      <c r="D24" s="321"/>
      <c r="E24" s="321"/>
      <c r="F24" s="343"/>
      <c r="G24" s="344" t="str">
        <f>_xlfn.CONCAT(_xlfn.XLOOKUP("[S04_NationalLawPermitUpdate][6][PermitUpdateNationalLawDetail]",Submission!$O:$O,Submission!$H:$N,""))</f>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0</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No</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No</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No</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No</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Member State specific template</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Not applicable</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1</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
      </c>
      <c r="G56" s="392"/>
      <c r="H56" s="393" t="str">
        <f>_xlfn.CONCAT(_xlfn.XLOOKUP("[S05_InstallationFuelConsEmissions][4][FuelAnnualEmissions]",Submission!$O:$O,Submission!$H:$N,""))</f>
        <v/>
      </c>
      <c r="I56" s="394"/>
    </row>
    <row r="57" spans="1:9" ht="15.9" customHeight="1" x14ac:dyDescent="0.3">
      <c r="C57" s="238" t="s">
        <v>846</v>
      </c>
      <c r="D57" s="283"/>
      <c r="E57" s="239"/>
      <c r="F57" s="391" t="str">
        <f>_xlfn.CONCAT(_xlfn.XLOOKUP("[S05_InstallationFuelConsEmissions][5][FuelConsumption]",Submission!$O:$O,Submission!$H:$N,""))</f>
        <v/>
      </c>
      <c r="G57" s="392"/>
      <c r="H57" s="393" t="str">
        <f>_xlfn.CONCAT(_xlfn.XLOOKUP("[S05_InstallationFuelConsEmissions][5][FuelAnnualEmissions]",Submission!$O:$O,Submission!$H:$N,""))</f>
        <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
      </c>
      <c r="G60" s="392"/>
      <c r="H60" s="393" t="str">
        <f>_xlfn.CONCAT(_xlfn.XLOOKUP("[S05_InstallationFuelConsEmissions][8][FuelAnnualEmissions]",Submission!$O:$O,Submission!$H:$N,""))</f>
        <v/>
      </c>
      <c r="I60" s="394"/>
    </row>
    <row r="61" spans="1:9" ht="15.9" customHeight="1" x14ac:dyDescent="0.3">
      <c r="C61" s="238" t="s">
        <v>849</v>
      </c>
      <c r="D61" s="283"/>
      <c r="E61" s="239"/>
      <c r="F61" s="391" t="str">
        <f>_xlfn.CONCAT(_xlfn.XLOOKUP("[S05_InstallationFuelConsEmissions][9][FuelConsumption]",Submission!$O:$O,Submission!$H:$N,""))</f>
        <v/>
      </c>
      <c r="G61" s="392"/>
      <c r="H61" s="393" t="str">
        <f>_xlfn.CONCAT(_xlfn.XLOOKUP("[S05_InstallationFuelConsEmissions][9][FuelAnnualEmissions]",Submission!$O:$O,Submission!$H:$N,""))</f>
        <v/>
      </c>
      <c r="I61" s="394"/>
    </row>
    <row r="62" spans="1:9" ht="15.9" customHeight="1" x14ac:dyDescent="0.3">
      <c r="C62" s="238" t="s">
        <v>211</v>
      </c>
      <c r="D62" s="283"/>
      <c r="E62" s="239"/>
      <c r="F62" s="391" t="str">
        <f>_xlfn.CONCAT(_xlfn.XLOOKUP("[S05_InstallationFuelConsEmissions][10][FuelConsumption]",Submission!$O:$O,Submission!$H:$N,""))</f>
        <v/>
      </c>
      <c r="G62" s="392"/>
      <c r="H62" s="393" t="str">
        <f>_xlfn.CONCAT(_xlfn.XLOOKUP("[S05_InstallationFuelConsEmissions][10][FuelAnnualEmissions]",Submission!$O:$O,Submission!$H:$N,""))</f>
        <v/>
      </c>
      <c r="I62" s="394"/>
    </row>
    <row r="63" spans="1:9" ht="15.9" customHeight="1" x14ac:dyDescent="0.3">
      <c r="C63" s="238" t="s">
        <v>212</v>
      </c>
      <c r="D63" s="283"/>
      <c r="E63" s="239"/>
      <c r="F63" s="391" t="str">
        <f>_xlfn.CONCAT(_xlfn.XLOOKUP("[S05_InstallationFuelConsEmissions][11][FuelConsumption]",Submission!$O:$O,Submission!$H:$N,""))</f>
        <v/>
      </c>
      <c r="G63" s="392"/>
      <c r="H63" s="393" t="str">
        <f>_xlfn.CONCAT(_xlfn.XLOOKUP("[S05_InstallationFuelConsEmissions][11][FuelAnnualEmissions]",Submission!$O:$O,Submission!$H:$N,""))</f>
        <v/>
      </c>
      <c r="I63" s="394"/>
    </row>
    <row r="64" spans="1:9" ht="15.9" customHeight="1" x14ac:dyDescent="0.3">
      <c r="C64" s="238" t="s">
        <v>850</v>
      </c>
      <c r="D64" s="283"/>
      <c r="E64" s="239"/>
      <c r="F64" s="391" t="str">
        <f>_xlfn.CONCAT(_xlfn.XLOOKUP("[S05_InstallationFuelConsEmissions][12][FuelConsumption]",Submission!$O:$O,Submission!$H:$N,""))</f>
        <v/>
      </c>
      <c r="G64" s="392"/>
      <c r="H64" s="393" t="str">
        <f>_xlfn.CONCAT(_xlfn.XLOOKUP("[S05_InstallationFuelConsEmissions][12][FuelAnnualEmissions]",Submission!$O:$O,Submission!$H:$N,""))</f>
        <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
      </c>
      <c r="D69" s="388"/>
      <c r="E69" s="387" t="str">
        <f>_xlfn.CONCAT(_xlfn.XLOOKUP("[S05_AggregateTotalEmissionsByCRF][1][CRFCategory2]",Submission!$O:$O,Submission!$H:$N,""))</f>
        <v/>
      </c>
      <c r="F69" s="388"/>
      <c r="G69" s="126" t="str">
        <f>_xlfn.CONCAT(_xlfn.XLOOKUP("[S05_AggregateTotalEmissionsByCRF][1][TotalEmissionsTCo2e]",Submission!$O:$O,Submission!$H:$N,""))</f>
        <v/>
      </c>
      <c r="H69" s="126" t="str">
        <f>_xlfn.CONCAT(_xlfn.XLOOKUP("[S05_AggregateTotalEmissionsByCRF][1][TotalCombustionEmissionsTCo2e]",Submission!$O:$O,Submission!$H:$N,""))</f>
        <v/>
      </c>
      <c r="I69" s="126" t="str">
        <f>_xlfn.CONCAT(_xlfn.XLOOKUP("[S05_AggregateTotalEmissionsByCRF][1][TotalProcessEmissionsTCo2e]",Submission!$O:$O,Submission!$H:$N,""))</f>
        <v/>
      </c>
    </row>
    <row r="70" spans="1:14" ht="16.2" customHeight="1" x14ac:dyDescent="0.3">
      <c r="C70" s="387" t="str">
        <f>_xlfn.CONCAT(_xlfn.XLOOKUP("[S05_AggregateTotalEmissionsByCRF][2][CRFCategory1]",Submission!$O:$O,Submission!$H:$N,""))</f>
        <v/>
      </c>
      <c r="D70" s="388"/>
      <c r="E70" s="389" t="str">
        <f>_xlfn.CONCAT(_xlfn.XLOOKUP("[S05_AggregateTotalEmissionsByCRF][2][CRFCategory2]",Submission!$O:$O,Submission!$H:$N,""))</f>
        <v/>
      </c>
      <c r="F70" s="390"/>
      <c r="G70" s="126" t="str">
        <f>_xlfn.CONCAT(_xlfn.XLOOKUP("[S05_AggregateTotalEmissionsByCRF][2][TotalEmissionsTCo2e]",Submission!$O:$O,Submission!$H:$N,""))</f>
        <v/>
      </c>
      <c r="H70" s="126" t="str">
        <f>_xlfn.CONCAT(_xlfn.XLOOKUP("[S05_AggregateTotalEmissionsByCRF][2][TotalCombustionEmissionsTCo2e]",Submission!$O:$O,Submission!$H:$N,""))</f>
        <v/>
      </c>
      <c r="I70" s="126" t="str">
        <f>_xlfn.CONCAT(_xlfn.XLOOKUP("[S05_AggregateTotalEmissionsByCRF][2][TotalProcessEmissionsTCo2e]",Submission!$O:$O,Submission!$H:$N,""))</f>
        <v/>
      </c>
    </row>
    <row r="71" spans="1:14" ht="16.2" customHeight="1" x14ac:dyDescent="0.3">
      <c r="C71" s="387" t="str">
        <f>_xlfn.CONCAT(_xlfn.XLOOKUP("[S05_AggregateTotalEmissionsByCRF][3][CRFCategory1]",Submission!$O:$O,Submission!$H:$N,""))</f>
        <v/>
      </c>
      <c r="D71" s="388"/>
      <c r="E71" s="389" t="str">
        <f>_xlfn.CONCAT(_xlfn.XLOOKUP("[S05_AggregateTotalEmissionsByCRF][3][CRFCategory2]",Submission!$O:$O,Submission!$H:$N,""))</f>
        <v/>
      </c>
      <c r="F71" s="390"/>
      <c r="G71" s="126" t="str">
        <f>_xlfn.CONCAT(_xlfn.XLOOKUP("[S05_AggregateTotalEmissionsByCRF][3][TotalEmissionsTCo2e]",Submission!$O:$O,Submission!$H:$N,""))</f>
        <v/>
      </c>
      <c r="H71" s="126" t="str">
        <f>_xlfn.CONCAT(_xlfn.XLOOKUP("[S05_AggregateTotalEmissionsByCRF][3][TotalCombustionEmissionsTCo2e]",Submission!$O:$O,Submission!$H:$N,""))</f>
        <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
      </c>
      <c r="D72" s="388"/>
      <c r="E72" s="389" t="str">
        <f>_xlfn.CONCAT(_xlfn.XLOOKUP("[S05_AggregateTotalEmissionsByCRF][4][CRFCategory2]",Submission!$O:$O,Submission!$H:$N,""))</f>
        <v/>
      </c>
      <c r="F72" s="390"/>
      <c r="G72" s="126" t="str">
        <f>_xlfn.CONCAT(_xlfn.XLOOKUP("[S05_AggregateTotalEmissionsByCRF][4][TotalEmissionsTCo2e]",Submission!$O:$O,Submission!$H:$N,""))</f>
        <v/>
      </c>
      <c r="H72" s="126" t="str">
        <f>_xlfn.CONCAT(_xlfn.XLOOKUP("[S05_AggregateTotalEmissionsByCRF][4][TotalCombustionEmissionsTCo2e]",Submission!$O:$O,Submission!$H:$N,""))</f>
        <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
      </c>
      <c r="D73" s="388"/>
      <c r="E73" s="389" t="str">
        <f>_xlfn.CONCAT(_xlfn.XLOOKUP("[S05_AggregateTotalEmissionsByCRF][5][CRFCategory2]",Submission!$O:$O,Submission!$H:$N,""))</f>
        <v/>
      </c>
      <c r="F73" s="390"/>
      <c r="G73" s="126" t="str">
        <f>_xlfn.CONCAT(_xlfn.XLOOKUP("[S05_AggregateTotalEmissionsByCRF][5][TotalEmissionsTCo2e]",Submission!$O:$O,Submission!$H:$N,""))</f>
        <v/>
      </c>
      <c r="H73" s="126" t="str">
        <f>_xlfn.CONCAT(_xlfn.XLOOKUP("[S05_AggregateTotalEmissionsByCRF][5][TotalCombustionEmissionsTCo2e]",Submission!$O:$O,Submission!$H:$N,""))</f>
        <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
      </c>
      <c r="D74" s="388"/>
      <c r="E74" s="389" t="str">
        <f>_xlfn.CONCAT(_xlfn.XLOOKUP("[S05_AggregateTotalEmissionsByCRF][6][CRFCategory2]",Submission!$O:$O,Submission!$H:$N,""))</f>
        <v/>
      </c>
      <c r="F74" s="390"/>
      <c r="G74" s="126" t="str">
        <f>_xlfn.CONCAT(_xlfn.XLOOKUP("[S05_AggregateTotalEmissionsByCRF][6][TotalEmissionsTCo2e]",Submission!$O:$O,Submission!$H:$N,""))</f>
        <v/>
      </c>
      <c r="H74" s="126" t="str">
        <f>_xlfn.CONCAT(_xlfn.XLOOKUP("[S05_AggregateTotalEmissionsByCRF][6][TotalCombustionEmissionsTCo2e]",Submission!$O:$O,Submission!$H:$N,""))</f>
        <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
      </c>
      <c r="D75" s="388"/>
      <c r="E75" s="389" t="str">
        <f>_xlfn.CONCAT(_xlfn.XLOOKUP("[S05_AggregateTotalEmissionsByCRF][7][CRFCategory2]",Submission!$O:$O,Submission!$H:$N,""))</f>
        <v/>
      </c>
      <c r="F75" s="390"/>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
      </c>
      <c r="D76" s="388"/>
      <c r="E76" s="389" t="str">
        <f>_xlfn.CONCAT(_xlfn.XLOOKUP("[S05_AggregateTotalEmissionsByCRF][8][CRFCategory2]",Submission!$O:$O,Submission!$H:$N,""))</f>
        <v/>
      </c>
      <c r="F76" s="390"/>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
      </c>
      <c r="D77" s="388"/>
      <c r="E77" s="389" t="str">
        <f>_xlfn.CONCAT(_xlfn.XLOOKUP("[S05_AggregateTotalEmissionsByCRF][9][CRFCategory2]",Submission!$O:$O,Submission!$H:$N,""))</f>
        <v/>
      </c>
      <c r="F77" s="390"/>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87" t="str">
        <f>_xlfn.CONCAT(_xlfn.XLOOKUP("[S05_AggregateTotalEmissionsByCRF][10][CRFCategory1]",Submission!$O:$O,Submission!$H:$N,""))</f>
        <v/>
      </c>
      <c r="D78" s="388"/>
      <c r="E78" s="389" t="str">
        <f>_xlfn.CONCAT(_xlfn.XLOOKUP("[S05_AggregateTotalEmissionsByCRF][10][CRFCategory2]",Submission!$O:$O,Submission!$H:$N,""))</f>
        <v/>
      </c>
      <c r="F78" s="390"/>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
      </c>
      <c r="D79" s="388"/>
      <c r="E79" s="389" t="str">
        <f>_xlfn.CONCAT(_xlfn.XLOOKUP("[S05_AggregateTotalEmissionsByCRF][11][CRFCategory2]",Submission!$O:$O,Submission!$H:$N,""))</f>
        <v/>
      </c>
      <c r="F79" s="390"/>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
      </c>
      <c r="F80" s="390"/>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
      </c>
      <c r="F81" s="390"/>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
      </c>
      <c r="D203" s="350"/>
      <c r="E203" s="350"/>
      <c r="F203" s="350"/>
      <c r="G203" s="347"/>
      <c r="H203" s="123" t="str">
        <f>_xlfn.CONCAT(_xlfn.XLOOKUP("[S05_DefaultValues][1][FuelMaterialType]",Submission!$O:$O,Submission!$H:$N,""))</f>
        <v/>
      </c>
      <c r="I203" s="106" t="str">
        <f>_xlfn.CONCAT(_xlfn.XLOOKUP("[S05_DefaultValues][1][InstallationNumber]",Submission!$O:$O,Submission!$H:$N,""))</f>
        <v/>
      </c>
    </row>
    <row r="204" spans="1:9" ht="15.9" customHeight="1" x14ac:dyDescent="0.3">
      <c r="A204" s="13"/>
      <c r="B204" s="34"/>
      <c r="C204" s="281" t="str">
        <f>_xlfn.CONCAT(_xlfn.XLOOKUP("[S05_DefaultValues][2][InstallationCategory]",Submission!$O:$O,Submission!$H:$N,""))</f>
        <v/>
      </c>
      <c r="D204" s="350"/>
      <c r="E204" s="350"/>
      <c r="F204" s="350"/>
      <c r="G204" s="347"/>
      <c r="H204" s="123" t="str">
        <f>_xlfn.CONCAT(_xlfn.XLOOKUP("[S05_DefaultValues][2][FuelMaterialType]",Submission!$O:$O,Submission!$H:$N,""))</f>
        <v/>
      </c>
      <c r="I204" s="106" t="str">
        <f>_xlfn.CONCAT(_xlfn.XLOOKUP("[S05_DefaultValues][2][InstallationNumber]",Submission!$O:$O,Submission!$H:$N,""))</f>
        <v/>
      </c>
    </row>
    <row r="205" spans="1:9" ht="15.9" customHeight="1" x14ac:dyDescent="0.3">
      <c r="A205" s="13"/>
      <c r="B205" s="34"/>
      <c r="C205" s="281" t="str">
        <f>_xlfn.CONCAT(_xlfn.XLOOKUP("[S05_DefaultValues][3][InstallationCategory]",Submission!$O:$O,Submission!$H:$N,""))</f>
        <v/>
      </c>
      <c r="D205" s="350"/>
      <c r="E205" s="350"/>
      <c r="F205" s="350"/>
      <c r="G205" s="347"/>
      <c r="H205" s="123" t="str">
        <f>_xlfn.CONCAT(_xlfn.XLOOKUP("[S05_DefaultValues][3][FuelMaterialType]",Submission!$O:$O,Submission!$H:$N,""))</f>
        <v/>
      </c>
      <c r="I205" s="106" t="str">
        <f>_xlfn.CONCAT(_xlfn.XLOOKUP("[S05_DefaultValues][3][InstallationNumber]",Submission!$O:$O,Submission!$H:$N,""))</f>
        <v/>
      </c>
    </row>
    <row r="206" spans="1:9" ht="15.9" customHeight="1" x14ac:dyDescent="0.3">
      <c r="A206" s="13"/>
      <c r="B206" s="34"/>
      <c r="C206" s="281" t="str">
        <f>_xlfn.CONCAT(_xlfn.XLOOKUP("[S05_DefaultValues][4][InstallationCategory]",Submission!$O:$O,Submission!$H:$N,""))</f>
        <v/>
      </c>
      <c r="D206" s="350"/>
      <c r="E206" s="350"/>
      <c r="F206" s="350"/>
      <c r="G206" s="347"/>
      <c r="H206" s="123" t="str">
        <f>_xlfn.CONCAT(_xlfn.XLOOKUP("[S05_DefaultValues][4][FuelMaterialType]",Submission!$O:$O,Submission!$H:$N,""))</f>
        <v/>
      </c>
      <c r="I206" s="106" t="str">
        <f>_xlfn.CONCAT(_xlfn.XLOOKUP("[S05_DefaultValues][4][InstallationNumber]",Submission!$O:$O,Submission!$H:$N,""))</f>
        <v/>
      </c>
    </row>
    <row r="207" spans="1:9" ht="15.9" customHeight="1" x14ac:dyDescent="0.3">
      <c r="A207" s="13"/>
      <c r="B207" s="34"/>
      <c r="C207" s="281" t="str">
        <f>_xlfn.CONCAT(_xlfn.XLOOKUP("[S05_DefaultValues][5][InstallationCategory]",Submission!$O:$O,Submission!$H:$N,""))</f>
        <v/>
      </c>
      <c r="D207" s="350"/>
      <c r="E207" s="350"/>
      <c r="F207" s="350"/>
      <c r="G207" s="347"/>
      <c r="H207" s="123" t="str">
        <f>_xlfn.CONCAT(_xlfn.XLOOKUP("[S05_DefaultValues][5][FuelMaterialType]",Submission!$O:$O,Submission!$H:$N,""))</f>
        <v/>
      </c>
      <c r="I207" s="106" t="str">
        <f>_xlfn.CONCAT(_xlfn.XLOOKUP("[S05_DefaultValues][5][InstallationNumber]",Submission!$O:$O,Submission!$H:$N,""))</f>
        <v/>
      </c>
    </row>
    <row r="208" spans="1:9" ht="15.9" customHeight="1" x14ac:dyDescent="0.3">
      <c r="A208" s="13"/>
      <c r="B208" s="34"/>
      <c r="C208" s="281" t="str">
        <f>_xlfn.CONCAT(_xlfn.XLOOKUP("[S05_DefaultValues][6][InstallationCategory]",Submission!$O:$O,Submission!$H:$N,""))</f>
        <v/>
      </c>
      <c r="D208" s="350"/>
      <c r="E208" s="350"/>
      <c r="F208" s="350"/>
      <c r="G208" s="347"/>
      <c r="H208" s="123" t="str">
        <f>_xlfn.CONCAT(_xlfn.XLOOKUP("[S05_DefaultValues][6][FuelMaterialType]",Submission!$O:$O,Submission!$H:$N,""))</f>
        <v/>
      </c>
      <c r="I208" s="106" t="str">
        <f>_xlfn.CONCAT(_xlfn.XLOOKUP("[S05_DefaultValues][6][InstallationNumber]",Submission!$O:$O,Submission!$H:$N,""))</f>
        <v/>
      </c>
    </row>
    <row r="209" spans="1:9" ht="15.9" customHeight="1" x14ac:dyDescent="0.3">
      <c r="A209" s="13"/>
      <c r="B209" s="34"/>
      <c r="C209" s="281" t="str">
        <f>_xlfn.CONCAT(_xlfn.XLOOKUP("[S05_DefaultValues][7][InstallationCategory]",Submission!$O:$O,Submission!$H:$N,""))</f>
        <v/>
      </c>
      <c r="D209" s="350"/>
      <c r="E209" s="350"/>
      <c r="F209" s="350"/>
      <c r="G209" s="347"/>
      <c r="H209" s="123" t="str">
        <f>_xlfn.CONCAT(_xlfn.XLOOKUP("[S05_DefaultValues][7][FuelMaterialType]",Submission!$O:$O,Submission!$H:$N,""))</f>
        <v/>
      </c>
      <c r="I209" s="106" t="str">
        <f>_xlfn.CONCAT(_xlfn.XLOOKUP("[S05_DefaultValues][7][InstallationNumber]",Submission!$O:$O,Submission!$H:$N,""))</f>
        <v/>
      </c>
    </row>
    <row r="210" spans="1:9" ht="15.9" customHeight="1" x14ac:dyDescent="0.3">
      <c r="A210" s="13"/>
      <c r="B210" s="34"/>
      <c r="C210" s="281" t="str">
        <f>_xlfn.CONCAT(_xlfn.XLOOKUP("[S05_DefaultValues][8][InstallationCategory]",Submission!$O:$O,Submission!$H:$N,""))</f>
        <v/>
      </c>
      <c r="D210" s="350"/>
      <c r="E210" s="350"/>
      <c r="F210" s="350"/>
      <c r="G210" s="347"/>
      <c r="H210" s="123" t="str">
        <f>_xlfn.CONCAT(_xlfn.XLOOKUP("[S05_DefaultValues][8][FuelMaterialType]",Submission!$O:$O,Submission!$H:$N,""))</f>
        <v/>
      </c>
      <c r="I210" s="106" t="str">
        <f>_xlfn.CONCAT(_xlfn.XLOOKUP("[S05_DefaultValues][8][InstallationNumber]",Submission!$O:$O,Submission!$H:$N,""))</f>
        <v/>
      </c>
    </row>
    <row r="211" spans="1:9" ht="15.9" customHeight="1" x14ac:dyDescent="0.3">
      <c r="A211" s="13"/>
      <c r="B211" s="34"/>
      <c r="C211" s="281" t="str">
        <f>_xlfn.CONCAT(_xlfn.XLOOKUP("[S05_DefaultValues][9][InstallationCategory]",Submission!$O:$O,Submission!$H:$N,""))</f>
        <v/>
      </c>
      <c r="D211" s="350"/>
      <c r="E211" s="350"/>
      <c r="F211" s="350"/>
      <c r="G211" s="347"/>
      <c r="H211" s="123" t="str">
        <f>_xlfn.CONCAT(_xlfn.XLOOKUP("[S05_DefaultValues][9][FuelMaterialType]",Submission!$O:$O,Submission!$H:$N,""))</f>
        <v/>
      </c>
      <c r="I211" s="106" t="str">
        <f>_xlfn.CONCAT(_xlfn.XLOOKUP("[S05_DefaultValues][9][InstallationNumber]",Submission!$O:$O,Submission!$H:$N,""))</f>
        <v/>
      </c>
    </row>
    <row r="212" spans="1:9" ht="15.9" customHeight="1" x14ac:dyDescent="0.3">
      <c r="A212" s="13"/>
      <c r="B212" s="34"/>
      <c r="C212" s="281" t="str">
        <f>_xlfn.CONCAT(_xlfn.XLOOKUP("[S05_DefaultValues][10][InstallationCategory]",Submission!$O:$O,Submission!$H:$N,""))</f>
        <v/>
      </c>
      <c r="D212" s="350"/>
      <c r="E212" s="350"/>
      <c r="F212" s="350"/>
      <c r="G212" s="347"/>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81" t="str">
        <f>_xlfn.CONCAT(_xlfn.XLOOKUP("[S05_DefaultValues][11][InstallationCategory]",Submission!$O:$O,Submission!$H:$N,""))</f>
        <v/>
      </c>
      <c r="D213" s="350"/>
      <c r="E213" s="350"/>
      <c r="F213" s="350"/>
      <c r="G213" s="347"/>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81" t="str">
        <f>_xlfn.CONCAT(_xlfn.XLOOKUP("[S05_DefaultValues][12][InstallationCategory]",Submission!$O:$O,Submission!$H:$N,""))</f>
        <v/>
      </c>
      <c r="D214" s="350"/>
      <c r="E214" s="350"/>
      <c r="F214" s="350"/>
      <c r="G214" s="347"/>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81" t="str">
        <f>_xlfn.CONCAT(_xlfn.XLOOKUP("[S05_DefaultValues][13][InstallationCategory]",Submission!$O:$O,Submission!$H:$N,""))</f>
        <v/>
      </c>
      <c r="D215" s="350"/>
      <c r="E215" s="350"/>
      <c r="F215" s="350"/>
      <c r="G215" s="347"/>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81" t="str">
        <f>_xlfn.CONCAT(_xlfn.XLOOKUP("[S05_DefaultValues][14][InstallationCategory]",Submission!$O:$O,Submission!$H:$N,""))</f>
        <v/>
      </c>
      <c r="D216" s="350"/>
      <c r="E216" s="350"/>
      <c r="F216" s="350"/>
      <c r="G216" s="347"/>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81" t="str">
        <f>_xlfn.CONCAT(_xlfn.XLOOKUP("[S05_DefaultValues][15][InstallationCategory]",Submission!$O:$O,Submission!$H:$N,""))</f>
        <v/>
      </c>
      <c r="D217" s="350"/>
      <c r="E217" s="350"/>
      <c r="F217" s="350"/>
      <c r="G217" s="347"/>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81" t="str">
        <f>_xlfn.CONCAT(_xlfn.XLOOKUP("[S05_DefaultValues][16][InstallationCategory]",Submission!$O:$O,Submission!$H:$N,""))</f>
        <v/>
      </c>
      <c r="D218" s="350"/>
      <c r="E218" s="350"/>
      <c r="F218" s="350"/>
      <c r="G218" s="347"/>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81" t="str">
        <f>_xlfn.CONCAT(_xlfn.XLOOKUP("[S05_DefaultValues][17][InstallationCategory]",Submission!$O:$O,Submission!$H:$N,""))</f>
        <v/>
      </c>
      <c r="D219" s="350"/>
      <c r="E219" s="350"/>
      <c r="F219" s="350"/>
      <c r="G219" s="347"/>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81" t="str">
        <f>_xlfn.CONCAT(_xlfn.XLOOKUP("[S05_DefaultValues][18][InstallationCategory]",Submission!$O:$O,Submission!$H:$N,""))</f>
        <v/>
      </c>
      <c r="D220" s="350"/>
      <c r="E220" s="350"/>
      <c r="F220" s="350"/>
      <c r="G220" s="347"/>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81" t="str">
        <f>_xlfn.CONCAT(_xlfn.XLOOKUP("[S05_DefaultValues][19][InstallationCategory]",Submission!$O:$O,Submission!$H:$N,""))</f>
        <v/>
      </c>
      <c r="D221" s="350"/>
      <c r="E221" s="350"/>
      <c r="F221" s="350"/>
      <c r="G221" s="347"/>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0</v>
      </c>
      <c r="F1008" s="105" t="str">
        <f>_xlfn.CONCAT(_xlfn.XLOOKUP("[S05_InstallationDifferentSamplingFrequency][1][MajorSourceStreams]",Submission!$O:$O,Submission!$H:$N,""))</f>
        <v/>
      </c>
      <c r="G1008" s="47" t="str">
        <f>_xlfn.CONCAT(_xlfn.XLOOKUP("[S05_InstallationDifferentSamplingFrequency][1][SamplingPlanDocumented]",Submission!$O:$O,Submission!$H:$N,""))</f>
        <v>No</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
      </c>
      <c r="D1098" s="285"/>
      <c r="E1098" s="281" t="str">
        <f>_xlfn.CONCAT(_xlfn.XLOOKUP("[S05_CategoryBHighestTierNotApplied][1][CategoryBMainActivity]",Submission!$O:$O,Submission!$H:$N,""))</f>
        <v/>
      </c>
      <c r="F1098" s="349"/>
      <c r="G1098" s="282"/>
      <c r="H1098" s="341" t="str">
        <f>_xlfn.CONCAT(_xlfn.XLOOKUP("[S05_CategoryBHighestTierNotApplied][1][CategoryBInstallationsAffected]",Submission!$O:$O,Submission!$H:$N,""))</f>
        <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
      </c>
      <c r="D1144" s="281" t="str">
        <f>_xlfn.CONCAT(_xlfn.XLOOKUP("[S05_ImprovementReportArt69]["&amp;ROW(B1144)-ROW($B$1143)&amp;"][Annex1Activity]",Submission!$O:$O,Submission!$H:$N,""))</f>
        <v/>
      </c>
      <c r="E1144" s="347"/>
      <c r="F1144" s="284" t="str">
        <f>_xlfn.CONCAT(_xlfn.XLOOKUP("[S05_ImprovementReportArt69]["&amp;ROW(B1144)-ROW($B$1143)&amp;"][ImprovementReportType]",Submission!$O:$O,Submission!$H:$N,""))</f>
        <v/>
      </c>
      <c r="G1144" s="282"/>
      <c r="H1144" s="124" t="str">
        <f>_xlfn.CONCAT(_xlfn.XLOOKUP("[S05_ImprovementReportArt69]["&amp;ROW(B1144)-ROW($B$1143)&amp;"][ImprovementReportRequired]",Submission!$O:$O,Submission!$H:$N,""))</f>
        <v/>
      </c>
      <c r="I1144" s="124" t="str">
        <f>_xlfn.CONCAT(_xlfn.XLOOKUP("[S05_ImprovementReportArt69]["&amp;ROW(B1144)-ROW($B$1143)&amp;"][ImprovementReportSubmitted]",Submission!$O:$O,Submission!$H:$N,""))</f>
        <v/>
      </c>
    </row>
    <row r="1145" spans="1:9" ht="27" customHeight="1" x14ac:dyDescent="0.3">
      <c r="A1145" s="12"/>
      <c r="C1145" s="47" t="str">
        <f>_xlfn.CONCAT(_xlfn.XLOOKUP("[S05_ImprovementReportArt69]["&amp;ROW(B1145)-ROW($B$1143)&amp;"][InstallationCategory]",Submission!$O:$O,Submission!$H:$N,""))</f>
        <v/>
      </c>
      <c r="D1145" s="281" t="str">
        <f>_xlfn.CONCAT(_xlfn.XLOOKUP("[S05_ImprovementReportArt69]["&amp;ROW(B1145)-ROW($B$1143)&amp;"][Annex1Activity]",Submission!$O:$O,Submission!$H:$N,""))</f>
        <v/>
      </c>
      <c r="E1145" s="347"/>
      <c r="F1145" s="284" t="str">
        <f>_xlfn.CONCAT(_xlfn.XLOOKUP("[S05_ImprovementReportArt69]["&amp;ROW(B1145)-ROW($B$1143)&amp;"][ImprovementReportType]",Submission!$O:$O,Submission!$H:$N,""))</f>
        <v/>
      </c>
      <c r="G1145" s="282"/>
      <c r="H1145" s="124" t="str">
        <f>_xlfn.CONCAT(_xlfn.XLOOKUP("[S05_ImprovementReportArt69]["&amp;ROW(B1145)-ROW($B$1143)&amp;"][ImprovementReportRequired]",Submission!$O:$O,Submission!$H:$N,""))</f>
        <v/>
      </c>
      <c r="I1145" s="124" t="str">
        <f>_xlfn.CONCAT(_xlfn.XLOOKUP("[S05_ImprovementReportArt69]["&amp;ROW(B1145)-ROW($B$1143)&amp;"][ImprovementReportSubmitted]",Submission!$O:$O,Submission!$H:$N,""))</f>
        <v/>
      </c>
    </row>
    <row r="1146" spans="1:9" ht="27" customHeight="1" x14ac:dyDescent="0.3">
      <c r="A1146" s="12"/>
      <c r="C1146" s="47" t="str">
        <f>_xlfn.CONCAT(_xlfn.XLOOKUP("[S05_ImprovementReportArt69]["&amp;ROW(B1146)-ROW($B$1143)&amp;"][InstallationCategory]",Submission!$O:$O,Submission!$H:$N,""))</f>
        <v/>
      </c>
      <c r="D1146" s="281" t="str">
        <f>_xlfn.CONCAT(_xlfn.XLOOKUP("[S05_ImprovementReportArt69]["&amp;ROW(B1146)-ROW($B$1143)&amp;"][Annex1Activity]",Submission!$O:$O,Submission!$H:$N,""))</f>
        <v/>
      </c>
      <c r="E1146" s="347"/>
      <c r="F1146" s="284" t="str">
        <f>_xlfn.CONCAT(_xlfn.XLOOKUP("[S05_ImprovementReportArt69]["&amp;ROW(B1146)-ROW($B$1143)&amp;"][ImprovementReportType]",Submission!$O:$O,Submission!$H:$N,""))</f>
        <v/>
      </c>
      <c r="G1146" s="282"/>
      <c r="H1146" s="124" t="str">
        <f>_xlfn.CONCAT(_xlfn.XLOOKUP("[S05_ImprovementReportArt69]["&amp;ROW(B1146)-ROW($B$1143)&amp;"][ImprovementReportRequired]",Submission!$O:$O,Submission!$H:$N,""))</f>
        <v/>
      </c>
      <c r="I1146" s="124" t="str">
        <f>_xlfn.CONCAT(_xlfn.XLOOKUP("[S05_ImprovementReportArt69]["&amp;ROW(B1146)-ROW($B$1143)&amp;"][ImprovementReportSubmitted]",Submission!$O:$O,Submission!$H:$N,""))</f>
        <v/>
      </c>
    </row>
    <row r="1147" spans="1:9" ht="27" customHeight="1" x14ac:dyDescent="0.3">
      <c r="A1147" s="12"/>
      <c r="C1147" s="47" t="str">
        <f>_xlfn.CONCAT(_xlfn.XLOOKUP("[S05_ImprovementReportArt69]["&amp;ROW(B1147)-ROW($B$1143)&amp;"][InstallationCategory]",Submission!$O:$O,Submission!$H:$N,""))</f>
        <v/>
      </c>
      <c r="D1147" s="281" t="str">
        <f>_xlfn.CONCAT(_xlfn.XLOOKUP("[S05_ImprovementReportArt69]["&amp;ROW(B1147)-ROW($B$1143)&amp;"][Annex1Activity]",Submission!$O:$O,Submission!$H:$N,""))</f>
        <v/>
      </c>
      <c r="E1147" s="347"/>
      <c r="F1147" s="284" t="str">
        <f>_xlfn.CONCAT(_xlfn.XLOOKUP("[S05_ImprovementReportArt69]["&amp;ROW(B1147)-ROW($B$1143)&amp;"][ImprovementReportType]",Submission!$O:$O,Submission!$H:$N,""))</f>
        <v/>
      </c>
      <c r="G1147" s="282"/>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81" t="str">
        <f>_xlfn.CONCAT(_xlfn.XLOOKUP("[S05_ImprovementReportArt69]["&amp;ROW(B1148)-ROW($B$1143)&amp;"][Annex1Activity]",Submission!$O:$O,Submission!$H:$N,""))</f>
        <v/>
      </c>
      <c r="E1148" s="347"/>
      <c r="F1148" s="284" t="str">
        <f>_xlfn.CONCAT(_xlfn.XLOOKUP("[S05_ImprovementReportArt69]["&amp;ROW(B1148)-ROW($B$1143)&amp;"][ImprovementReportType]",Submission!$O:$O,Submission!$H:$N,""))</f>
        <v/>
      </c>
      <c r="G1148" s="282"/>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81" t="str">
        <f>_xlfn.CONCAT(_xlfn.XLOOKUP("[S05_ImprovementReportArt69]["&amp;ROW(B1149)-ROW($B$1143)&amp;"][Annex1Activity]",Submission!$O:$O,Submission!$H:$N,""))</f>
        <v/>
      </c>
      <c r="E1149" s="347"/>
      <c r="F1149" s="284" t="str">
        <f>_xlfn.CONCAT(_xlfn.XLOOKUP("[S05_ImprovementReportArt69]["&amp;ROW(B1149)-ROW($B$1143)&amp;"][ImprovementReportType]",Submission!$O:$O,Submission!$H:$N,""))</f>
        <v/>
      </c>
      <c r="G1149" s="282"/>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No</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
      </c>
      <c r="D1389" s="128" t="str">
        <f>_xlfn.CONCAT(_xlfn.XLOOKUP("[S05_BiomassInstallations][1][BiomassInstallationCategory]",Submission!$O:$O,Submission!$H:$N,""))</f>
        <v/>
      </c>
      <c r="E1389" s="126" t="str">
        <f>_xlfn.CONCAT(_xlfn.XLOOKUP("[S05_BiomassInstallations][1][NumberUsingBiomass]",Submission!$O:$O,Submission!$H:$N,""))</f>
        <v/>
      </c>
      <c r="F1389" s="126" t="str">
        <f>_xlfn.CONCAT(_xlfn.XLOOKUP("[S05_BiomassInstallations][1][EmissionsBiomassSustainabilitySatisfied]",Submission!$O:$O,Submission!$H:$N,""))</f>
        <v/>
      </c>
      <c r="G1389" s="126" t="str">
        <f>_xlfn.CONCAT(_xlfn.XLOOKUP("[S05_BiomassInstallations][1][EmissionsBiomassSustainabilityNotSatisfied]",Submission!$O:$O,Submission!$H:$N,""))</f>
        <v/>
      </c>
      <c r="H1389" s="126" t="str">
        <f>_xlfn.CONCAT(_xlfn.XLOOKUP("[S05_BiomassInstallations][1][EmissionsFossil]",Submission!$O:$O,Submission!$H:$N,""))</f>
        <v/>
      </c>
      <c r="I1389" s="126" t="str">
        <f>_xlfn.CONCAT(_xlfn.XLOOKUP("[S05_BiomassInstallations][1][EnergyZeroRatedBiomass]",Submission!$O:$O,Submission!$H:$N,""))</f>
        <v/>
      </c>
      <c r="J1389" s="126" t="str">
        <f>_xlfn.CONCAT(_xlfn.XLOOKUP("[S05_BiomassInstallations][1][EnergyNonZeroRatedBiomass]",Submission!$O:$O,Submission!$H:$N,""))</f>
        <v/>
      </c>
      <c r="K1389" s="126" t="str">
        <f>_xlfn.CONCAT(_xlfn.XLOOKUP("[S05_BiomassInstallations][1][EnergyFossil]",Submission!$O:$O,Submission!$H:$N,""))</f>
        <v/>
      </c>
    </row>
    <row r="1390" spans="1:11" ht="44.4" customHeight="1" x14ac:dyDescent="0.3">
      <c r="A1390" s="12"/>
      <c r="C1390" s="125" t="str">
        <f>_xlfn.CONCAT(_xlfn.XLOOKUP("[S05_BiomassInstallations][2][Annex1Activity]",Submission!$O:$O,Submission!$H:$N,""))</f>
        <v/>
      </c>
      <c r="D1390" s="128" t="str">
        <f>_xlfn.CONCAT(_xlfn.XLOOKUP("[S05_BiomassInstallations][2][BiomassInstallationCategory]",Submission!$O:$O,Submission!$H:$N,""))</f>
        <v/>
      </c>
      <c r="E1390" s="126" t="str">
        <f>_xlfn.CONCAT(_xlfn.XLOOKUP("[S05_BiomassInstallations][2][NumberUsingBiomass]",Submission!$O:$O,Submission!$H:$N,""))</f>
        <v/>
      </c>
      <c r="F1390" s="126" t="str">
        <f>_xlfn.CONCAT(_xlfn.XLOOKUP("[S05_BiomassInstallations][2][EmissionsBiomassSustainabilitySatisfied]",Submission!$O:$O,Submission!$H:$N,""))</f>
        <v/>
      </c>
      <c r="G1390" s="126" t="str">
        <f>_xlfn.CONCAT(_xlfn.XLOOKUP("[S05_BiomassInstallations][2][EmissionsBiomassSustainabilityNotSatisfied]",Submission!$O:$O,Submission!$H:$N,""))</f>
        <v/>
      </c>
      <c r="H1390" s="126" t="str">
        <f>_xlfn.CONCAT(_xlfn.XLOOKUP("[S05_BiomassInstallations][2][EmissionsFossil]",Submission!$O:$O,Submission!$H:$N,""))</f>
        <v/>
      </c>
      <c r="I1390" s="126" t="str">
        <f>_xlfn.CONCAT(_xlfn.XLOOKUP("[S05_BiomassInstallations][2][EnergyZeroRatedBiomass]",Submission!$O:$O,Submission!$H:$N,""))</f>
        <v/>
      </c>
      <c r="J1390" s="126" t="str">
        <f>_xlfn.CONCAT(_xlfn.XLOOKUP("[S05_BiomassInstallations][2][EnergyNonZeroRatedBiomass]",Submission!$O:$O,Submission!$H:$N,""))</f>
        <v/>
      </c>
      <c r="K1390" s="126" t="str">
        <f>_xlfn.CONCAT(_xlfn.XLOOKUP("[S05_BiomassInstallations][2][EnergyFossil]",Submission!$O:$O,Submission!$H:$N,""))</f>
        <v/>
      </c>
    </row>
    <row r="1391" spans="1:11" ht="44.4" customHeight="1" x14ac:dyDescent="0.3">
      <c r="A1391" s="12"/>
      <c r="C1391" s="125" t="str">
        <f>_xlfn.CONCAT(_xlfn.XLOOKUP("[S05_BiomassInstallations][3][Annex1Activity]",Submission!$O:$O,Submission!$H:$N,""))</f>
        <v/>
      </c>
      <c r="D1391" s="128" t="str">
        <f>_xlfn.CONCAT(_xlfn.XLOOKUP("[S05_BiomassInstallations][3][BiomassInstallationCategory]",Submission!$O:$O,Submission!$H:$N,""))</f>
        <v/>
      </c>
      <c r="E1391" s="126" t="str">
        <f>_xlfn.CONCAT(_xlfn.XLOOKUP("[S05_BiomassInstallations][3][NumberUsingBiomass]",Submission!$O:$O,Submission!$H:$N,""))</f>
        <v/>
      </c>
      <c r="F1391" s="126" t="str">
        <f>_xlfn.CONCAT(_xlfn.XLOOKUP("[S05_BiomassInstallations][3][EmissionsBiomassSustainabilitySatisfied]",Submission!$O:$O,Submission!$H:$N,""))</f>
        <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0</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Risk assessment carried out by the competent authority</v>
      </c>
      <c r="D1452" s="348"/>
      <c r="E1452" s="348"/>
      <c r="F1452" s="285"/>
      <c r="G1452" s="376" t="str">
        <f>_xlfn.CONCAT(_xlfn.XLOOKUP("[S05_SimplifiedMonitoringArt13Detail][1][Art13RiskAssessmentPrinciples]",Submission!$O:$O,Submission!$H:$N,""))</f>
        <v>Liechtenstein used simplified monitoring when it still had installations recorded.</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0</v>
      </c>
      <c r="F1462" s="359"/>
      <c r="G1462" s="364" t="str">
        <f>_xlfn.CONCAT(_xlfn.XLOOKUP("[S05_AircraftMethodFuelConsumption][1][SmallEmittersShare]",Submission!$O:$O,Submission!$H:$N,""))</f>
        <v/>
      </c>
      <c r="H1462" s="364"/>
      <c r="I1462" s="364"/>
    </row>
    <row r="1463" spans="1:9" ht="15.9" customHeight="1" x14ac:dyDescent="0.3">
      <c r="A1463" s="13"/>
      <c r="C1463" s="366" t="s">
        <v>948</v>
      </c>
      <c r="D1463" s="366"/>
      <c r="E1463" s="359" t="str">
        <f>_xlfn.CONCAT(_xlfn.XLOOKUP("[S05_AircraftMethodFuelConsumption][2][CountAircraftOperators]",Submission!$O:$O,Submission!$H:$N,""))</f>
        <v>0</v>
      </c>
      <c r="F1463" s="359"/>
      <c r="G1463" s="364" t="str">
        <f>_xlfn.CONCAT(_xlfn.XLOOKUP("[S05_AircraftMethodFuelConsumption][2][SmallEmittersShare]",Submission!$O:$O,Submission!$H:$N,""))</f>
        <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0</v>
      </c>
      <c r="H1472" s="357"/>
      <c r="I1472" s="357"/>
    </row>
    <row r="1473" spans="1:10" ht="28.95" customHeight="1" x14ac:dyDescent="0.3">
      <c r="C1473" s="354" t="s">
        <v>957</v>
      </c>
      <c r="D1473" s="354"/>
      <c r="E1473" s="354"/>
      <c r="F1473" s="354"/>
      <c r="G1473" s="357" t="str">
        <f>_xlfn.CONCAT(_xlfn.XLOOKUP("[S05_TotalFlightEmissions][2][TotalFlightEmissions]",Submission!$O:$O,Submission!$H:$N,""))</f>
        <v>0</v>
      </c>
      <c r="H1473" s="357"/>
      <c r="I1473" s="357"/>
    </row>
    <row r="1474" spans="1:10" ht="28.95" customHeight="1" x14ac:dyDescent="0.3">
      <c r="C1474" s="354" t="s">
        <v>958</v>
      </c>
      <c r="D1474" s="354"/>
      <c r="E1474" s="354"/>
      <c r="F1474" s="354"/>
      <c r="G1474" s="357" t="str">
        <f>_xlfn.CONCAT(_xlfn.XLOOKUP("[S05_TotalFlightEmissions][3][TotalFlightEmissions]",Submission!$O:$O,Submission!$H:$N,""))</f>
        <v>0</v>
      </c>
      <c r="H1474" s="357"/>
      <c r="I1474" s="357"/>
    </row>
    <row r="1475" spans="1:10" ht="28.95" customHeight="1" x14ac:dyDescent="0.3">
      <c r="C1475" s="354" t="s">
        <v>959</v>
      </c>
      <c r="D1475" s="354"/>
      <c r="E1475" s="354"/>
      <c r="F1475" s="354"/>
      <c r="G1475" s="357" t="str">
        <f>_xlfn.CONCAT(_xlfn.XLOOKUP("[S05_TotalFlightEmissions][4][TotalFlightEmissions]",Submission!$O:$O,Submission!$H:$N,""))</f>
        <v>0</v>
      </c>
      <c r="H1475" s="357"/>
      <c r="I1475" s="357"/>
    </row>
    <row r="1476" spans="1:10" ht="28.95" customHeight="1" x14ac:dyDescent="0.3">
      <c r="C1476" s="354" t="s">
        <v>960</v>
      </c>
      <c r="D1476" s="354"/>
      <c r="E1476" s="354"/>
      <c r="F1476" s="354"/>
      <c r="G1476" s="357" t="str">
        <f>_xlfn.CONCAT(_xlfn.XLOOKUP("[S05_TotalFlightEmissions][5][TotalFlightEmissions]",Submission!$O:$O,Submission!$H:$N,""))</f>
        <v>0</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0</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
      </c>
      <c r="F1486" s="373"/>
      <c r="G1486" s="375" t="str">
        <f>_xlfn.CONCAT(_xlfn.XLOOKUP("[EmissionsBiofuelsSustainabilityNotSatisfied][0][EmissionsBiofuelsSustainabilityNotSatisfied]",Submission!$O:$O,Submission!$H:$N,""))</f>
        <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0</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0</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0</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0</v>
      </c>
      <c r="D1500" s="355"/>
      <c r="E1500" s="355"/>
      <c r="F1500" s="356"/>
      <c r="G1500" s="341" t="str">
        <f>_xlfn.CONCAT(_xlfn.XLOOKUP("[AircraftImprovementReportSubmitted][0][AircraftImprovementReportSubmitted]",Submission!$O:$O,Submission!$H:$N,""))</f>
        <v>0</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Yes</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Risk assessment carried out by the competent authority</v>
      </c>
      <c r="D1506" s="348"/>
      <c r="E1506" s="348"/>
      <c r="F1506" s="285"/>
      <c r="G1506" s="376" t="str">
        <f>_xlfn.CONCAT(_xlfn.XLOOKUP("[S05_AircraftSimplifiedMonitoringArt13Detail][1][AircraftGeneralRiskAssessmentPrinciples]",Submission!$O:$O,Submission!$H:$N,""))</f>
        <v>When Liechtenstein still had installations, simplified measures were used.</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1</v>
      </c>
      <c r="G8" s="119"/>
      <c r="H8" s="105" t="str">
        <f>_xlfn.CONCAT(_xlfn.XLOOKUP("[S06_TotalVerifiers][1][CountVerifiersAviation]",Submission!$O:$O,Submission!$H:$N,""))</f>
        <v/>
      </c>
      <c r="I8" s="119"/>
    </row>
    <row r="9" spans="1:9" s="58" customFormat="1" ht="33.6" customHeight="1" x14ac:dyDescent="0.3">
      <c r="A9" s="75"/>
      <c r="C9" s="415" t="s">
        <v>991</v>
      </c>
      <c r="D9" s="416"/>
      <c r="E9" s="417"/>
      <c r="F9" s="105" t="str">
        <f>_xlfn.CONCAT(_xlfn.XLOOKUP("[S06_TotalVerifiers][2][CountVerifiersInstallations]",Submission!$O:$O,Submission!$H:$N,""))</f>
        <v>1</v>
      </c>
      <c r="G9" s="119"/>
      <c r="H9" s="105" t="str">
        <f>_xlfn.CONCAT(_xlfn.XLOOKUP("[S06_TotalVerifiers][2][CountVerifiersAviation]",Submission!$O:$O,Submission!$H:$N,""))</f>
        <v/>
      </c>
      <c r="I9" s="119"/>
    </row>
    <row r="10" spans="1:9" s="58" customFormat="1" ht="33.6" customHeight="1" x14ac:dyDescent="0.3">
      <c r="A10" s="75"/>
      <c r="C10" s="415" t="s">
        <v>992</v>
      </c>
      <c r="D10" s="416"/>
      <c r="E10" s="417"/>
      <c r="F10" s="105" t="str">
        <f>_xlfn.CONCAT(_xlfn.XLOOKUP("[S06_TotalVerifiers][3][CountVerifiersInstallations]",Submission!$O:$O,Submission!$H:$N,""))</f>
        <v>1</v>
      </c>
      <c r="G10" s="72" t="str">
        <f>_xlfn.CONCAT(_xlfn.XLOOKUP("[S06_TotalVerifiers][3][MSVerifiersInstallations]",Submission!$O:$O,Submission!$H:$N,""))</f>
        <v/>
      </c>
      <c r="H10" s="105" t="str">
        <f>_xlfn.CONCAT(_xlfn.XLOOKUP("[S06_TotalVerifiers][3][CountVerifiersAviation]",Submission!$O:$O,Submission!$H:$N,""))</f>
        <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1</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No</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
      </c>
      <c r="D133" s="347"/>
      <c r="E133" s="281" t="str">
        <f>_xlfn.CONCAT(_xlfn.XLOOKUP("[S06_InstallationsVerificationReportsIssueDetail]["&amp;1&amp;"][TypeOfIssue]",Submission!$O:$O,Submission!$H:$N,""))</f>
        <v/>
      </c>
      <c r="F133" s="347"/>
      <c r="G133" s="105" t="str">
        <f>_xlfn.CONCAT(_xlfn.XLOOKUP("[S06_InstallationsVerificationReportsIssueDetail]["&amp;1&amp;"][NumberOfInstallations]",Submission!$O:$O,Submission!$H:$N,""))</f>
        <v/>
      </c>
      <c r="H133" s="108" t="str">
        <f>_xlfn.CONCAT(_xlfn.XLOOKUP("[S06_InstallationsVerificationReportsIssueDetail]["&amp;1&amp;"][NumberOfIssues]",Submission!$O:$O,Submission!$H:$N,""))</f>
        <v/>
      </c>
      <c r="I133" s="183" t="str">
        <f>_xlfn.CONCAT(_xlfn.XLOOKUP("[S06_InstallationsVerificationReportsIssueDetail]["&amp;1&amp;"][ShareOfReportsConservativeEstimate]",Submission!$O:$O,Submission!$H:$N,""))</f>
        <v/>
      </c>
    </row>
    <row r="134" spans="1:9" ht="26.4" customHeight="1" x14ac:dyDescent="0.3">
      <c r="A134" s="13"/>
      <c r="C134" s="281" t="str">
        <f>_xlfn.CONCAT(_xlfn.XLOOKUP("[S06_InstallationsVerificationReportsIssueDetail]["&amp;1+ROW(B134)-ROW($B$133)&amp;"][AnnexIActivity]",Submission!$O:$O,Submission!$H:$N,""))</f>
        <v/>
      </c>
      <c r="D134" s="347"/>
      <c r="E134" s="281" t="str">
        <f>_xlfn.CONCAT(_xlfn.XLOOKUP("[S06_InstallationsVerificationReportsIssueDetail]["&amp;1+ROW(B134)-ROW($B$133)&amp;"][TypeOfIssue]",Submission!$O:$O,Submission!$H:$N,""))</f>
        <v/>
      </c>
      <c r="F134" s="347"/>
      <c r="G134" s="105" t="str">
        <f>_xlfn.CONCAT(_xlfn.XLOOKUP("[S06_InstallationsVerificationReportsIssueDetail]["&amp;1+ROW(B134)-ROW($B$133)&amp;"][NumberOfInstallations]",Submission!$O:$O,Submission!$H:$N,""))</f>
        <v/>
      </c>
      <c r="H134" s="108" t="str">
        <f>_xlfn.CONCAT(_xlfn.XLOOKUP("[S06_InstallationsVerificationReportsIssueDetail]["&amp;1+ROW(B134)-ROW($B$133)&amp;"][NumberOfIssues]",Submission!$O:$O,Submission!$H:$N,""))</f>
        <v/>
      </c>
      <c r="I134" s="183" t="str">
        <f>_xlfn.CONCAT(_xlfn.XLOOKUP("[S06_InstallationsVerificationReportsIssueDetail]["&amp;1+ROW(B134)-ROW($B$133)&amp;"][ShareOfReportsConservativeEstimate]",Submission!$O:$O,Submission!$H:$N,""))</f>
        <v/>
      </c>
    </row>
    <row r="135" spans="1:9" ht="26.4" customHeight="1" x14ac:dyDescent="0.3">
      <c r="A135" s="13"/>
      <c r="C135" s="281" t="str">
        <f>_xlfn.CONCAT(_xlfn.XLOOKUP("[S06_InstallationsVerificationReportsIssueDetail]["&amp;1+ROW(B135)-ROW($B$133)&amp;"][AnnexIActivity]",Submission!$O:$O,Submission!$H:$N,""))</f>
        <v/>
      </c>
      <c r="D135" s="347"/>
      <c r="E135" s="281" t="str">
        <f>_xlfn.CONCAT(_xlfn.XLOOKUP("[S06_InstallationsVerificationReportsIssueDetail]["&amp;1+ROW(B135)-ROW($B$133)&amp;"][TypeOfIssue]",Submission!$O:$O,Submission!$H:$N,""))</f>
        <v/>
      </c>
      <c r="F135" s="347"/>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3" t="str">
        <f>_xlfn.CONCAT(_xlfn.XLOOKUP("[S06_InstallationsVerificationReportsIssueDetail]["&amp;1+ROW(B135)-ROW($B$133)&amp;"][ShareOfReportsConservativeEstimate]",Submission!$O:$O,Submission!$H:$N,""))</f>
        <v/>
      </c>
    </row>
    <row r="136" spans="1:9" ht="26.4" customHeight="1" x14ac:dyDescent="0.3">
      <c r="A136" s="13"/>
      <c r="C136" s="281" t="str">
        <f>_xlfn.CONCAT(_xlfn.XLOOKUP("[S06_InstallationsVerificationReportsIssueDetail]["&amp;1+ROW(B136)-ROW($B$133)&amp;"][AnnexIActivity]",Submission!$O:$O,Submission!$H:$N,""))</f>
        <v/>
      </c>
      <c r="D136" s="347"/>
      <c r="E136" s="281" t="str">
        <f>_xlfn.CONCAT(_xlfn.XLOOKUP("[S06_InstallationsVerificationReportsIssueDetail]["&amp;1+ROW(B136)-ROW($B$133)&amp;"][TypeOfIssue]",Submission!$O:$O,Submission!$H:$N,""))</f>
        <v/>
      </c>
      <c r="F136" s="347"/>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3" t="str">
        <f>_xlfn.CONCAT(_xlfn.XLOOKUP("[S06_InstallationsVerificationReportsIssueDetail]["&amp;1+ROW(B136)-ROW($B$133)&amp;"][ShareOfReportsConservativeEstimate]",Submission!$O:$O,Submission!$H:$N,""))</f>
        <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No</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
      </c>
      <c r="H232" s="251" t="str">
        <f>_xlfn.CONCAT(_xlfn.XLOOKUP("[S06_InstallationsVerificationReportChecksDetail1][4][FurtherInformation]",Submission!$O:$O,Submission!$H:$N,""))</f>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6" t="s">
        <v>1057</v>
      </c>
      <c r="D234" s="283"/>
      <c r="E234" s="283"/>
      <c r="F234" s="239"/>
      <c r="G234" s="135" t="str">
        <f>_xlfn.CONCAT(_xlfn.XLOOKUP("[S06_InstallationsVerificationReportChecksDetail2][1][NumberOfReports]",Submission!$O:$O,Submission!$H:$N,""))</f>
        <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No</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
      </c>
      <c r="H354" s="251" t="str">
        <f>_xlfn.CONCAT(_xlfn.XLOOKUP("[S06_AircraftOperatorsVerificationEmissionReportChecks1][3][FurtherInformation]",Submission!$O:$O,Submission!$H:$N,""))</f>
        <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